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ody/Downloads/"/>
    </mc:Choice>
  </mc:AlternateContent>
  <xr:revisionPtr revIDLastSave="0" documentId="13_ncr:1_{12F5D4AE-799E-B148-88F1-5EF1A9F7986D}" xr6:coauthVersionLast="45" xr6:coauthVersionMax="45" xr10:uidLastSave="{00000000-0000-0000-0000-000000000000}"/>
  <bookViews>
    <workbookView xWindow="11100" yWindow="760" windowWidth="16640" windowHeight="13580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5" r:id="rId4"/>
    <sheet name="Outcomes Based on Goals" sheetId="11" r:id="rId5"/>
    <sheet name="Edinburgh Research" sheetId="6" r:id="rId6"/>
    <sheet name="Successful U.S. Kickstarters" sheetId="7" r:id="rId7"/>
    <sheet name="Failed U.S. Kickstarters" sheetId="8" r:id="rId8"/>
    <sheet name="Descriptive Statistics" sheetId="9" r:id="rId9"/>
    <sheet name="Box and Whisker Plots" sheetId="10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1"/>
    <pivotCache cacheId="1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11" l="1"/>
  <c r="G2" i="11"/>
  <c r="H2" i="11"/>
  <c r="F3" i="1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D13" i="11"/>
  <c r="D12" i="11"/>
  <c r="D11" i="11"/>
  <c r="D10" i="11"/>
  <c r="D9" i="11"/>
  <c r="D8" i="11"/>
  <c r="D7" i="11"/>
  <c r="D6" i="11"/>
  <c r="D5" i="11"/>
  <c r="D4" i="11"/>
  <c r="D3" i="11"/>
  <c r="D2" i="11"/>
  <c r="C2" i="11"/>
  <c r="B4" i="11"/>
  <c r="E4" i="11" s="1"/>
  <c r="C4" i="11"/>
  <c r="C13" i="11"/>
  <c r="C12" i="11"/>
  <c r="C11" i="11"/>
  <c r="C10" i="11"/>
  <c r="C9" i="11"/>
  <c r="C8" i="11"/>
  <c r="C7" i="11"/>
  <c r="C6" i="11"/>
  <c r="C5" i="11"/>
  <c r="C3" i="11"/>
  <c r="B13" i="11"/>
  <c r="E13" i="11" s="1"/>
  <c r="B12" i="11"/>
  <c r="E12" i="11" s="1"/>
  <c r="B11" i="11"/>
  <c r="E11" i="11" s="1"/>
  <c r="B10" i="11"/>
  <c r="E10" i="11" s="1"/>
  <c r="B9" i="11"/>
  <c r="E9" i="11" s="1"/>
  <c r="B8" i="11"/>
  <c r="E8" i="11" s="1"/>
  <c r="B7" i="11"/>
  <c r="E7" i="11" s="1"/>
  <c r="B6" i="11"/>
  <c r="E6" i="11" s="1"/>
  <c r="B5" i="11"/>
  <c r="E5" i="11" s="1"/>
  <c r="B3" i="11"/>
  <c r="E3" i="11" s="1"/>
  <c r="B2" i="11"/>
  <c r="E2" i="11" s="1"/>
  <c r="C14" i="9"/>
  <c r="B14" i="9"/>
  <c r="C13" i="9"/>
  <c r="C12" i="9"/>
  <c r="B13" i="9"/>
  <c r="B12" i="9"/>
  <c r="C7" i="9"/>
  <c r="B7" i="9"/>
  <c r="C6" i="9"/>
  <c r="C5" i="9"/>
  <c r="B6" i="9"/>
  <c r="B5" i="9"/>
  <c r="C11" i="9"/>
  <c r="B11" i="9"/>
  <c r="C4" i="9"/>
  <c r="B4" i="9"/>
  <c r="C9" i="9"/>
  <c r="C10" i="9"/>
  <c r="B10" i="9"/>
  <c r="B9" i="9"/>
  <c r="C3" i="9"/>
  <c r="B3" i="9"/>
  <c r="C2" i="9"/>
  <c r="B2" i="9"/>
  <c r="F6" i="6"/>
  <c r="F3" i="6"/>
  <c r="F4" i="6"/>
  <c r="F5" i="6"/>
  <c r="F2" i="6"/>
  <c r="E6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45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<sst xmlns="http://schemas.openxmlformats.org/spreadsheetml/2006/main" count="38363" uniqueCount="8418">
  <si>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</si>
  <si>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</si>
  <si>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</si>
  <si>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</si>
  <si>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</si>
  <si>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</si>
  <si>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</si>
  <si>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</si>
  <si>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</si>
  <si>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</si>
  <si>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</si>
  <si>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</si>
  <si>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</si>
  <si>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</si>
  <si>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</si>
  <si>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</si>
  <si>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</si>
  <si>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</si>
  <si>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</si>
  <si>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</si>
  <si>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</si>
  <si>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</si>
  <si>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</si>
  <si>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</si>
  <si>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</si>
  <si>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</si>
  <si>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</si>
  <si>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</si>
  <si>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</si>
  <si>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</si>
  <si>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</si>
  <si>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</si>
  <si>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</si>
  <si>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</si>
  <si>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</si>
  <si>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</si>
  <si>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</si>
  <si>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</si>
  <si>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</si>
  <si>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</si>
  <si>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</si>
  <si>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</si>
  <si>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</si>
  <si>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</si>
  <si>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</si>
  <si>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</si>
  <si>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</si>
  <si>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</si>
  <si>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</si>
  <si>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</si>
  <si>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</si>
  <si>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</si>
  <si>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</si>
  <si>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</si>
  <si>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</si>
  <si>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</si>
  <si>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</si>
  <si>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</si>
  <si>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</si>
  <si>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</si>
  <si>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</si>
  <si>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</si>
  <si>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</si>
  <si>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</si>
  <si>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</si>
  <si>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</si>
  <si>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</si>
  <si>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</si>
  <si>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</si>
  <si>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</si>
  <si>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</si>
  <si>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</si>
  <si>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</si>
  <si>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</si>
  <si>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</si>
  <si>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</si>
  <si>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</si>
  <si>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</si>
  <si>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</si>
  <si>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</si>
  <si>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</si>
  <si>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</si>
  <si>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</si>
  <si>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</si>
  <si>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</si>
  <si>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</si>
  <si>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</si>
  <si>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</si>
  <si>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</si>
  <si>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</si>
  <si>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</si>
  <si>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</si>
  <si>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</si>
  <si>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</si>
  <si>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</si>
  <si>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</si>
  <si>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</si>
  <si>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</si>
  <si>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</si>
  <si>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</si>
  <si>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</si>
  <si>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</si>
  <si>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</si>
  <si>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</si>
  <si>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</si>
  <si>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</si>
  <si>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</si>
  <si>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</si>
  <si>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</si>
  <si>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</si>
  <si>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</si>
  <si>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</si>
  <si>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</si>
  <si>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</si>
  <si>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</si>
  <si>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</si>
  <si>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</si>
  <si>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</si>
  <si>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</si>
  <si>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</si>
  <si>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</si>
  <si>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</si>
  <si>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</si>
  <si>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</si>
  <si>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</si>
  <si>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</si>
  <si>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</si>
  <si>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</si>
  <si>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</si>
  <si>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</si>
  <si>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</si>
  <si>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</si>
  <si>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</si>
  <si>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</si>
  <si>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</si>
  <si>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</si>
  <si>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</si>
  <si>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</si>
  <si>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</si>
  <si>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</si>
  <si>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</si>
  <si>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</si>
  <si>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</si>
  <si>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</si>
  <si>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</si>
  <si>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</si>
  <si>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</si>
  <si>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</si>
  <si>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</si>
  <si>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</si>
  <si>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</si>
  <si>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</si>
  <si>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</si>
  <si>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</si>
  <si>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</si>
  <si>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</si>
  <si>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</si>
  <si>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</si>
  <si>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</si>
  <si>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</si>
  <si>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</si>
  <si>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</si>
  <si>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</si>
  <si>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</si>
  <si>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</si>
  <si>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</si>
  <si>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</si>
  <si>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</si>
  <si>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</si>
  <si>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</si>
  <si>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</si>
  <si>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</si>
  <si>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</si>
  <si>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</si>
  <si>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</si>
  <si>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</si>
  <si>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</si>
  <si>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</si>
  <si>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</si>
  <si>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</si>
  <si>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</si>
  <si>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</si>
  <si>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</si>
  <si>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</si>
  <si>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</si>
  <si>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</si>
  <si>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</si>
  <si>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</si>
  <si>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</si>
  <si>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</si>
  <si>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</si>
  <si>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</si>
  <si>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</si>
  <si>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</si>
  <si>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</si>
  <si>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</si>
  <si>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</si>
  <si>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</si>
  <si>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</si>
  <si>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</si>
  <si>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</si>
  <si>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</si>
  <si>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</si>
  <si>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</si>
  <si>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</si>
  <si>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</si>
  <si>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</si>
  <si>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</si>
  <si>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</si>
  <si>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</si>
  <si>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</si>
  <si>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</si>
  <si>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</si>
  <si>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</si>
  <si>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</si>
  <si>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</si>
  <si>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</si>
  <si>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</si>
  <si>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</si>
  <si>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</si>
  <si>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</si>
  <si>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</si>
  <si>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</si>
  <si>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</si>
  <si>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</si>
  <si>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</si>
  <si>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</si>
  <si>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</si>
  <si>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</si>
  <si>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</si>
  <si>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</si>
  <si>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</si>
  <si>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</si>
  <si>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</si>
  <si>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</si>
  <si>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</si>
  <si>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</si>
  <si>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</si>
  <si>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</si>
  <si>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</si>
  <si>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</si>
  <si>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</si>
  <si>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</si>
  <si>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</si>
  <si>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</si>
  <si>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</si>
  <si>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</si>
  <si>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</si>
  <si>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</si>
  <si>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</si>
  <si>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</si>
  <si>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</si>
  <si>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</si>
  <si>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</si>
  <si>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</si>
  <si>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</si>
  <si>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</si>
  <si>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</si>
  <si>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</si>
  <si>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</si>
  <si>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</si>
  <si>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</si>
  <si>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</si>
  <si>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</si>
  <si>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</si>
  <si>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</si>
  <si>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</si>
  <si>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</si>
  <si>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</si>
  <si>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</si>
  <si>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</si>
  <si>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</si>
  <si>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</si>
  <si>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</si>
  <si>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</si>
  <si>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</si>
  <si>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</si>
  <si>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</si>
  <si>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</si>
  <si>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</si>
  <si>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</si>
  <si>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</si>
  <si>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</si>
  <si>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</si>
  <si>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</si>
  <si>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</si>
  <si>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</si>
  <si>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</si>
  <si>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</si>
  <si>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</si>
  <si>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</si>
  <si>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</si>
  <si>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</si>
  <si>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</si>
  <si>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</si>
  <si>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</si>
  <si>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</si>
  <si>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</si>
  <si>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</si>
  <si>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</si>
  <si>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</si>
  <si>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</si>
  <si>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</si>
  <si>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</si>
  <si>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</si>
  <si>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</si>
  <si>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</si>
  <si>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</si>
  <si>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</si>
  <si>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</si>
  <si>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</si>
  <si>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</si>
  <si>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</si>
  <si>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</si>
  <si>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</si>
  <si>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</si>
  <si>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</si>
  <si>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</si>
  <si>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</si>
  <si>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</si>
  <si>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</si>
  <si>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</si>
  <si>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</si>
  <si>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</si>
  <si>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</si>
  <si>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</si>
  <si>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</si>
  <si>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</si>
  <si>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</si>
  <si>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</si>
  <si>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</si>
  <si>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</si>
  <si>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</si>
  <si>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</si>
  <si>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</si>
  <si>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</si>
  <si>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</si>
  <si>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</si>
  <si>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</si>
  <si>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</si>
  <si>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</si>
  <si>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</si>
  <si>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</si>
  <si>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</si>
  <si>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</si>
  <si>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</si>
  <si>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</si>
  <si>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</si>
  <si>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</si>
  <si>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</si>
  <si>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</si>
  <si>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</si>
  <si>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</si>
  <si>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</si>
  <si>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</si>
  <si>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</si>
  <si>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</si>
  <si>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</si>
  <si>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</si>
  <si>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</si>
  <si>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</si>
  <si>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</si>
  <si>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</si>
  <si>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</si>
  <si>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</si>
  <si>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</si>
  <si>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</si>
  <si>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</si>
  <si>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</si>
  <si>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</si>
  <si>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</si>
  <si>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</si>
  <si>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</si>
  <si>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</si>
  <si>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</si>
  <si>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</si>
  <si>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</si>
  <si>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</si>
  <si>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</si>
  <si>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</si>
  <si>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</si>
  <si>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</si>
  <si>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</si>
  <si>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</si>
  <si>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</si>
  <si>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</si>
  <si>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</si>
  <si>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</si>
  <si>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</si>
  <si>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</si>
  <si>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</si>
  <si>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</si>
  <si>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</si>
  <si>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</si>
  <si>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</si>
  <si>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</si>
  <si>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</si>
  <si>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</si>
  <si>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</si>
  <si>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</si>
  <si>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</si>
  <si>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</si>
  <si>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</si>
  <si>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</si>
  <si>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</si>
  <si>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</si>
  <si>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</si>
  <si>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</si>
  <si>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</si>
  <si>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</si>
  <si>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</si>
  <si>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</si>
  <si>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</si>
  <si>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</si>
  <si>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</si>
  <si>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</si>
  <si>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</si>
  <si>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</si>
  <si>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</si>
  <si>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</si>
  <si>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</si>
  <si>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</si>
  <si>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</si>
  <si>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</si>
  <si>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</si>
  <si>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</si>
  <si>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</si>
  <si>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</si>
  <si>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</si>
  <si>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</si>
  <si>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</si>
  <si>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</si>
  <si>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</si>
  <si>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</si>
  <si>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</si>
  <si>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</si>
  <si>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</si>
  <si>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</si>
  <si>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</si>
  <si>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</si>
  <si>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</si>
  <si>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</si>
  <si>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</si>
  <si>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</si>
  <si>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</si>
  <si>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</si>
  <si>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</si>
  <si>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</si>
  <si>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</si>
  <si>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</si>
  <si>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</si>
  <si>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</si>
  <si>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</si>
  <si>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</si>
  <si>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</si>
  <si>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</si>
  <si>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</si>
  <si>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</si>
  <si>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</si>
  <si>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</si>
  <si>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</si>
  <si>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</si>
  <si>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</si>
  <si>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</si>
  <si>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</si>
  <si>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</si>
  <si>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</si>
  <si>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</si>
  <si>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</si>
  <si>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</si>
  <si>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</si>
  <si>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</si>
  <si>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</si>
  <si>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</si>
  <si>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</si>
  <si>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</si>
  <si>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</si>
  <si>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</si>
  <si>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</si>
  <si>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</si>
  <si>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</si>
  <si>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</si>
  <si>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</si>
  <si>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</si>
  <si>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</si>
  <si>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</si>
  <si>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</si>
  <si>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</si>
  <si>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</si>
  <si>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</si>
  <si>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</si>
  <si>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</si>
  <si>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</si>
  <si>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</si>
  <si>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</si>
  <si>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</si>
  <si>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</si>
  <si>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</si>
  <si>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</si>
  <si>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</si>
  <si>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</si>
  <si>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</si>
  <si>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</si>
  <si>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</si>
  <si>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</si>
  <si>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</si>
  <si>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</si>
  <si>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</si>
  <si>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</si>
  <si>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</si>
  <si>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</si>
  <si>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</si>
  <si>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</si>
  <si>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</si>
  <si>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</si>
  <si>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</si>
  <si>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</si>
  <si>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</si>
  <si>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</si>
  <si>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</si>
  <si>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</si>
  <si>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</si>
  <si>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</si>
  <si>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</si>
  <si>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</si>
  <si>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</si>
  <si>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</si>
  <si>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</si>
  <si>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</si>
  <si>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</si>
  <si>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</si>
  <si>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</si>
  <si>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</si>
  <si>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</si>
  <si>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</si>
  <si>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</si>
  <si>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</si>
  <si>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</si>
  <si>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</si>
  <si>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</si>
  <si>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</si>
  <si>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</si>
  <si>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</si>
  <si>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</si>
  <si>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</si>
  <si>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</si>
  <si>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</si>
  <si>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</si>
  <si>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</si>
  <si>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</si>
  <si>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</si>
  <si>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</si>
  <si>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</si>
  <si>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</si>
  <si>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</si>
  <si>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</si>
  <si>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</si>
  <si>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</si>
  <si>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</si>
  <si>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</si>
  <si>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</si>
  <si>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</si>
  <si>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</si>
  <si>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</si>
  <si>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</si>
  <si>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</si>
  <si>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</si>
  <si>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</si>
  <si>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</si>
  <si>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</si>
  <si>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</si>
  <si>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</si>
  <si>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</si>
  <si>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</si>
  <si>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</si>
  <si>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</si>
  <si>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</si>
  <si>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</si>
  <si>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</si>
  <si>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</si>
  <si>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</si>
  <si>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</si>
  <si>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</si>
  <si>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</si>
  <si>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</si>
  <si>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</si>
  <si>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</si>
  <si>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</si>
  <si>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</si>
  <si>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</si>
  <si>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</si>
  <si>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</si>
  <si>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</si>
  <si>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</si>
  <si>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</si>
  <si>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</si>
  <si>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</si>
  <si>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</si>
  <si>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</si>
  <si>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</si>
  <si>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</si>
  <si>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</si>
  <si>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</si>
  <si>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</si>
  <si>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</si>
  <si>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</si>
  <si>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</si>
  <si>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</si>
  <si>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</si>
  <si>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</si>
  <si>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</si>
  <si>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</si>
  <si>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</si>
  <si>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</si>
  <si>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</si>
  <si>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</si>
  <si>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</si>
  <si>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</si>
  <si>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</si>
  <si>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</si>
  <si>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</si>
  <si>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</si>
  <si>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</si>
  <si>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</si>
  <si>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</si>
  <si>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</si>
  <si>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</si>
  <si>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</si>
  <si>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</si>
  <si>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</si>
  <si>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</si>
  <si>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</si>
  <si>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</si>
  <si>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</si>
  <si>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</si>
  <si>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</si>
  <si>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</si>
  <si>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</si>
  <si>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</si>
  <si>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</si>
  <si>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</si>
  <si>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</si>
  <si>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</si>
  <si>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</si>
  <si>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</si>
  <si>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</si>
  <si>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</si>
  <si>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</si>
  <si>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</si>
  <si>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</si>
  <si>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</si>
  <si>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</si>
  <si>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</si>
  <si>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</si>
  <si>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</si>
  <si>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</si>
  <si>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</si>
  <si>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</si>
  <si>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</si>
  <si>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</si>
  <si>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</si>
  <si>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</si>
  <si>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</si>
  <si>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</si>
  <si>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</si>
  <si>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</si>
  <si>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</si>
  <si>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</si>
  <si>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</si>
  <si>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</si>
  <si>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</si>
  <si>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</si>
  <si>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</si>
  <si>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</si>
  <si>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</si>
  <si>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</si>
  <si>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</si>
  <si>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</si>
  <si>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</si>
  <si>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</si>
  <si>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</si>
  <si>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</si>
  <si>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</si>
  <si>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</si>
  <si>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</si>
  <si>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</si>
  <si>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</si>
  <si>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</si>
  <si>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</si>
  <si>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</si>
  <si>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</si>
  <si>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</si>
  <si>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</si>
  <si>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</si>
  <si>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</si>
  <si>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</si>
  <si>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</si>
  <si>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</si>
  <si>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</si>
  <si>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</si>
  <si>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</si>
  <si>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</si>
  <si>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</si>
  <si>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</si>
  <si>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</si>
  <si>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</si>
  <si>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</si>
  <si>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</si>
  <si>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</si>
  <si>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</si>
  <si>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</si>
  <si>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</si>
  <si>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</si>
  <si>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</si>
  <si>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</si>
  <si>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</si>
  <si>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</si>
  <si>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</si>
  <si>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</si>
  <si>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</si>
  <si>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</si>
  <si>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</si>
  <si>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</si>
  <si>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</si>
  <si>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</si>
  <si>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</si>
  <si>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</si>
  <si>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</si>
  <si>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</si>
  <si>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</si>
  <si>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</si>
  <si>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</si>
  <si>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</si>
  <si>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</si>
  <si>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</si>
  <si>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</si>
  <si>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</si>
  <si>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</si>
  <si>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</si>
  <si>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</si>
  <si>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</si>
  <si>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</si>
  <si>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</si>
  <si>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</si>
  <si>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</si>
  <si>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</si>
  <si>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</si>
  <si>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</si>
  <si>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</si>
  <si>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</si>
  <si>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</si>
  <si>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</si>
  <si>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</si>
  <si>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</si>
  <si>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</si>
  <si>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</si>
  <si>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</si>
  <si>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</si>
  <si>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</si>
  <si>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</si>
  <si>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</si>
  <si>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</si>
  <si>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</si>
  <si>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</si>
  <si>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</si>
  <si>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</si>
  <si>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</si>
  <si>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</si>
  <si>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</si>
  <si>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</si>
  <si>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</si>
  <si>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</si>
  <si>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</si>
  <si>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</si>
  <si>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</si>
  <si>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</si>
  <si>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</si>
  <si>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</si>
  <si>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</si>
  <si>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</si>
  <si>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</si>
  <si>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</si>
  <si>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</si>
  <si>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</si>
  <si>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</si>
  <si>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</si>
  <si>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</si>
  <si>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</si>
  <si>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</si>
  <si>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</si>
  <si>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</si>
  <si>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</si>
  <si>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</si>
  <si>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</si>
  <si>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</si>
  <si>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</si>
  <si>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</si>
  <si>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</si>
  <si>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</si>
  <si>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</si>
  <si>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</si>
  <si>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</si>
  <si>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</si>
  <si>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</si>
  <si>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</si>
  <si>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</si>
  <si>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</si>
  <si>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</si>
  <si>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</si>
  <si>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</si>
  <si>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</si>
  <si>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</si>
  <si>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</si>
  <si>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</si>
  <si>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</si>
  <si>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</si>
  <si>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</si>
  <si>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</si>
  <si>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</si>
  <si>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</si>
  <si>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</si>
  <si>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</si>
  <si>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</si>
  <si>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</si>
  <si>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</si>
  <si>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</si>
  <si>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</si>
  <si>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</si>
  <si>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</si>
  <si>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</si>
  <si>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</si>
  <si>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</si>
  <si>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</si>
  <si>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</si>
  <si>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</si>
  <si>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</si>
  <si>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</si>
  <si>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</si>
  <si>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</si>
  <si>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</si>
  <si>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</si>
  <si>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</si>
  <si>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</si>
  <si>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</si>
  <si>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</si>
  <si>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</si>
  <si>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</si>
  <si>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</si>
  <si>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</si>
  <si>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</si>
  <si>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</si>
  <si>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</si>
  <si>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</si>
  <si>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</si>
  <si>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</si>
  <si>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</si>
  <si>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</si>
  <si>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</si>
  <si>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</si>
  <si>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</si>
  <si>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</si>
  <si>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</si>
  <si>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</si>
  <si>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</si>
  <si>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</si>
  <si>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</si>
  <si>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</si>
  <si>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</si>
  <si>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</si>
  <si>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</si>
  <si>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</si>
  <si>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</si>
  <si>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</si>
  <si>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</si>
  <si>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</si>
  <si>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</si>
  <si>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</si>
  <si>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</si>
  <si>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</si>
  <si>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</si>
  <si>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</si>
  <si>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</si>
  <si>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</si>
  <si>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</si>
  <si>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</si>
  <si>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</si>
  <si>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</si>
  <si>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</si>
  <si>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</si>
  <si>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</si>
  <si>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</si>
  <si>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</si>
  <si>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</si>
  <si>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</si>
  <si>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</si>
  <si>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</si>
  <si>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</si>
  <si>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</si>
  <si>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</si>
  <si>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</si>
  <si>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</si>
  <si>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</si>
  <si>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</si>
  <si>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</si>
  <si>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</si>
  <si>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</si>
  <si>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</si>
  <si>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</si>
  <si>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</si>
  <si>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</si>
  <si>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</si>
  <si>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</si>
  <si>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</si>
  <si>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</si>
  <si>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</si>
  <si>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</si>
  <si>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</si>
  <si>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</si>
  <si>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</si>
  <si>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</si>
  <si>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</si>
  <si>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</si>
  <si>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</si>
  <si>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</si>
  <si>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</si>
  <si>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</si>
  <si>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</si>
  <si>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</si>
  <si>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</si>
  <si>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</si>
  <si>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</si>
  <si>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</si>
  <si>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</si>
  <si>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</si>
  <si>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</si>
  <si>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</si>
  <si>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</si>
  <si>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</si>
  <si>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</si>
  <si>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</si>
  <si>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</si>
  <si>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</si>
  <si>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</si>
  <si>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</si>
  <si>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</si>
  <si>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</si>
  <si>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</si>
  <si>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</si>
  <si>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</si>
  <si>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</si>
  <si>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</si>
  <si>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</si>
  <si>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</si>
  <si>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</si>
  <si>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</si>
  <si>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</si>
  <si>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</si>
  <si>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</si>
  <si>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</si>
  <si>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</si>
  <si>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</si>
  <si>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</si>
  <si>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</si>
  <si>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</si>
  <si>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</si>
  <si>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</si>
  <si>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</si>
  <si>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</si>
  <si>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</si>
  <si>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</si>
  <si>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</si>
  <si>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</si>
  <si>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</si>
  <si>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</si>
  <si>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</si>
  <si>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</si>
  <si>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</si>
  <si>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</si>
  <si>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</si>
  <si>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</si>
  <si>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</si>
  <si>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</si>
  <si>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</si>
  <si>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</si>
  <si>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</si>
  <si>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</si>
  <si>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</si>
  <si>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</si>
  <si>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</si>
  <si>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</si>
  <si>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</si>
  <si>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</si>
  <si>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</si>
  <si>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</si>
  <si>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</si>
  <si>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</si>
  <si>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</si>
  <si>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</si>
  <si>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</si>
  <si>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</si>
  <si>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</si>
  <si>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</si>
  <si>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</si>
  <si>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</si>
  <si>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</si>
  <si>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</si>
  <si>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</si>
  <si>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</si>
  <si>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</si>
  <si>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</si>
  <si>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</si>
  <si>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</si>
  <si>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</si>
  <si>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</si>
  <si>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</si>
  <si>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</si>
  <si>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</si>
  <si>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</si>
  <si>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</si>
  <si>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</si>
  <si>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</si>
  <si>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</si>
  <si>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</si>
  <si>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</si>
  <si>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</si>
  <si>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</si>
  <si>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</si>
  <si>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</si>
  <si>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</si>
  <si>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</si>
  <si>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</si>
  <si>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</si>
  <si>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</si>
  <si>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</si>
  <si>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</si>
  <si>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</si>
  <si>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</si>
  <si>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</si>
  <si>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</si>
  <si>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</si>
  <si>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</si>
  <si>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</si>
  <si>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</si>
  <si>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</si>
  <si>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</si>
  <si>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</si>
  <si>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</si>
  <si>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</si>
  <si>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</si>
  <si>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</si>
  <si>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</si>
  <si>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</si>
  <si>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</si>
  <si>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</si>
  <si>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</si>
  <si>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</si>
  <si>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</si>
  <si>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</si>
  <si>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</si>
  <si>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</si>
  <si>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</si>
  <si>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</si>
  <si>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</si>
  <si>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</si>
  <si>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</si>
  <si>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</si>
  <si>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</si>
  <si>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</si>
  <si>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</si>
  <si>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</si>
  <si>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</si>
  <si>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</si>
  <si>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</si>
  <si>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</si>
  <si>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</si>
  <si>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</si>
  <si>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</si>
  <si>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</si>
  <si>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</si>
  <si>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</si>
  <si>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</si>
  <si>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</si>
  <si>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</si>
  <si>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</si>
  <si>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</si>
  <si>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</si>
  <si>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</si>
  <si>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</si>
  <si>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</si>
  <si>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</si>
  <si>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</si>
  <si>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</si>
  <si>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</si>
  <si>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</si>
  <si>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</si>
  <si>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</si>
  <si>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</si>
  <si>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</si>
  <si>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</si>
  <si>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</si>
  <si>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</si>
  <si>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</si>
  <si>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</si>
  <si>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</si>
  <si>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</si>
  <si>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</si>
  <si>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</si>
  <si>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</si>
  <si>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</si>
  <si>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</si>
  <si>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</si>
  <si>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</si>
  <si>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</si>
  <si>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</si>
  <si>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</si>
  <si>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</si>
  <si>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</si>
  <si>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</si>
  <si>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</si>
  <si>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</si>
  <si>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</si>
  <si>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</si>
  <si>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</si>
  <si>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</si>
  <si>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</si>
  <si>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</si>
  <si>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</si>
  <si>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</si>
  <si>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</si>
  <si>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</si>
  <si>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</si>
  <si>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</si>
  <si>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</si>
  <si>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</si>
  <si>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</si>
  <si>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</si>
  <si>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</si>
  <si>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</si>
  <si>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</si>
  <si>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</si>
  <si>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</si>
  <si>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</si>
  <si>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</si>
  <si>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</si>
  <si>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</si>
  <si>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</si>
  <si>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</si>
  <si>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</si>
  <si>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</si>
  <si>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</si>
  <si>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</si>
  <si>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</si>
  <si>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</si>
  <si>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</si>
  <si>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</si>
  <si>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</si>
  <si>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</si>
  <si>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</si>
  <si>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</si>
  <si>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</si>
  <si>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</si>
  <si>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</si>
  <si>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</si>
  <si>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</si>
  <si>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</si>
  <si>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</si>
  <si>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</si>
  <si>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</si>
  <si>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</si>
  <si>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</si>
  <si>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</si>
  <si>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</si>
  <si>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</si>
  <si>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</si>
  <si>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</si>
  <si>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</si>
  <si>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</si>
  <si>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</si>
  <si>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</si>
  <si>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</si>
  <si>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</si>
  <si>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</si>
  <si>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</si>
  <si>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</si>
  <si>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</si>
  <si>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</si>
  <si>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</si>
  <si>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</si>
  <si>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</si>
  <si>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</si>
  <si>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</si>
  <si>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</si>
  <si>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</si>
  <si>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</si>
  <si>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</si>
  <si>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</si>
  <si>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</si>
  <si>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</si>
  <si>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</si>
  <si>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</si>
  <si>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</si>
  <si>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</si>
  <si>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</si>
  <si>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</si>
  <si>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</si>
  <si>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</si>
  <si>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</si>
  <si>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</si>
  <si>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</si>
  <si>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</si>
  <si>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</si>
  <si>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</si>
  <si>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</si>
  <si>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</si>
  <si>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</si>
  <si>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</si>
  <si>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</si>
  <si>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</si>
  <si>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</si>
  <si>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</si>
  <si>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</si>
  <si>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</si>
  <si>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</si>
  <si>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</si>
  <si>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</si>
  <si>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</si>
  <si>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</si>
  <si>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</si>
  <si>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</si>
  <si>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</si>
  <si>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</si>
  <si>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</si>
  <si>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</si>
  <si>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</si>
  <si>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</si>
  <si>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</si>
  <si>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</si>
  <si>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</si>
  <si>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</si>
  <si>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</si>
  <si>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</si>
  <si>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</si>
  <si>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</si>
  <si>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</si>
  <si>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</si>
  <si>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</si>
  <si>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</si>
  <si>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</si>
  <si>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</si>
  <si>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</si>
  <si>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</si>
  <si>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</si>
  <si>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</si>
  <si>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</si>
  <si>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</si>
  <si>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</si>
  <si>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</si>
  <si>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</si>
  <si>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</si>
  <si>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</si>
  <si>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</si>
  <si>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</si>
  <si>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</si>
  <si>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</si>
  <si>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</si>
  <si>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</si>
  <si>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</si>
  <si>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</si>
  <si>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</si>
  <si>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</si>
  <si>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</si>
  <si>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</si>
  <si>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</si>
  <si>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</si>
  <si>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</si>
  <si>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</si>
  <si>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</si>
  <si>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</si>
  <si>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</si>
  <si>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</si>
  <si>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</si>
  <si>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</si>
  <si>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</si>
  <si>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</si>
  <si>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</si>
  <si>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</si>
  <si>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</si>
  <si>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</si>
  <si>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</si>
  <si>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</si>
  <si>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</si>
  <si>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</si>
  <si>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</si>
  <si>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</si>
  <si>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</si>
  <si>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</si>
  <si>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</si>
  <si>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</si>
  <si>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</si>
  <si>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</si>
  <si>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</si>
  <si>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</si>
  <si>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</si>
  <si>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</si>
  <si>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</si>
  <si>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</si>
  <si>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</si>
  <si>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</si>
  <si>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</si>
  <si>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</si>
  <si>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</si>
  <si>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</si>
  <si>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</si>
  <si>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</si>
  <si>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</si>
  <si>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</si>
  <si>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</si>
  <si>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</si>
  <si>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</si>
  <si>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</si>
  <si>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</si>
  <si>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</si>
  <si>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</si>
  <si>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</si>
  <si>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</si>
  <si>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</si>
  <si>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</si>
  <si>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</si>
  <si>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</si>
  <si>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</si>
  <si>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</si>
  <si>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</si>
  <si>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</si>
  <si>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</si>
  <si>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</si>
  <si>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</si>
  <si>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</si>
  <si>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</si>
  <si>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</si>
  <si>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</si>
  <si>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</si>
  <si>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</si>
  <si>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</si>
  <si>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</si>
  <si>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</si>
  <si>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</si>
  <si>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</si>
  <si>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</si>
  <si>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</si>
  <si>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</si>
  <si>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</si>
  <si>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</si>
  <si>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</si>
  <si>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</si>
  <si>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</si>
  <si>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</si>
  <si>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</si>
  <si>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</si>
  <si>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</si>
  <si>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</si>
  <si>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</si>
  <si>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</si>
  <si>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</si>
  <si>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</si>
  <si>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</si>
  <si>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</si>
  <si>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</si>
  <si>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</si>
  <si>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</si>
  <si>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</si>
  <si>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</si>
  <si>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</si>
  <si>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</si>
  <si>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</si>
  <si>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</si>
  <si>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</si>
  <si>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</si>
  <si>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</si>
  <si>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</si>
  <si>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</si>
  <si>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</si>
  <si>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</si>
  <si>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</si>
  <si>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</si>
  <si>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</si>
  <si>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</si>
  <si>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</si>
  <si>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</si>
  <si>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</si>
  <si>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</si>
  <si>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</si>
  <si>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</si>
  <si>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</si>
  <si>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</si>
  <si>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</si>
  <si>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</si>
  <si>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</si>
  <si>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</si>
  <si>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</si>
  <si>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</si>
  <si>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</si>
  <si>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</si>
  <si>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</si>
  <si>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</si>
  <si>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</si>
  <si>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</si>
  <si>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</si>
  <si>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</si>
  <si>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</si>
  <si>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</si>
  <si>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</si>
  <si>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</si>
  <si>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</si>
  <si>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</si>
  <si>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</si>
  <si>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</si>
  <si>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</si>
  <si>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</si>
  <si>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</si>
  <si>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</si>
  <si>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</si>
  <si>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</si>
  <si>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</si>
  <si>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</si>
  <si>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</si>
  <si>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</si>
  <si>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</si>
  <si>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</si>
  <si>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</si>
  <si>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</si>
  <si>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</si>
  <si>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</si>
  <si>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</si>
  <si>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</si>
  <si>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</si>
  <si>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</si>
  <si>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</si>
  <si>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</si>
  <si>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</si>
  <si>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</si>
  <si>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</si>
  <si>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</si>
  <si>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</si>
  <si>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</si>
  <si>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</si>
  <si>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</si>
  <si>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</si>
  <si>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</si>
  <si>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</si>
  <si>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</si>
  <si>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</si>
  <si>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</si>
  <si>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</si>
  <si>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</si>
  <si>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</si>
  <si>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</si>
  <si>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</si>
  <si>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</si>
  <si>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</si>
  <si>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</si>
  <si>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</si>
  <si>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</si>
  <si>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</si>
  <si>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</si>
  <si>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</si>
  <si>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</si>
  <si>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</si>
  <si>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</si>
  <si>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</si>
  <si>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</si>
  <si>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</si>
  <si>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</si>
  <si>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</si>
  <si>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</si>
  <si>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</si>
  <si>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</si>
  <si>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</si>
  <si>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</si>
  <si>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</si>
  <si>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</si>
  <si>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</si>
  <si>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</si>
  <si>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</si>
  <si>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</si>
  <si>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</si>
  <si>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</si>
  <si>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</si>
  <si>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</si>
  <si>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</si>
  <si>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</si>
  <si>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</si>
  <si>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</si>
  <si>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</si>
  <si>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</si>
  <si>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</si>
  <si>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</si>
  <si>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</si>
  <si>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</si>
  <si>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</si>
  <si>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</si>
  <si>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</si>
  <si>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</si>
  <si>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</si>
  <si>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</si>
  <si>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</si>
  <si>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</si>
  <si>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</si>
  <si>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</si>
  <si>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</si>
  <si>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</si>
  <si>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</si>
  <si>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</si>
  <si>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</si>
  <si>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</si>
  <si>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</si>
  <si>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</si>
  <si>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</si>
  <si>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</si>
  <si>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</si>
  <si>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</si>
  <si>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</si>
  <si>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</si>
  <si>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</si>
  <si>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</si>
  <si>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</si>
  <si>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</si>
  <si>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</si>
  <si>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</si>
  <si>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</si>
  <si>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</si>
  <si>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</si>
  <si>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</si>
  <si>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</si>
  <si>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</si>
  <si>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</si>
  <si>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</si>
  <si>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</si>
  <si>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</si>
  <si>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</si>
  <si>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</si>
  <si>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</si>
  <si>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</si>
  <si>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</si>
  <si>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</si>
  <si>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</si>
  <si>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</si>
  <si>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</si>
  <si>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</si>
  <si>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</si>
  <si>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</si>
  <si>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</si>
  <si>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</si>
  <si>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</si>
  <si>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</si>
  <si>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</si>
  <si>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</si>
  <si>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</si>
  <si>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</si>
  <si>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</si>
  <si>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</si>
  <si>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</si>
  <si>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</si>
  <si>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</si>
  <si>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</si>
  <si>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</si>
  <si>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</si>
  <si>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</si>
  <si>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</si>
  <si>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</si>
  <si>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</si>
  <si>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</si>
  <si>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</si>
  <si>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</si>
  <si>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</si>
  <si>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</si>
  <si>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</si>
  <si>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</si>
  <si>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</si>
  <si>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</si>
  <si>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</si>
  <si>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</si>
  <si>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</si>
  <si>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</si>
  <si>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</si>
  <si>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</si>
  <si>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</si>
  <si>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</si>
  <si>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</si>
  <si>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</si>
  <si>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</si>
  <si>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</si>
  <si>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</si>
  <si>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</si>
  <si>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</si>
  <si>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</si>
  <si>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</si>
  <si>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</si>
  <si>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</si>
  <si>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</si>
  <si>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</si>
  <si>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</si>
  <si>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</si>
  <si>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</si>
  <si>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</si>
  <si>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</si>
  <si>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</si>
  <si>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</si>
  <si>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</si>
  <si>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</si>
  <si>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</si>
  <si>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</si>
  <si>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</si>
  <si>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</si>
  <si>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</si>
  <si>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</si>
  <si>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</si>
  <si>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</si>
  <si>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</si>
  <si>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</si>
  <si>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</si>
  <si>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</si>
  <si>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</si>
  <si>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</si>
  <si>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</si>
  <si>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</si>
  <si>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</si>
  <si>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</si>
  <si>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</si>
  <si>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</si>
  <si>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</si>
  <si>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</si>
  <si>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</si>
  <si>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</si>
  <si>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</si>
  <si>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</si>
  <si>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</si>
  <si>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</si>
  <si>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</si>
  <si>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</si>
  <si>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</si>
  <si>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</si>
  <si>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</si>
  <si>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</si>
  <si>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</si>
  <si>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</si>
  <si>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</si>
  <si>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</si>
  <si>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</si>
  <si>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</si>
  <si>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</si>
  <si>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</si>
  <si>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</si>
  <si>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</si>
  <si>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</si>
  <si>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</si>
  <si>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</si>
  <si>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</si>
  <si>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</si>
  <si>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</si>
  <si>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</si>
  <si>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</si>
  <si>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</si>
  <si>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</si>
  <si>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</si>
  <si>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</si>
  <si>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</si>
  <si>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</si>
  <si>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</si>
  <si>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</si>
  <si>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</si>
  <si>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</si>
  <si>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</si>
  <si>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</si>
  <si>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</si>
  <si>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</si>
  <si>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</si>
  <si>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</si>
  <si>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</si>
  <si>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</si>
  <si>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</si>
  <si>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</si>
  <si>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</si>
  <si>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</si>
  <si>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</si>
  <si>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</si>
  <si>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</si>
  <si>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</si>
  <si>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</si>
  <si>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</si>
  <si>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</si>
  <si>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</si>
  <si>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</si>
  <si>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</si>
  <si>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</si>
  <si>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</si>
  <si>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</si>
  <si>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</si>
  <si>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</si>
  <si>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</si>
  <si>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</si>
  <si>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</si>
  <si>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</si>
  <si>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</si>
  <si>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</si>
  <si>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</si>
  <si>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</si>
  <si>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</si>
  <si>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</si>
  <si>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</si>
  <si>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</si>
  <si>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</si>
  <si>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</si>
  <si>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</si>
  <si>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</si>
  <si>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</si>
  <si>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</si>
  <si>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</si>
  <si>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</si>
  <si>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</si>
  <si>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</si>
  <si>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</si>
  <si>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</si>
  <si>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</si>
  <si>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</si>
  <si>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</si>
  <si>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</si>
  <si>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</si>
  <si>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</si>
  <si>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</si>
  <si>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</si>
  <si>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</si>
  <si>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</si>
  <si>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</si>
  <si>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</si>
  <si>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</si>
  <si>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</si>
  <si>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</si>
  <si>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</si>
  <si>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</si>
  <si>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</si>
  <si>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</si>
  <si>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</si>
  <si>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</si>
  <si>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</si>
  <si>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</si>
  <si>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</si>
  <si>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</si>
  <si>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</si>
  <si>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</si>
  <si>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</si>
  <si>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</si>
  <si>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</si>
  <si>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</si>
  <si>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</si>
  <si>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</si>
  <si>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</si>
  <si>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</si>
  <si>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</si>
  <si>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</si>
  <si>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</si>
  <si>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</si>
  <si>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</si>
  <si>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</si>
  <si>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</si>
  <si>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</si>
  <si>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</si>
  <si>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</si>
  <si>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</si>
  <si>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</si>
  <si>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</si>
  <si>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</si>
  <si>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</si>
  <si>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</si>
  <si>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</si>
  <si>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</si>
  <si>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</si>
  <si>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</si>
  <si>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</si>
  <si>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</si>
  <si>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</si>
  <si>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</si>
  <si>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</si>
  <si>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</si>
  <si>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</si>
  <si>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</si>
  <si>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</si>
  <si>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</si>
  <si>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</si>
  <si>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</si>
  <si>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</si>
  <si>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</si>
  <si>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</si>
  <si>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</si>
  <si>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</si>
  <si>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</si>
  <si>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</si>
  <si>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</si>
  <si>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</si>
  <si>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</si>
  <si>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</si>
  <si>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</si>
  <si>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</si>
  <si>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</si>
  <si>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</si>
  <si>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</si>
  <si>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</si>
  <si>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</si>
  <si>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</si>
  <si>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</si>
  <si>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</si>
  <si>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</si>
  <si>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</si>
  <si>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</si>
  <si>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</si>
  <si>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</si>
  <si>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</si>
  <si>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</si>
  <si>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</si>
  <si>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</si>
  <si>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</si>
  <si>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</si>
  <si>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</si>
  <si>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</si>
  <si>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</si>
  <si>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</si>
  <si>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</si>
  <si>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</si>
  <si>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</si>
  <si>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</si>
  <si>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</si>
  <si>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</si>
  <si>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</si>
  <si>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</si>
  <si>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</si>
  <si>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</si>
  <si>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</si>
  <si>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</si>
  <si>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</si>
  <si>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</si>
  <si>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</si>
  <si>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</si>
  <si>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</si>
  <si>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</si>
  <si>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</si>
  <si>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</si>
  <si>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</si>
  <si>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</si>
  <si>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</si>
  <si>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</si>
  <si>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</si>
  <si>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</si>
  <si>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</si>
  <si>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</si>
  <si>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</si>
  <si>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</si>
  <si>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</si>
  <si>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</si>
  <si>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</si>
  <si>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</si>
  <si>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</si>
  <si>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</si>
  <si>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</si>
  <si>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</si>
  <si>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</si>
  <si>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</si>
  <si>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</si>
  <si>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</si>
  <si>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</si>
  <si>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</si>
  <si>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</si>
  <si>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</si>
  <si>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</si>
  <si>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</si>
  <si>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</si>
  <si>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</si>
  <si>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</si>
  <si>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</si>
  <si>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</si>
  <si>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</si>
  <si>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</si>
  <si>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</si>
  <si>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</si>
  <si>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</si>
  <si>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</si>
  <si>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</si>
  <si>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</si>
  <si>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</si>
  <si>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</si>
  <si>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</si>
  <si>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</si>
  <si>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</si>
  <si>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</si>
  <si>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</si>
  <si>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</si>
  <si>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</si>
  <si>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</si>
  <si>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</si>
  <si>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</si>
  <si>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</si>
  <si>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</si>
  <si>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</si>
  <si>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</si>
  <si>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</si>
  <si>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</si>
  <si>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</si>
  <si>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</si>
  <si>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</si>
  <si>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</si>
  <si>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</si>
  <si>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</si>
  <si>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</si>
  <si>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</si>
  <si>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</si>
  <si>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</si>
  <si>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</si>
  <si>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</si>
  <si>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</si>
  <si>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</si>
  <si>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</si>
  <si>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</si>
  <si>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</si>
  <si>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</si>
  <si>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</si>
  <si>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</si>
  <si>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</si>
  <si>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</si>
  <si>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</si>
  <si>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</si>
  <si>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</si>
  <si>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</si>
  <si>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</si>
  <si>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</si>
  <si>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</si>
  <si>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</si>
  <si>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</si>
  <si>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</si>
  <si>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</si>
  <si>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</si>
  <si>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</si>
  <si>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</si>
  <si>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</si>
  <si>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</si>
  <si>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</si>
  <si>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</si>
  <si>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</si>
  <si>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</si>
  <si>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</si>
  <si>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</si>
  <si>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</si>
  <si>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</si>
  <si>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</si>
  <si>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</si>
  <si>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</si>
  <si>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</si>
  <si>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</si>
  <si>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</si>
  <si>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</si>
  <si>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</si>
  <si>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</si>
  <si>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</si>
  <si>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</si>
  <si>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</si>
  <si>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</si>
  <si>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</si>
  <si>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</si>
  <si>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</si>
  <si>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</si>
  <si>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</si>
  <si>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</si>
  <si>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</si>
  <si>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</si>
  <si>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</si>
  <si>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</si>
  <si>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</si>
  <si>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</si>
  <si>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</si>
  <si>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</si>
  <si>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</si>
  <si>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</si>
  <si>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</si>
  <si>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</si>
  <si>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</si>
  <si>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</si>
  <si>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</si>
  <si>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</si>
  <si>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</si>
  <si>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</si>
  <si>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</si>
  <si>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</si>
  <si>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</si>
  <si>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</si>
  <si>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</si>
  <si>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</si>
  <si>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</si>
  <si>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</si>
  <si>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</si>
  <si>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</si>
  <si>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</si>
  <si>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</si>
  <si>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</si>
  <si>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</si>
  <si>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</si>
  <si>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</si>
  <si>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</si>
  <si>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</si>
  <si>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</si>
  <si>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</si>
  <si>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</si>
  <si>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</si>
  <si>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</si>
  <si>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</si>
  <si>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</si>
  <si>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</si>
  <si>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</si>
  <si>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</si>
  <si>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</si>
  <si>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</si>
  <si>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</si>
  <si>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</si>
  <si>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</si>
  <si>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</si>
  <si>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</si>
  <si>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</si>
  <si>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</si>
  <si>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</si>
  <si>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</si>
  <si>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</si>
  <si>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</si>
  <si>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</si>
  <si>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</si>
  <si>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</si>
  <si>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</si>
  <si>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</si>
  <si>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</si>
  <si>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</si>
  <si>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</si>
  <si>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</si>
  <si>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</si>
  <si>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</si>
  <si>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</si>
  <si>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</si>
  <si>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</si>
  <si>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</si>
  <si>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</si>
  <si>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</si>
  <si>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</si>
  <si>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</si>
  <si>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</si>
  <si>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</si>
  <si>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</si>
  <si>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</si>
  <si>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</si>
  <si>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</si>
  <si>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</si>
  <si>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</si>
  <si>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</si>
  <si>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</si>
  <si>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</si>
  <si>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</si>
  <si>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</si>
  <si>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</si>
  <si>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</si>
  <si>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</si>
  <si>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</si>
  <si>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</si>
  <si>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</si>
  <si>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</si>
  <si>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</si>
  <si>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</si>
  <si>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</si>
  <si>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</si>
  <si>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</si>
  <si>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</si>
  <si>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</si>
  <si>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</si>
  <si>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</si>
  <si>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</si>
  <si>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</si>
  <si>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</si>
  <si>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</si>
  <si>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</si>
  <si>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</si>
  <si>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</si>
  <si>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</si>
  <si>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</si>
  <si>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</si>
  <si>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</si>
  <si>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</si>
  <si>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</si>
  <si>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</si>
  <si>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</si>
  <si>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</si>
  <si>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</si>
  <si>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</si>
  <si>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</si>
  <si>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</si>
  <si>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</si>
  <si>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</si>
  <si>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</si>
  <si>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</si>
  <si>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</si>
  <si>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</si>
  <si>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</si>
  <si>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</si>
  <si>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</si>
  <si>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</si>
  <si>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</si>
  <si>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</si>
  <si>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</si>
  <si>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</si>
  <si>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</si>
  <si>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</si>
  <si>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</si>
  <si>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</si>
  <si>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</si>
  <si>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</si>
  <si>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</si>
  <si>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</si>
  <si>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</si>
  <si>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</si>
  <si>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</si>
  <si>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</si>
  <si>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</si>
  <si>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</si>
  <si>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</si>
  <si>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</si>
  <si>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</si>
  <si>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</si>
  <si>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</si>
  <si>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</si>
  <si>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</si>
  <si>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</si>
  <si>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</si>
  <si>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</si>
  <si>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</si>
  <si>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</si>
  <si>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</si>
  <si>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</si>
  <si>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</si>
  <si>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</si>
  <si>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</si>
  <si>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</si>
  <si>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</si>
  <si>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</si>
  <si>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</si>
  <si>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</si>
  <si>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</si>
  <si>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</si>
  <si>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</si>
  <si>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</si>
  <si>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</si>
  <si>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</si>
  <si>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</si>
  <si>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</si>
  <si>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</si>
  <si>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</si>
  <si>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</si>
  <si>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</si>
  <si>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</si>
  <si>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</si>
  <si>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</si>
  <si>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</si>
  <si>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</si>
  <si>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</si>
  <si>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</si>
  <si>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</si>
  <si>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</si>
  <si>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</si>
  <si>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</si>
  <si>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</si>
  <si>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</si>
  <si>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</si>
  <si>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</si>
  <si>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</si>
  <si>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</si>
  <si>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</si>
  <si>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</si>
  <si>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</si>
  <si>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</si>
  <si>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</si>
  <si>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</si>
  <si>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</si>
  <si>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</si>
  <si>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</si>
  <si>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</si>
  <si>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</si>
  <si>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</si>
  <si>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</si>
  <si>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</si>
  <si>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</si>
  <si>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</si>
  <si>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</si>
  <si>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</si>
  <si>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</si>
  <si>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</si>
  <si>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</si>
  <si>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</si>
  <si>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</si>
  <si>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</si>
  <si>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</si>
  <si>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</si>
  <si>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</si>
  <si>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</si>
  <si>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</si>
  <si>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</si>
  <si>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</si>
  <si>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</si>
  <si>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</si>
  <si>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</si>
  <si>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</si>
  <si>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</si>
  <si>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</si>
  <si>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</si>
  <si>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</si>
  <si>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</si>
  <si>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</si>
  <si>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</si>
  <si>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</si>
  <si>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</si>
  <si>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</si>
  <si>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</si>
  <si>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</si>
  <si>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</si>
  <si>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</si>
  <si>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</si>
  <si>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</si>
  <si>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</si>
  <si>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</si>
  <si>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</si>
  <si>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</si>
  <si>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</si>
  <si>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</si>
  <si>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</si>
  <si>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</si>
  <si>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</si>
  <si>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</si>
  <si>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</si>
  <si>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</si>
  <si>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</si>
  <si>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</si>
  <si>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</si>
  <si>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</si>
  <si>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</si>
  <si>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</si>
  <si>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</si>
  <si>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</si>
  <si>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</si>
  <si>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</si>
  <si>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</si>
  <si>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</si>
  <si>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</si>
  <si>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</si>
  <si>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</si>
  <si>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</si>
  <si>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</si>
  <si>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</si>
  <si>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</si>
  <si>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</si>
  <si>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</si>
  <si>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</si>
  <si>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</si>
  <si>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</si>
  <si>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</si>
  <si>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</si>
  <si>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</si>
  <si>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</si>
  <si>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</si>
  <si>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</si>
  <si>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</si>
  <si>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</si>
  <si>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</si>
  <si>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</si>
  <si>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</si>
  <si>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</si>
  <si>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</si>
  <si>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</si>
  <si>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</si>
  <si>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</si>
  <si>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</si>
  <si>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</si>
  <si>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</si>
  <si>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</si>
  <si>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</si>
  <si>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</si>
  <si>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</si>
  <si>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</si>
  <si>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</si>
  <si>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</si>
  <si>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</si>
  <si>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</si>
  <si>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</si>
  <si>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</si>
  <si>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</si>
  <si>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</si>
  <si>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</si>
  <si>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</si>
  <si>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</si>
  <si>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</si>
  <si>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</si>
  <si>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</si>
  <si>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</si>
  <si>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</si>
  <si>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</si>
  <si>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</si>
  <si>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</si>
  <si>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</si>
  <si>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</si>
  <si>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</si>
  <si>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</si>
  <si>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</si>
  <si>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</si>
  <si>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</si>
  <si>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</si>
  <si>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</si>
  <si>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</si>
  <si>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</si>
  <si>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</si>
  <si>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</si>
  <si>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</si>
  <si>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</si>
  <si>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</si>
  <si>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</si>
  <si>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</si>
  <si>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</si>
  <si>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</si>
  <si>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</si>
  <si>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</si>
  <si>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</si>
  <si>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</si>
  <si>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</si>
  <si>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</si>
  <si>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</si>
  <si>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</si>
  <si>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</si>
  <si>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</si>
  <si>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</si>
  <si>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</si>
  <si>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</si>
  <si>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</si>
  <si>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</si>
  <si>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</si>
  <si>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</si>
  <si>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</si>
  <si>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</si>
  <si>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</si>
  <si>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</si>
  <si>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</si>
  <si>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</si>
  <si>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</si>
  <si>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</si>
  <si>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</si>
  <si>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</si>
  <si>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</si>
  <si>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</si>
  <si>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</si>
  <si>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</si>
  <si>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</si>
  <si>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</si>
  <si>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</si>
  <si>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</si>
  <si>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</si>
  <si>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</si>
  <si>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</si>
  <si>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</si>
  <si>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</si>
  <si>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</si>
  <si>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</si>
  <si>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</si>
  <si>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</si>
  <si>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</si>
  <si>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</si>
  <si>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</si>
  <si>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</si>
  <si>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</si>
  <si>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</si>
  <si>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</si>
  <si>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</si>
  <si>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</si>
  <si>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</si>
  <si>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</si>
  <si>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</si>
  <si>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</si>
  <si>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</si>
  <si>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</si>
  <si>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</si>
  <si>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</si>
  <si>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</si>
  <si>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</si>
  <si>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</si>
  <si>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</si>
  <si>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</si>
  <si>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</si>
  <si>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</si>
  <si>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</si>
  <si>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</si>
  <si>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</si>
  <si>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</si>
  <si>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</si>
  <si>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</si>
  <si>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</si>
  <si>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</si>
  <si>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</si>
  <si>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</si>
  <si>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</si>
  <si>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</si>
  <si>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</si>
  <si>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</si>
  <si>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</si>
  <si>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</si>
  <si>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</si>
  <si>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</si>
  <si>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</si>
  <si>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</si>
  <si>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</si>
  <si>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</si>
  <si>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</si>
  <si>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</si>
  <si>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</si>
  <si>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</si>
  <si>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</si>
  <si>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</si>
  <si>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</si>
  <si>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</si>
  <si>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</si>
  <si>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</si>
  <si>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</si>
  <si>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</si>
  <si>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</si>
  <si>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</si>
  <si>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</si>
  <si>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</si>
  <si>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</si>
  <si>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</si>
  <si>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</si>
  <si>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</si>
  <si>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</si>
  <si>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</si>
  <si>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</si>
  <si>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</si>
  <si>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</si>
  <si>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</si>
  <si>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</si>
  <si>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</si>
  <si>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</si>
  <si>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</si>
  <si>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</si>
  <si>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</si>
  <si>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</si>
  <si>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</si>
  <si>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</si>
  <si>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</si>
  <si>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</si>
  <si>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</si>
  <si>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</si>
  <si>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</si>
  <si>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</si>
  <si>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</si>
  <si>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</si>
  <si>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</si>
  <si>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</si>
  <si>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</si>
  <si>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</si>
  <si>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</si>
  <si>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</si>
  <si>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</si>
  <si>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</si>
  <si>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</si>
  <si>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</si>
  <si>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</si>
  <si>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</si>
  <si>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</si>
  <si>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</si>
  <si>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</si>
  <si>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</si>
  <si>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</si>
  <si>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</si>
  <si>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</si>
  <si>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</si>
  <si>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</si>
  <si>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</si>
  <si>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</si>
  <si>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</si>
  <si>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</si>
  <si>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</si>
  <si>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</si>
  <si>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</si>
  <si>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</si>
  <si>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</si>
  <si>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</si>
  <si>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</si>
  <si>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</si>
  <si>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</si>
  <si>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</si>
  <si>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</si>
  <si>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</si>
  <si>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</si>
  <si>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</si>
  <si>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</si>
  <si>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</si>
  <si>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</si>
  <si>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</si>
  <si>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</si>
  <si>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</si>
  <si>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</si>
  <si>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</si>
  <si>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</si>
  <si>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</si>
  <si>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</si>
  <si>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</si>
  <si>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</si>
  <si>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</si>
  <si>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</si>
  <si>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</si>
  <si>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</si>
  <si>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</si>
  <si>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</si>
  <si>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</si>
  <si>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</si>
  <si>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</si>
  <si>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</si>
  <si>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</si>
  <si>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</si>
  <si>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</si>
  <si>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</si>
  <si>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</si>
  <si>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</si>
  <si>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</si>
  <si>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</si>
  <si>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</si>
  <si>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</si>
  <si>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</si>
  <si>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</si>
  <si>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</si>
  <si>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</si>
  <si>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</si>
  <si>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</si>
  <si>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</si>
  <si>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</si>
  <si>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</si>
  <si>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</si>
  <si>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</si>
  <si>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</si>
  <si>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</si>
  <si>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</si>
  <si>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</si>
  <si>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</si>
  <si>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</si>
  <si>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</si>
  <si>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</si>
  <si>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</si>
  <si>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</si>
  <si>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</si>
  <si>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</si>
  <si>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</si>
  <si>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</si>
  <si>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</si>
  <si>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</si>
  <si>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</si>
  <si>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</si>
  <si>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</si>
  <si>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</si>
  <si>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</si>
  <si>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</si>
  <si>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</si>
  <si>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</si>
  <si>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</si>
  <si>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</si>
  <si>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</si>
  <si>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</si>
  <si>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</si>
  <si>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</si>
  <si>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</si>
  <si>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</si>
  <si>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</si>
  <si>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</si>
  <si>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</si>
  <si>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</si>
  <si>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</si>
  <si>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</si>
  <si>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</si>
  <si>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</si>
  <si>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</si>
  <si>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</si>
  <si>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</si>
  <si>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</si>
  <si>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</si>
  <si>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</si>
  <si>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</si>
  <si>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</si>
  <si>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</si>
  <si>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</si>
  <si>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</si>
  <si>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</si>
  <si>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</si>
  <si>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</si>
  <si>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</si>
  <si>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</si>
  <si>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</si>
  <si>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</si>
  <si>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</si>
  <si>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</si>
  <si>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</si>
  <si>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</si>
  <si>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</si>
  <si>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</si>
  <si>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</si>
  <si>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</si>
  <si>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</si>
  <si>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</si>
  <si>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</si>
  <si>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</si>
  <si>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</si>
  <si>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</si>
  <si>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</si>
  <si>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</si>
  <si>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</si>
  <si>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</si>
  <si>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</si>
  <si>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</si>
  <si>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</si>
  <si>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</si>
  <si>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</si>
  <si>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</si>
  <si>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</si>
  <si>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</si>
  <si>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</si>
  <si>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</si>
  <si>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</si>
  <si>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</si>
  <si>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</si>
  <si>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</si>
  <si>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</si>
  <si>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</si>
  <si>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</si>
  <si>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</si>
  <si>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</si>
  <si>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</si>
  <si>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</si>
  <si>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</si>
  <si>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</si>
  <si>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</si>
  <si>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</si>
  <si>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</si>
  <si>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</si>
  <si>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</si>
  <si>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</si>
  <si>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</si>
  <si>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</si>
  <si>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</si>
  <si>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</si>
  <si>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</si>
  <si>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</si>
  <si>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</si>
  <si>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</si>
  <si>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</si>
  <si>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</si>
  <si>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</si>
  <si>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</si>
  <si>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</si>
  <si>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</si>
  <si>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</si>
  <si>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</si>
  <si>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</si>
  <si>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</si>
  <si>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</si>
  <si>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</si>
  <si>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</si>
  <si>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</si>
  <si>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</si>
  <si>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</si>
  <si>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</si>
  <si>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</si>
  <si>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</si>
  <si>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</si>
  <si>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</si>
  <si>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</si>
  <si>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</si>
  <si>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</si>
  <si>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</si>
  <si>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</si>
  <si>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</si>
  <si>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</si>
  <si>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</si>
  <si>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</si>
  <si>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</si>
  <si>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</si>
  <si>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</si>
  <si>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</si>
  <si>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</si>
  <si>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</si>
  <si>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</si>
  <si>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</si>
  <si>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</si>
  <si>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</si>
  <si>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</si>
  <si>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</si>
  <si>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</si>
  <si>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</si>
  <si>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</si>
  <si>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</si>
  <si>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</si>
  <si>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</si>
  <si>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</si>
  <si>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</si>
  <si>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</si>
  <si>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</si>
  <si>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</si>
  <si>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</si>
  <si>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</si>
  <si>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</si>
  <si>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</si>
  <si>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</si>
  <si>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</si>
  <si>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</si>
  <si>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</si>
  <si>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</si>
  <si>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</si>
  <si>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</si>
  <si>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</si>
  <si>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</si>
  <si>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</si>
  <si>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</si>
  <si>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</si>
  <si>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</si>
  <si>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</si>
  <si>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</si>
  <si>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</si>
  <si>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</si>
  <si>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</si>
  <si>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</si>
  <si>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</si>
  <si>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</si>
  <si>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</si>
  <si>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</si>
  <si>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</si>
  <si>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</si>
  <si>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</si>
  <si>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</si>
  <si>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</si>
  <si>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</si>
  <si>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</si>
  <si>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</si>
  <si>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</si>
  <si>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</si>
  <si>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</si>
  <si>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</si>
  <si>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</si>
  <si>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</si>
  <si>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</si>
  <si>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</si>
  <si>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</si>
  <si>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</si>
  <si>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</si>
  <si>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</si>
  <si>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</si>
  <si>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</si>
  <si>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</si>
  <si>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</si>
  <si>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</si>
  <si>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</si>
  <si>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</si>
  <si>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</si>
  <si>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</si>
  <si>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</si>
  <si>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</si>
  <si>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</si>
  <si>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</si>
  <si>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</si>
  <si>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</si>
  <si>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</si>
  <si>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</si>
  <si>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</si>
  <si>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</si>
  <si>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</si>
  <si>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</si>
  <si>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</si>
  <si>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</si>
  <si>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</si>
  <si>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</si>
  <si>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</si>
  <si>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</si>
  <si>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</si>
  <si>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</si>
  <si>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</si>
  <si>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</si>
  <si>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</si>
  <si>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</si>
  <si>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</si>
  <si>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</si>
  <si>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</si>
  <si>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</si>
  <si>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</si>
  <si>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</si>
  <si>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</si>
  <si>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</si>
  <si>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</si>
  <si>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</si>
  <si>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</si>
  <si>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</si>
  <si>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</si>
  <si>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</si>
  <si>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</si>
  <si>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</si>
  <si>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</si>
  <si>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</si>
  <si>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</si>
  <si>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</si>
  <si>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</si>
  <si>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</si>
  <si>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</si>
  <si>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</si>
  <si>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</si>
  <si>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</si>
  <si>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</si>
  <si>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</si>
  <si>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</si>
  <si>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</si>
  <si>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</si>
  <si>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</si>
  <si>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</si>
  <si>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</si>
  <si>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</si>
  <si>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</si>
  <si>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</si>
  <si>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</si>
  <si>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</si>
  <si>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</si>
  <si>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</si>
  <si>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</si>
  <si>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</si>
  <si>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</si>
  <si>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</si>
  <si>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</si>
  <si>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</si>
  <si>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</si>
  <si>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</si>
  <si>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</si>
  <si>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</si>
  <si>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</si>
  <si>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</si>
  <si>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</si>
  <si>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</si>
  <si>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</si>
  <si>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</si>
  <si>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</si>
  <si>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</si>
  <si>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</si>
  <si>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</si>
  <si>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</si>
  <si>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</si>
  <si>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</si>
  <si>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</si>
  <si>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</si>
  <si>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</si>
  <si>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</si>
  <si>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</si>
  <si>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</si>
  <si>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</si>
  <si>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</si>
  <si>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</si>
  <si>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</si>
  <si>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</si>
  <si>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</si>
  <si>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</si>
  <si>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</si>
  <si>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</si>
  <si>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</si>
  <si>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</si>
  <si>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</si>
  <si>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</si>
  <si>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</si>
  <si>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</si>
  <si>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</si>
  <si>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</si>
  <si>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</si>
  <si>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</si>
  <si>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</si>
  <si>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</si>
  <si>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</si>
  <si>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</si>
  <si>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</si>
  <si>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</si>
  <si>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</si>
  <si>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</si>
  <si>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</si>
  <si>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</si>
  <si>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</si>
  <si>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</si>
  <si>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</si>
  <si>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</si>
  <si>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</si>
  <si>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</si>
  <si>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</si>
  <si>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</si>
  <si>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</si>
  <si>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</si>
  <si>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</si>
  <si>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</si>
  <si>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</si>
  <si>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</si>
  <si>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</si>
  <si>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</si>
  <si>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</si>
  <si>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</si>
  <si>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</si>
  <si>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</si>
  <si>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</si>
  <si>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</si>
  <si>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</si>
  <si>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</si>
  <si>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</si>
  <si>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</si>
  <si>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</si>
  <si>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</si>
  <si>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</si>
  <si>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</si>
  <si>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</si>
  <si>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</si>
  <si>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</si>
  <si>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</si>
  <si>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</si>
  <si>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</si>
  <si>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</si>
  <si>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</si>
  <si>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</si>
  <si>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</si>
  <si>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</si>
  <si>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</si>
  <si>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</si>
  <si>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</si>
  <si>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</si>
  <si>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</si>
  <si>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</si>
  <si>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</si>
  <si>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</si>
  <si>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</si>
  <si>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</si>
  <si>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</si>
  <si>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</si>
  <si>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</si>
  <si>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</si>
  <si>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</si>
  <si>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</si>
  <si>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</si>
  <si>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</si>
  <si>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</si>
  <si>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</si>
  <si>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</si>
  <si>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</si>
  <si>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</si>
  <si>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</si>
  <si>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</si>
  <si>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</si>
  <si>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</si>
  <si>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</si>
  <si>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</si>
  <si>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</si>
  <si>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</si>
  <si>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</si>
  <si>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</si>
  <si>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</si>
  <si>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</si>
  <si>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</si>
  <si>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</si>
  <si>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</si>
  <si>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</si>
  <si>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</si>
  <si>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</si>
  <si>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</si>
  <si>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</si>
  <si>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</si>
  <si>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</si>
  <si>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</si>
  <si>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</si>
  <si>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</si>
  <si>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</si>
  <si>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</si>
  <si>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</si>
  <si>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</si>
  <si>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</si>
  <si>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</si>
  <si>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</si>
  <si>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</si>
  <si>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</si>
  <si>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</si>
  <si>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</si>
  <si>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</si>
  <si>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</si>
  <si>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</si>
  <si>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</si>
  <si>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</si>
  <si>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</si>
  <si>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</si>
  <si>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</si>
  <si>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</si>
  <si>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</si>
  <si>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</si>
  <si>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</si>
  <si>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</si>
  <si>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</si>
  <si>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</si>
  <si>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</si>
  <si>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</si>
  <si>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</si>
  <si>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</si>
  <si>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</si>
  <si>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</si>
  <si>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</si>
  <si>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</si>
  <si>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</si>
  <si>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</si>
  <si>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</si>
  <si>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</si>
  <si>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</si>
  <si>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</si>
  <si>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</si>
  <si>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</si>
  <si>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</si>
  <si>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</si>
  <si>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</si>
  <si>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</si>
  <si>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</si>
  <si>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</si>
  <si>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</si>
  <si>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</si>
  <si>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</si>
  <si>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</si>
  <si>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</si>
  <si>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</si>
  <si>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</si>
  <si>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</si>
  <si>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</si>
  <si>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</si>
  <si>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</si>
  <si>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</si>
  <si>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</si>
  <si>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</si>
  <si>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</si>
  <si>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</si>
  <si>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</si>
  <si>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</si>
  <si>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</si>
  <si>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</si>
  <si>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</si>
  <si>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</si>
  <si>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</si>
  <si>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</si>
  <si>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</si>
  <si>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</si>
  <si>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</si>
  <si>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</si>
  <si>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</si>
  <si>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</si>
  <si>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</si>
  <si>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</si>
  <si>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</si>
  <si>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</si>
  <si>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</si>
  <si>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</si>
  <si>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</si>
  <si>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</si>
  <si>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</si>
  <si>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</si>
  <si>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</si>
  <si>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</si>
  <si>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</si>
  <si>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</si>
  <si>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</si>
  <si>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</si>
  <si>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</si>
  <si>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</si>
  <si>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</si>
  <si>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</si>
  <si>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</si>
  <si>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</si>
  <si>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</si>
  <si>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</si>
  <si>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</si>
  <si>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</si>
  <si>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</si>
  <si>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</si>
  <si>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</si>
  <si>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</si>
  <si>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</si>
  <si>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</si>
  <si>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</si>
  <si>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</si>
  <si>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</si>
  <si>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</si>
  <si>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</si>
  <si>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</si>
  <si>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</si>
  <si>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</si>
  <si>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</si>
  <si>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</si>
  <si>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</si>
  <si>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</si>
  <si>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</si>
  <si>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</si>
  <si>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</si>
  <si>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</si>
  <si>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</si>
  <si>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</si>
  <si>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</si>
  <si>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</si>
  <si>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</si>
  <si>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</si>
  <si>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</si>
  <si>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</si>
  <si>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</si>
  <si>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</si>
  <si>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</si>
  <si>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</si>
  <si>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</si>
  <si>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</si>
  <si>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</si>
  <si>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</si>
  <si>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</si>
  <si>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</si>
  <si>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</si>
  <si>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</si>
  <si>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</si>
  <si>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</si>
  <si>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</si>
  <si>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</si>
  <si>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</si>
  <si>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</si>
  <si>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</si>
  <si>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</si>
  <si>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</si>
  <si>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</si>
  <si>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</si>
  <si>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</si>
  <si>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</si>
  <si>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</si>
  <si>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</si>
  <si>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</si>
  <si>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</si>
  <si>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</si>
  <si>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</si>
  <si>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</si>
  <si>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</si>
  <si>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</si>
  <si>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</si>
  <si>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</si>
  <si>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</si>
  <si>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</si>
  <si>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</si>
  <si>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</si>
  <si>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</si>
  <si>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</si>
  <si>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</si>
  <si>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</si>
  <si>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</si>
  <si>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</si>
  <si>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</si>
  <si>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</si>
  <si>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</si>
  <si>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</si>
  <si>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</si>
  <si>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</si>
  <si>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</si>
  <si>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</si>
  <si>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</si>
  <si>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</si>
  <si>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</si>
  <si>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</si>
  <si>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</si>
  <si>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</si>
  <si>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</si>
  <si>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</si>
  <si>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</si>
  <si>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</si>
  <si>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</si>
  <si>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</si>
  <si>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</si>
  <si>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</si>
  <si>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</si>
  <si>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</si>
  <si>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</si>
  <si>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</si>
  <si>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</si>
  <si>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</si>
  <si>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</si>
  <si>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</si>
  <si>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</si>
  <si>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</si>
  <si>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</si>
  <si>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</si>
  <si>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</si>
  <si>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</si>
  <si>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</si>
  <si>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</si>
  <si>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</si>
  <si>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</si>
  <si>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</si>
  <si>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</si>
  <si>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</si>
  <si>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</si>
  <si>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</si>
  <si>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</si>
  <si>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</si>
  <si>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</si>
  <si>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</si>
  <si>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</si>
  <si>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</si>
  <si>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</si>
  <si>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</si>
  <si>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</si>
  <si>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</si>
  <si>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</si>
  <si>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</si>
  <si>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</si>
  <si>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</si>
  <si>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</si>
  <si>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</si>
  <si>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</si>
  <si>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</si>
  <si>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</si>
  <si>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</si>
  <si>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</si>
  <si>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</si>
  <si>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</si>
  <si>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</si>
  <si>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</si>
  <si>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</si>
  <si>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</si>
  <si>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</si>
  <si>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</si>
  <si>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</si>
  <si>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</si>
  <si>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</si>
  <si>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</si>
  <si>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</si>
  <si>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</si>
  <si>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</si>
  <si>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</si>
  <si>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</si>
  <si>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</si>
  <si>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</si>
  <si>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</si>
  <si>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</si>
  <si>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</si>
  <si>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</si>
  <si>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</si>
  <si>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</si>
  <si>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</si>
  <si>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</si>
  <si>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</si>
  <si>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</si>
  <si>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</si>
  <si>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</si>
  <si>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</si>
  <si>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</si>
  <si>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</si>
  <si>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</si>
  <si>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</si>
  <si>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</si>
  <si>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</si>
  <si>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</si>
  <si>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</si>
  <si>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</si>
  <si>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</si>
  <si>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</si>
  <si>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</si>
  <si>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</si>
  <si>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</si>
  <si>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</si>
  <si>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</si>
  <si>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</si>
  <si>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</si>
  <si>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</si>
  <si>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</si>
  <si>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</si>
  <si>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</si>
  <si>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</si>
  <si>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</si>
  <si>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</si>
  <si>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</si>
  <si>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</si>
  <si>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</si>
  <si>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</si>
  <si>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</si>
  <si>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</si>
  <si>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</si>
  <si>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</si>
  <si>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</si>
  <si>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</si>
  <si>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</si>
  <si>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</si>
  <si>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</si>
  <si>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</si>
  <si>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</si>
  <si>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</si>
  <si>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</si>
  <si>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</si>
  <si>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</si>
  <si>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</si>
  <si>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</si>
  <si>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</si>
  <si>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</si>
  <si>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</si>
  <si>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</si>
  <si>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</si>
  <si>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</si>
  <si>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</si>
  <si>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</si>
  <si>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</si>
  <si>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</si>
  <si>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</si>
  <si>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</si>
  <si>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</si>
  <si>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</si>
  <si>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</si>
  <si>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</si>
  <si>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</si>
  <si>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</si>
  <si>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</si>
  <si>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</si>
  <si>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</si>
  <si>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</si>
  <si>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</si>
  <si>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</si>
  <si>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</si>
  <si>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</si>
  <si>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</si>
  <si>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</si>
  <si>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</si>
  <si>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</si>
  <si>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</si>
  <si>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</si>
  <si>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</si>
  <si>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</si>
  <si>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</si>
  <si>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</si>
  <si>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</si>
  <si>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</si>
  <si>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</si>
  <si>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</si>
  <si>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</si>
  <si>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</si>
  <si>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</si>
  <si>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</si>
  <si>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</si>
  <si>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</si>
  <si>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</si>
  <si>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</si>
  <si>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</si>
  <si>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</si>
  <si>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</si>
  <si>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</si>
  <si>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</si>
  <si>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</si>
  <si>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</si>
  <si>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</si>
  <si>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</si>
  <si>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</si>
  <si>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</si>
  <si>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</si>
  <si>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</si>
  <si>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</si>
  <si>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</si>
  <si>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</si>
  <si>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</si>
  <si>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</si>
  <si>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</si>
  <si>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</si>
  <si>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</si>
  <si>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</si>
  <si>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</si>
  <si>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</si>
  <si>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</si>
  <si>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</si>
  <si>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</si>
  <si>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</si>
  <si>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</si>
  <si>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</si>
  <si>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</si>
  <si>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</si>
  <si>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</si>
  <si>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</si>
  <si>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</si>
  <si>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</si>
  <si>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</si>
  <si>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</si>
  <si>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</si>
  <si>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</si>
  <si>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</si>
  <si>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</si>
  <si>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</si>
  <si>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</si>
  <si>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</si>
  <si>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</si>
  <si>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</si>
  <si>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</si>
  <si>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</si>
  <si>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</si>
  <si>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</si>
  <si>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</si>
  <si>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</si>
  <si>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</si>
  <si>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</si>
  <si>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</si>
  <si>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</si>
  <si>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</si>
  <si>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</si>
  <si>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</si>
  <si>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</si>
  <si>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</si>
  <si>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</si>
  <si>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</si>
  <si>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</si>
  <si>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</si>
  <si>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</si>
  <si>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</si>
  <si>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</si>
  <si>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</si>
  <si>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</si>
  <si>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</si>
  <si>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</si>
  <si>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</si>
  <si>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</si>
  <si>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</si>
  <si>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</si>
  <si>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</si>
  <si>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</si>
  <si>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</si>
  <si>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</si>
  <si>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</si>
  <si>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</si>
  <si>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</si>
  <si>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</si>
  <si>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</si>
  <si>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</si>
  <si>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</si>
  <si>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</si>
  <si>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</si>
  <si>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</si>
  <si>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</si>
  <si>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</si>
  <si>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</si>
  <si>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</si>
  <si>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</si>
  <si>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</si>
  <si>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</si>
  <si>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</si>
  <si>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</si>
  <si>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</si>
  <si>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</si>
  <si>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</si>
  <si>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</si>
  <si>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</si>
  <si>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</si>
  <si>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</si>
  <si>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</si>
  <si>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</si>
  <si>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</si>
  <si>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</si>
  <si>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</si>
  <si>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</si>
  <si>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</si>
  <si>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</si>
  <si>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</si>
  <si>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</si>
  <si>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</si>
  <si>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</si>
  <si>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</si>
  <si>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</si>
  <si>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</si>
  <si>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</si>
  <si>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</si>
  <si>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</si>
  <si>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</si>
  <si>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</si>
  <si>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</si>
  <si>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</si>
  <si>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</si>
  <si>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</si>
  <si>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</si>
  <si>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</si>
  <si>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</si>
  <si>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</si>
  <si>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</si>
  <si>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</si>
  <si>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</si>
  <si>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</si>
  <si>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</si>
  <si>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</si>
  <si>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</si>
  <si>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</si>
  <si>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</si>
  <si>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</si>
  <si>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</si>
  <si>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</si>
  <si>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</si>
  <si>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</si>
  <si>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</si>
  <si>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</si>
  <si>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</si>
  <si>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</si>
  <si>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</si>
  <si>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</si>
  <si>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</si>
  <si>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</si>
  <si>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</si>
  <si>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</si>
  <si>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</si>
  <si>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</si>
  <si>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</si>
  <si>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</si>
  <si>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</si>
  <si>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</si>
  <si>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</si>
  <si>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</si>
  <si>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</si>
  <si>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</si>
  <si>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</si>
  <si>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</si>
  <si>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</si>
  <si>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</si>
  <si>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</si>
  <si>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</si>
  <si>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</si>
  <si>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</si>
  <si>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</si>
  <si>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</si>
  <si>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</si>
  <si>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</si>
  <si>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</si>
  <si>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</si>
  <si>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</si>
  <si>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</si>
  <si>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</si>
  <si>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</si>
  <si>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</si>
  <si>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</si>
  <si>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</si>
  <si>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</si>
  <si>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</si>
  <si>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</si>
  <si>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</si>
  <si>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</si>
  <si>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</si>
  <si>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</si>
  <si>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</si>
  <si>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</si>
  <si>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</si>
  <si>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</si>
  <si>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</si>
  <si>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</si>
  <si>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</si>
  <si>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</si>
  <si>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</si>
  <si>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</si>
  <si>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</si>
  <si>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</si>
  <si>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</si>
  <si>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</si>
  <si>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</si>
  <si>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</si>
  <si>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</si>
  <si>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</si>
  <si>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</si>
  <si>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</si>
  <si>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</si>
  <si>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</si>
  <si>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</si>
  <si>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</si>
  <si>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</si>
  <si>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</si>
  <si>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</si>
  <si>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</si>
  <si>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</si>
  <si>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</si>
  <si>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</si>
  <si>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</si>
  <si>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</si>
  <si>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</si>
  <si>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</si>
  <si>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</si>
  <si>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</si>
  <si>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</si>
  <si>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</si>
  <si>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</si>
  <si>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</si>
  <si>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</si>
  <si>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</si>
  <si>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</si>
  <si>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</si>
  <si>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</si>
  <si>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</si>
  <si>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</si>
  <si>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</si>
  <si>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</si>
  <si>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</si>
  <si>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</si>
  <si>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</si>
  <si>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</si>
  <si>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</si>
  <si>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</si>
  <si>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</si>
  <si>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</si>
  <si>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</si>
  <si>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</si>
  <si>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</si>
  <si>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</si>
  <si>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</si>
  <si>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</si>
  <si>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</si>
  <si>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</si>
  <si>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</si>
  <si>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</si>
  <si>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</si>
  <si>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</si>
  <si>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</si>
  <si>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</si>
  <si>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</si>
  <si>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</si>
  <si>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</si>
  <si>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</si>
  <si>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</si>
  <si>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</si>
  <si>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</si>
  <si>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</si>
  <si>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</si>
  <si>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</si>
  <si>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</si>
  <si>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</si>
  <si>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</si>
  <si>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</si>
  <si>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</si>
  <si>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</si>
  <si>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</si>
  <si>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</si>
  <si>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</si>
  <si>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</si>
  <si>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</si>
  <si>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</si>
  <si>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</si>
  <si>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</si>
  <si>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</si>
  <si>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</si>
  <si>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</si>
  <si>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</si>
  <si>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</si>
  <si>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</si>
  <si>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</si>
  <si>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</si>
  <si>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</si>
  <si>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</si>
  <si>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</si>
  <si>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</si>
  <si>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</si>
  <si>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</si>
  <si>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</si>
  <si>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</si>
  <si>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</si>
  <si>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</si>
  <si>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</si>
  <si>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</si>
  <si>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</si>
  <si>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</si>
  <si>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</si>
  <si>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</si>
  <si>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</si>
  <si>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</si>
  <si>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</si>
  <si>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</si>
  <si>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</si>
  <si>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</si>
  <si>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</si>
  <si>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</si>
  <si>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</si>
  <si>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</si>
  <si>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</si>
  <si>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</si>
  <si>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</si>
  <si>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</si>
  <si>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</si>
  <si>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</si>
  <si>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</si>
  <si>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</si>
  <si>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</si>
  <si>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</si>
  <si>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</si>
  <si>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</si>
  <si>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</si>
  <si>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</si>
  <si>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</si>
  <si>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</si>
  <si>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</si>
  <si>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</si>
  <si>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</si>
  <si>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</si>
  <si>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</si>
  <si>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</si>
  <si>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</si>
  <si>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</si>
  <si>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</si>
  <si>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</si>
  <si>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</si>
  <si>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</si>
  <si>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</si>
  <si>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</si>
  <si>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</si>
  <si>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</si>
  <si>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</si>
  <si>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</si>
  <si>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</si>
  <si>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</si>
  <si>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</si>
  <si>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</si>
  <si>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</si>
  <si>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</si>
  <si>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</si>
  <si>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</si>
  <si>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</si>
  <si>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</si>
  <si>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</si>
  <si>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</si>
  <si>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</si>
  <si>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</si>
  <si>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</si>
  <si>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</si>
  <si>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</si>
  <si>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</si>
  <si>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</si>
  <si>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</si>
  <si>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</si>
  <si>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</si>
  <si>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</si>
  <si>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</si>
  <si>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</si>
  <si>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</si>
  <si>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</si>
  <si>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</si>
  <si>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</si>
  <si>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</si>
  <si>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</si>
  <si>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</si>
  <si>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</si>
  <si>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</si>
  <si>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</si>
  <si>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</si>
  <si>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</si>
  <si>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</si>
  <si>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</si>
  <si>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</si>
  <si>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</si>
  <si>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</si>
  <si>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</si>
  <si>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</si>
  <si>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</si>
  <si>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</si>
  <si>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</si>
  <si>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</si>
  <si>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</si>
  <si>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</si>
  <si>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</si>
  <si>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</si>
  <si>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</si>
  <si>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</si>
  <si>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</si>
  <si>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</si>
  <si>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</si>
  <si>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</si>
  <si>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</si>
  <si>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</si>
  <si>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</si>
  <si>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</si>
  <si>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</si>
  <si>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</si>
  <si>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</si>
  <si>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</si>
  <si>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</si>
  <si>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</si>
  <si>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</si>
  <si>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</si>
  <si>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</si>
  <si>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</si>
  <si>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</si>
  <si>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</si>
  <si>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</si>
  <si>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</si>
  <si>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</si>
  <si>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</si>
  <si>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</si>
  <si>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</si>
  <si>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</si>
  <si>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</si>
  <si>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</si>
  <si>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</si>
  <si>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</si>
  <si>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</si>
  <si>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</si>
  <si>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</si>
  <si>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</si>
  <si>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</si>
  <si>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</si>
  <si>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</si>
  <si>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</si>
  <si>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</si>
  <si>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</si>
  <si>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</si>
  <si>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</si>
  <si>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</si>
  <si>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</si>
  <si>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</si>
  <si>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</si>
  <si>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</si>
  <si>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</si>
  <si>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</si>
  <si>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</si>
  <si>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</si>
  <si>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</si>
  <si>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</si>
  <si>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</si>
  <si>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</si>
  <si>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</si>
  <si>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</si>
  <si>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</si>
  <si>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</si>
  <si>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</si>
  <si>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</si>
  <si>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</si>
  <si>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</si>
  <si>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</si>
  <si>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</si>
  <si>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</si>
  <si>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</si>
  <si>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</si>
  <si>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</si>
  <si>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</si>
  <si>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</si>
  <si>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</si>
  <si>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</si>
  <si>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</si>
  <si>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</si>
  <si>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</si>
  <si>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</si>
  <si>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</si>
  <si>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</si>
  <si>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</si>
  <si>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</si>
  <si>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</si>
  <si>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</si>
  <si>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</si>
  <si>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</si>
  <si>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</si>
  <si>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</si>
  <si>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</si>
  <si>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</si>
  <si>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</si>
  <si>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</si>
  <si>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</si>
  <si>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</si>
  <si>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</si>
  <si>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</si>
  <si>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</si>
  <si>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</si>
  <si>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</si>
  <si>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</si>
  <si>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</si>
  <si>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</si>
  <si>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</si>
  <si>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</si>
  <si>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</si>
  <si>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</si>
  <si>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</si>
  <si>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</si>
  <si>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</si>
  <si>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</si>
  <si>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</si>
  <si>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</si>
  <si>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</si>
  <si>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</si>
  <si>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</si>
  <si>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</si>
  <si>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</si>
  <si>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</si>
  <si>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</si>
  <si>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</si>
  <si>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</si>
  <si>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</si>
  <si>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</si>
  <si>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</si>
  <si>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</si>
  <si>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</si>
  <si>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</si>
  <si>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</si>
  <si>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</si>
  <si>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</si>
  <si>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</si>
  <si>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</si>
  <si>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</si>
  <si>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</si>
  <si>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</si>
  <si>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</si>
  <si>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</si>
  <si>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</si>
  <si>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</si>
  <si>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</si>
  <si>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</si>
  <si>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</si>
  <si>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</si>
  <si>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</si>
  <si>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</si>
  <si>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</si>
  <si>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</si>
  <si>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</si>
  <si>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</si>
  <si>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</si>
  <si>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</si>
  <si>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</si>
  <si>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</si>
  <si>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</si>
  <si>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</si>
  <si>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</si>
  <si>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</si>
  <si>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</si>
  <si>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</si>
  <si>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</si>
  <si>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</si>
  <si>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</si>
  <si>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</si>
  <si>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</si>
  <si>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</si>
  <si>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</si>
  <si>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</si>
  <si>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</si>
  <si>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</si>
  <si>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</si>
  <si>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</si>
  <si>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</si>
  <si>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</si>
  <si>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</si>
  <si>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</si>
  <si>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</si>
  <si>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</si>
  <si>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</si>
  <si>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</si>
  <si>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</si>
  <si>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</si>
  <si>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</si>
  <si>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</si>
  <si>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</si>
  <si>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</si>
  <si>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</si>
  <si>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</si>
  <si>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</si>
  <si>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</si>
  <si>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</si>
  <si>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</si>
  <si>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</si>
  <si>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</si>
  <si>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</si>
  <si>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</si>
  <si>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</si>
  <si>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</si>
  <si>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</si>
  <si>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</si>
  <si>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</si>
  <si>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</si>
  <si>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</si>
  <si>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</si>
  <si>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</si>
  <si>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</si>
  <si>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</si>
  <si>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</si>
  <si>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</si>
  <si>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</si>
  <si>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</si>
  <si>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</si>
  <si>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</si>
  <si>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</si>
  <si>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</si>
  <si>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</si>
  <si>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</si>
  <si>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</si>
  <si>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</si>
  <si>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</si>
  <si>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</si>
  <si>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</si>
  <si>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</si>
  <si>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</si>
  <si>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</si>
  <si>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</si>
  <si>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</si>
  <si>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</si>
  <si>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</si>
  <si>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</si>
  <si>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</si>
  <si>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</si>
  <si>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</si>
  <si>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</si>
  <si>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</si>
  <si>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</si>
  <si>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</si>
  <si>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</si>
  <si>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</si>
  <si>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</si>
  <si>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</si>
  <si>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</si>
  <si>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</si>
  <si>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</si>
  <si>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</si>
  <si>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</si>
  <si>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</si>
  <si>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</si>
  <si>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</si>
  <si>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</si>
  <si>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</si>
  <si>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</si>
  <si>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</si>
  <si>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</si>
  <si>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</si>
  <si>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</si>
  <si>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</si>
  <si>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</si>
  <si>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</si>
  <si>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</si>
  <si>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</si>
  <si>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</si>
  <si>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</si>
  <si>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</si>
  <si>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</si>
  <si>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</si>
  <si>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</si>
  <si>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</si>
  <si>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</si>
  <si>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</si>
  <si>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</si>
  <si>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</si>
  <si>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</si>
  <si>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</si>
  <si>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</si>
  <si>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</si>
  <si>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</si>
  <si>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</si>
  <si>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</si>
  <si>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</si>
  <si>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</si>
  <si>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</si>
  <si>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</si>
  <si>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</si>
  <si>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</si>
  <si>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</si>
  <si>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</si>
  <si>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</si>
  <si>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</si>
  <si>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</si>
  <si>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</si>
  <si>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</si>
  <si>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</si>
  <si>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</si>
  <si>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</si>
  <si>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</si>
  <si>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</si>
  <si>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</si>
  <si>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</si>
  <si>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</si>
  <si>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</si>
  <si>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</si>
  <si>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</si>
  <si>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</si>
  <si>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</si>
  <si>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</si>
  <si>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</si>
  <si>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</si>
  <si>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</si>
  <si>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</si>
  <si>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</si>
  <si>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</si>
  <si>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</si>
  <si>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</si>
  <si>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</si>
  <si>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</si>
  <si>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</si>
  <si>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</si>
  <si>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</si>
  <si>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</si>
  <si>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</si>
  <si>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</si>
  <si>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</si>
  <si>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</si>
  <si>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</si>
  <si>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</si>
  <si>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</si>
  <si>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</si>
  <si>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</si>
  <si>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</si>
  <si>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</si>
  <si>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</si>
  <si>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</si>
  <si>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</si>
  <si>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</si>
  <si>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</si>
  <si>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</si>
  <si>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</si>
  <si>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</si>
  <si>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</si>
  <si>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</si>
  <si>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</si>
  <si>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</si>
  <si>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</si>
  <si>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</si>
  <si>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</si>
  <si>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</si>
  <si>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</si>
  <si>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</si>
  <si>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</si>
  <si>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</si>
  <si>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</si>
  <si>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</si>
  <si>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</si>
  <si>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</si>
  <si>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</si>
  <si>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</si>
  <si>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</si>
  <si>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</si>
  <si>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</si>
  <si>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</si>
  <si>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</si>
  <si>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</si>
  <si>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</si>
  <si>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</si>
  <si>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</si>
  <si>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</si>
  <si>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</si>
  <si>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</si>
  <si>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</si>
  <si>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</si>
  <si>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</si>
  <si>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</si>
  <si>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</si>
  <si>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</si>
  <si>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</si>
  <si>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</si>
  <si>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</si>
  <si>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</si>
  <si>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</si>
  <si>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</si>
  <si>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</si>
  <si>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</si>
  <si>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</si>
  <si>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</si>
  <si>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</si>
  <si>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</si>
  <si>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</si>
  <si>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</si>
  <si>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</si>
  <si>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</si>
  <si>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</si>
  <si>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</si>
  <si>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</si>
  <si>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</si>
  <si>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</si>
  <si>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</si>
  <si>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</si>
  <si>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</si>
  <si>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</si>
  <si>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</si>
  <si>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</si>
  <si>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</si>
  <si>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</si>
  <si>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</si>
  <si>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</si>
  <si>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</si>
  <si>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</si>
  <si>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</si>
  <si>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</si>
  <si>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</si>
  <si>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</si>
  <si>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</si>
  <si>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</si>
  <si>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</si>
  <si>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</si>
  <si>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</si>
  <si>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</si>
  <si>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</si>
  <si>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</si>
  <si>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</si>
  <si>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</si>
  <si>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</si>
  <si>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</si>
  <si>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</si>
  <si>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</si>
  <si>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</si>
  <si>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</si>
  <si>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</si>
  <si>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</si>
  <si>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</si>
  <si>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</si>
  <si>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</si>
  <si>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</si>
  <si>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</si>
  <si>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</si>
  <si>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</si>
  <si>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</si>
  <si>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</si>
  <si>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</si>
  <si>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</si>
  <si>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</si>
  <si>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</si>
  <si>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</si>
  <si>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</si>
  <si>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</si>
  <si>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</si>
  <si>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</si>
  <si>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</si>
  <si>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</si>
  <si>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</si>
  <si>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</si>
  <si>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</si>
  <si>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</si>
  <si>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</si>
  <si>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</si>
  <si>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</si>
  <si>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</si>
  <si>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</si>
  <si>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</si>
  <si>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</si>
  <si>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</si>
  <si>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</si>
  <si>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</si>
  <si>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</si>
  <si>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</si>
  <si>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</si>
  <si>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</si>
  <si>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</si>
  <si>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</si>
  <si>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</si>
  <si>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</si>
  <si>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</si>
  <si>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</si>
  <si>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</si>
  <si>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</si>
  <si>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</si>
  <si>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</si>
  <si>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</si>
  <si>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</si>
  <si>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</si>
  <si>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</si>
  <si>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</si>
  <si>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</si>
  <si>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</si>
  <si>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</si>
  <si>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</si>
  <si>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</si>
  <si>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</si>
  <si>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</si>
  <si>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</si>
  <si>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</si>
  <si>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</si>
  <si>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</si>
  <si>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</si>
  <si>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</si>
  <si>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</si>
  <si>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</si>
  <si>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</si>
  <si>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</si>
  <si>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</si>
  <si>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</si>
  <si>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</si>
  <si>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</si>
  <si>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</si>
  <si>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</si>
  <si>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</si>
  <si>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</si>
  <si>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</si>
  <si>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</si>
  <si>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</si>
  <si>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</si>
  <si>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</si>
  <si>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</si>
  <si>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</si>
  <si>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</si>
  <si>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</si>
  <si>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</si>
  <si>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</si>
  <si>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</si>
  <si>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</si>
  <si>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</si>
  <si>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</si>
  <si>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</si>
  <si>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</si>
  <si>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</si>
  <si>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</si>
  <si>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</si>
  <si>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</si>
  <si>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</si>
  <si>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</si>
  <si>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</si>
  <si>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</si>
  <si>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</si>
  <si>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</si>
  <si>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</si>
  <si>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</si>
  <si>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</si>
  <si>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</si>
  <si>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</si>
  <si>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</si>
  <si>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</si>
  <si>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</si>
  <si>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</si>
  <si>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</si>
  <si>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</si>
  <si>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</si>
  <si>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</si>
  <si>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</si>
  <si>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</si>
  <si>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</si>
  <si>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</si>
  <si>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</si>
  <si>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</si>
  <si>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</si>
  <si>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</si>
  <si>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</si>
  <si>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</si>
  <si>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</si>
  <si>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</si>
  <si>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</si>
  <si>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</si>
  <si>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</si>
  <si>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</si>
  <si>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</si>
  <si>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</si>
  <si>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</si>
  <si>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</si>
  <si>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</si>
  <si>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</si>
  <si>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</si>
  <si>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</si>
  <si>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</si>
  <si>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</si>
  <si>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</si>
  <si>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</si>
  <si>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</si>
  <si>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</si>
  <si>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</si>
  <si>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</si>
  <si>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</si>
  <si>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</si>
  <si>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</si>
  <si>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</si>
  <si>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</si>
  <si>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</si>
  <si>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</si>
  <si>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</si>
  <si>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</si>
  <si>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</si>
  <si>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</si>
  <si>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</si>
  <si>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</si>
  <si>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</si>
  <si>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</si>
  <si>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</si>
  <si>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</si>
  <si>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</si>
  <si>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</si>
  <si>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</si>
  <si>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</si>
  <si>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</si>
  <si>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</si>
  <si>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</si>
  <si>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</si>
  <si>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</si>
  <si>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</si>
  <si>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</si>
  <si>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</si>
  <si>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</si>
  <si>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</si>
  <si>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</si>
  <si>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</si>
  <si>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</si>
  <si>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</si>
  <si>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</si>
  <si>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</si>
  <si>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</si>
  <si>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</si>
  <si>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</si>
  <si>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</si>
  <si>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</si>
  <si>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</si>
  <si>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</si>
  <si>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</si>
  <si>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</si>
  <si>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</si>
  <si>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</si>
  <si>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</si>
  <si>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</si>
  <si>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</si>
  <si>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</si>
  <si>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</si>
  <si>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</si>
  <si>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</si>
  <si>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</si>
  <si>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</si>
  <si>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</si>
  <si>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</si>
  <si>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</si>
  <si>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</si>
  <si>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</si>
  <si>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</si>
  <si>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</si>
  <si>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</si>
  <si>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</si>
  <si>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</si>
  <si>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</si>
  <si>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</si>
  <si>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</si>
  <si>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</si>
  <si>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</si>
  <si>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</si>
  <si>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</si>
  <si>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</si>
  <si>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</si>
  <si>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</si>
  <si>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</si>
  <si>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</si>
  <si>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</si>
  <si>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</si>
  <si>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</si>
  <si>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</si>
  <si>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</si>
  <si>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</si>
  <si>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</si>
  <si>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</si>
  <si>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</si>
  <si>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</si>
  <si>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</si>
  <si>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</si>
  <si>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</si>
  <si>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</si>
  <si>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</si>
  <si>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</si>
  <si>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</si>
  <si>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</si>
  <si>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</si>
  <si>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</si>
  <si>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</si>
  <si>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</si>
  <si>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</si>
  <si>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</si>
  <si>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</si>
  <si>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</si>
  <si>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</si>
  <si>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</si>
  <si>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</si>
  <si>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</si>
  <si>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</si>
  <si>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</si>
  <si>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</si>
  <si>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</si>
  <si>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</si>
  <si>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</si>
  <si>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</si>
  <si>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</si>
  <si>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</si>
  <si>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</si>
  <si>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</si>
  <si>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</si>
  <si>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</si>
  <si>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</si>
  <si>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</si>
  <si>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</si>
  <si>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</si>
  <si>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</si>
  <si>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</si>
  <si>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</si>
  <si>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</si>
  <si>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</si>
  <si>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</si>
  <si>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</si>
  <si>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</si>
  <si>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</si>
  <si>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</si>
  <si>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</si>
  <si>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</si>
  <si>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</si>
  <si>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</si>
  <si>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</si>
  <si>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</si>
  <si>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</si>
  <si>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</si>
  <si>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</si>
  <si>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</si>
  <si>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</si>
  <si>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</si>
  <si>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</si>
  <si>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</si>
  <si>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</si>
  <si>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</si>
  <si>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</si>
  <si>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</si>
  <si>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</si>
  <si>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</si>
  <si>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</si>
  <si>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</si>
  <si>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</si>
  <si>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</si>
  <si>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</si>
  <si>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</si>
  <si>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</si>
  <si>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</si>
  <si>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</si>
  <si>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</si>
  <si>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</si>
  <si>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</si>
  <si>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</si>
  <si>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</si>
  <si>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</si>
  <si>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</si>
  <si>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</si>
  <si>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</si>
  <si>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</si>
  <si>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</si>
  <si>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</si>
  <si>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</si>
  <si>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</si>
  <si>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</si>
  <si>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</si>
  <si>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</si>
  <si>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</si>
  <si>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</si>
  <si>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</si>
  <si>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</si>
  <si>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</si>
  <si>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</si>
  <si>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</si>
  <si>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</si>
  <si>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</si>
  <si>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</si>
  <si>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</si>
  <si>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</si>
  <si>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</si>
  <si>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</si>
  <si>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</si>
  <si>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</si>
  <si>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</si>
  <si>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</si>
  <si>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</si>
  <si>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</si>
  <si>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</si>
  <si>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</si>
  <si>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</si>
  <si>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</si>
  <si>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</si>
  <si>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</si>
  <si>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</si>
  <si>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</si>
  <si>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</si>
  <si>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</si>
  <si>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</si>
  <si>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</si>
  <si>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</si>
  <si>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</si>
  <si>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</si>
  <si>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</si>
  <si>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</si>
  <si>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</si>
  <si>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</si>
  <si>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</si>
  <si>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</si>
  <si>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</si>
  <si>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</si>
  <si>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</si>
  <si>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</si>
  <si>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</si>
  <si>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</si>
  <si>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</si>
  <si>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</si>
  <si>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</si>
  <si>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</si>
  <si>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</si>
  <si>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</si>
  <si>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</si>
  <si>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</si>
  <si>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</si>
  <si>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</si>
  <si>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</si>
  <si>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</si>
  <si>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</si>
  <si>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</si>
  <si>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</si>
  <si>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</si>
  <si>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</si>
  <si>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</si>
  <si>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</si>
  <si>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</si>
  <si>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</si>
  <si>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</si>
  <si>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</si>
  <si>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</si>
  <si>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</si>
  <si>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</si>
  <si>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</si>
  <si>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</si>
  <si>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</si>
  <si>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</si>
  <si>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</si>
  <si>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</si>
  <si>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</si>
  <si>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</si>
  <si>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</si>
  <si>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</si>
  <si>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</si>
  <si>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</si>
  <si>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</si>
  <si>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</si>
  <si>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</si>
  <si>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</si>
  <si>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</si>
  <si>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</si>
  <si>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</si>
  <si>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</si>
  <si>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</si>
  <si>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</si>
  <si>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</si>
  <si>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</si>
  <si>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</si>
  <si>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</si>
  <si>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</si>
  <si>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</si>
  <si>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</si>
  <si>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</si>
  <si>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</si>
  <si>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</si>
  <si>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</si>
  <si>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</si>
  <si>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</si>
  <si>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</si>
  <si>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</si>
  <si>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</si>
  <si>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</si>
  <si>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</si>
  <si>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</si>
  <si>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</si>
  <si>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</si>
  <si>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</si>
  <si>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</si>
  <si>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</si>
  <si>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</si>
  <si>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</si>
  <si>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</si>
  <si>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</si>
  <si>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</si>
  <si>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</si>
  <si>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</si>
  <si>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</si>
  <si>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</si>
  <si>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</si>
  <si>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</si>
  <si>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</si>
  <si>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</si>
  <si>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</si>
  <si>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</si>
  <si>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</si>
  <si>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</si>
  <si>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</si>
  <si>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</si>
  <si>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</si>
  <si>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</si>
  <si>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</si>
  <si>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</si>
  <si>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</si>
  <si>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</si>
  <si>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</si>
  <si>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</si>
  <si>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</si>
  <si>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</si>
  <si>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</si>
  <si>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</si>
  <si>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</si>
  <si>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</si>
  <si>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</si>
  <si>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</si>
  <si>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</si>
  <si>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</si>
  <si>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</si>
  <si>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</si>
  <si>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</si>
  <si>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</si>
  <si>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</si>
  <si>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</si>
  <si>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</si>
  <si>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</si>
  <si>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</si>
  <si>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</si>
  <si>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</si>
  <si>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</si>
  <si>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</si>
  <si>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</si>
  <si>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</si>
  <si>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</si>
  <si>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</si>
  <si>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</si>
  <si>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</si>
  <si>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</si>
  <si>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</si>
  <si>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</si>
  <si>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</si>
  <si>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</si>
  <si>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</si>
  <si>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</si>
  <si>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</si>
  <si>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</si>
  <si>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</si>
  <si>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</si>
  <si>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</si>
  <si>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</si>
  <si>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</si>
  <si>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</si>
  <si>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</si>
  <si>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</si>
  <si>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</si>
  <si>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</si>
  <si>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</si>
  <si>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</si>
  <si>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</si>
  <si>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</si>
  <si>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</si>
  <si>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</si>
  <si>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</si>
  <si>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</si>
  <si>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</si>
  <si>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</si>
  <si>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</si>
  <si>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</si>
  <si>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</si>
  <si>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</si>
  <si>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</si>
  <si>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</si>
  <si>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</si>
  <si>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</si>
  <si>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</si>
  <si>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</si>
  <si>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</si>
  <si>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</si>
  <si>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</si>
  <si>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</si>
  <si>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</si>
  <si>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</si>
  <si>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</si>
  <si>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</si>
  <si>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</si>
  <si>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</si>
  <si>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</si>
  <si>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</si>
  <si>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</si>
  <si>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</si>
  <si>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</si>
  <si>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</si>
  <si>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</si>
  <si>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</si>
  <si>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</si>
  <si>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</si>
  <si>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</si>
  <si>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</si>
  <si>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</si>
  <si>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</si>
  <si>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</si>
  <si>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</si>
  <si>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</si>
  <si>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</si>
  <si>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</si>
  <si>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</si>
  <si>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</si>
  <si>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</si>
  <si>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</si>
  <si>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</si>
  <si>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</si>
  <si>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</si>
  <si>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</si>
  <si>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</si>
  <si>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</si>
  <si>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</si>
  <si>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</si>
  <si>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</si>
  <si>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</si>
  <si>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</si>
  <si>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</si>
  <si>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</si>
  <si>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</si>
  <si>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</si>
  <si>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</si>
  <si>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</si>
  <si>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</si>
  <si>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</si>
  <si>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</si>
  <si>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</si>
  <si>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</si>
  <si>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</si>
  <si>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</si>
  <si>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</si>
  <si>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</si>
  <si>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</si>
  <si>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</si>
  <si>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</si>
  <si>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</si>
  <si>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</si>
  <si>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</si>
  <si>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</si>
  <si>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</si>
  <si>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</si>
  <si>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</si>
  <si>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</si>
  <si>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</si>
  <si>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</si>
  <si>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</si>
  <si>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</si>
  <si>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</si>
  <si>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</si>
  <si>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</si>
  <si>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</si>
  <si>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</si>
  <si>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</si>
  <si>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</si>
  <si>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</si>
  <si>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</si>
  <si>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</si>
  <si>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</si>
  <si>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</si>
  <si>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</si>
  <si>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</si>
  <si>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</si>
  <si>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</si>
  <si>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</si>
  <si>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</si>
  <si>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</si>
  <si>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</si>
  <si>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</si>
  <si>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</si>
  <si>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</si>
  <si>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</si>
  <si>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</si>
  <si>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</si>
  <si>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</si>
  <si>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</si>
  <si>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</si>
  <si>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</si>
  <si>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</si>
  <si>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</si>
  <si>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</si>
  <si>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</si>
  <si>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</si>
  <si>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</si>
  <si>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</si>
  <si>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</si>
  <si>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</si>
  <si>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</si>
  <si>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</si>
  <si>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</si>
  <si>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</si>
  <si>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</si>
  <si>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</si>
  <si>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</si>
  <si>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</si>
  <si>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</si>
  <si>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</si>
  <si>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</si>
  <si>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</si>
  <si>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</si>
  <si>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</si>
  <si>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</si>
  <si>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</si>
  <si>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</si>
  <si>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</si>
  <si>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</si>
  <si>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</si>
  <si>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</si>
  <si>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</si>
  <si>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</si>
  <si>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</si>
  <si>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</si>
  <si>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</si>
  <si>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</si>
  <si>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</si>
  <si>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</si>
  <si>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</si>
  <si>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</si>
  <si>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</si>
  <si>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</si>
  <si>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</si>
  <si>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</si>
  <si>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</si>
  <si>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</si>
  <si>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</si>
  <si>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</si>
  <si>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</si>
  <si>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</si>
  <si>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</si>
  <si>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</si>
  <si>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</si>
  <si>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</si>
  <si>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</si>
  <si>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</si>
  <si>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</si>
  <si>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</si>
  <si>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</si>
  <si>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</si>
  <si>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</si>
  <si>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</si>
  <si>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</si>
  <si>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</si>
  <si>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</si>
  <si>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</si>
  <si>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</si>
  <si>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</si>
  <si>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</si>
  <si>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</si>
  <si>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</si>
  <si>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</si>
  <si>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</si>
  <si>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</si>
  <si>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</si>
  <si>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</si>
  <si>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</si>
  <si>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</si>
  <si>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</si>
  <si>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</si>
  <si>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</si>
  <si>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</si>
  <si>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</si>
  <si>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</si>
  <si>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</si>
  <si>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</si>
  <si>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</si>
  <si>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</si>
  <si>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</si>
  <si>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</si>
  <si>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</si>
  <si>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</si>
  <si>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</si>
  <si>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</si>
  <si>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</si>
  <si>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</si>
  <si>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</si>
  <si>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</si>
  <si>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</si>
  <si>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</si>
  <si>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</si>
  <si>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</si>
  <si>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</si>
  <si>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</si>
  <si>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</si>
  <si>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</si>
  <si>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</si>
  <si>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</si>
  <si>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</si>
  <si>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</si>
  <si>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</si>
  <si>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</si>
  <si>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</si>
  <si>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</si>
  <si>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</si>
  <si>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</si>
  <si>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</si>
  <si>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</si>
  <si>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</si>
  <si>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</si>
  <si>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</si>
  <si>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</si>
  <si>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</si>
  <si>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</si>
  <si>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</si>
  <si>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</si>
  <si>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</si>
  <si>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</si>
  <si>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</si>
  <si>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</si>
  <si>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</si>
  <si>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</si>
  <si>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</si>
  <si>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</si>
  <si>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</si>
  <si>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</si>
  <si>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</si>
  <si>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</si>
  <si>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</si>
  <si>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</si>
  <si>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</si>
  <si>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</si>
  <si>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</si>
  <si>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</si>
  <si>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</si>
  <si>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</si>
  <si>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</si>
  <si>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</si>
  <si>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</si>
  <si>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</si>
  <si>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</si>
  <si>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</si>
  <si>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</si>
  <si>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</si>
  <si>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</si>
  <si>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</si>
  <si>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</si>
  <si>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</si>
  <si>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</si>
  <si>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</si>
  <si>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</si>
  <si>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</si>
  <si>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</si>
  <si>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</si>
  <si>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</si>
  <si>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</si>
  <si>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</si>
  <si>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</si>
  <si>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</si>
  <si>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</si>
  <si>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</si>
  <si>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</si>
  <si>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</si>
  <si>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</si>
  <si>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</si>
  <si>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</si>
  <si>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</si>
  <si>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</si>
  <si>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</si>
  <si>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</si>
  <si>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</si>
  <si>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</si>
  <si>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</si>
  <si>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</si>
  <si>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</si>
  <si>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</si>
  <si>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</si>
  <si>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</si>
  <si>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</si>
  <si>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</si>
  <si>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</si>
  <si>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</si>
  <si>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</si>
  <si>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</si>
  <si>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</si>
  <si>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</si>
  <si>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</si>
  <si>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</si>
  <si>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</si>
  <si>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</si>
  <si>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</si>
  <si>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</si>
  <si>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</si>
  <si>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</si>
  <si>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</si>
  <si>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</si>
  <si>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</si>
  <si>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</si>
  <si>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</si>
  <si>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</si>
  <si>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</si>
  <si>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</si>
  <si>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</si>
  <si>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</si>
  <si>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</si>
  <si>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</si>
  <si>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</si>
  <si>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</si>
  <si>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</si>
  <si>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</si>
  <si>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</si>
  <si>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</si>
  <si>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</si>
  <si>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</si>
  <si>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</si>
  <si>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</si>
  <si>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</si>
  <si>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</si>
  <si>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</si>
  <si>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</si>
  <si>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</si>
  <si>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</si>
  <si>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</si>
  <si>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</si>
  <si>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</si>
  <si>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</si>
  <si>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</si>
  <si>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</si>
  <si>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</si>
  <si>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</si>
  <si>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</si>
  <si>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</si>
  <si>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</si>
  <si>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</si>
  <si>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</si>
  <si>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</si>
  <si>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</si>
  <si>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</si>
  <si>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</si>
  <si>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</si>
  <si>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</si>
  <si>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</si>
  <si>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</si>
  <si>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</si>
  <si>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</si>
  <si>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</si>
  <si>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</si>
  <si>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</si>
  <si>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</si>
  <si>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</si>
  <si>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</si>
  <si>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</si>
  <si>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</si>
  <si>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</si>
  <si>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</si>
  <si>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</si>
  <si>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</si>
  <si>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</si>
  <si>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</si>
  <si>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</si>
  <si>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</si>
  <si>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</si>
  <si>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</si>
  <si>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</si>
  <si>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</si>
  <si>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</si>
  <si>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</si>
  <si>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</si>
  <si>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</si>
  <si>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</si>
  <si>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</si>
  <si>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</si>
  <si>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</si>
  <si>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</si>
  <si>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</si>
  <si>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</si>
  <si>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</si>
  <si>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</si>
  <si>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</si>
  <si>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</si>
  <si>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</si>
  <si>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</si>
  <si>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</si>
  <si>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</si>
  <si>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</si>
  <si>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</si>
  <si>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</si>
  <si>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</si>
  <si>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</si>
  <si>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</si>
  <si>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</si>
  <si>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</si>
  <si>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</si>
  <si>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</si>
  <si>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</si>
  <si>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</si>
  <si>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</si>
  <si>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</si>
  <si>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</si>
  <si>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</si>
  <si>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</si>
  <si>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</si>
  <si>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</si>
  <si>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</si>
  <si>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</si>
  <si>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</si>
  <si>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</si>
  <si>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</si>
  <si>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</si>
  <si>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</si>
  <si>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</si>
  <si>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</si>
  <si>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</si>
  <si>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</si>
  <si>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</si>
  <si>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</si>
  <si>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</si>
  <si>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</si>
  <si>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</si>
  <si>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</si>
  <si>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</si>
  <si>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</si>
  <si>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</si>
  <si>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</si>
  <si>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</si>
  <si>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</si>
  <si>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</si>
  <si>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</si>
  <si>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</si>
  <si>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</si>
  <si>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</si>
  <si>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</si>
  <si>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</si>
  <si>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</si>
  <si>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</si>
  <si>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</si>
  <si>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</si>
  <si>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</si>
  <si>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</si>
  <si>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</si>
  <si>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</si>
  <si>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</si>
  <si>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</si>
  <si>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</si>
  <si>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</si>
  <si>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</si>
  <si>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</si>
  <si>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</si>
  <si>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</si>
  <si>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</si>
  <si>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</si>
  <si>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</si>
  <si>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</si>
  <si>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</si>
  <si>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</si>
  <si>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</si>
  <si>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</si>
  <si>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</si>
  <si>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</si>
  <si>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</si>
  <si>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</si>
  <si>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</si>
  <si>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</si>
  <si>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</si>
  <si>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</si>
  <si>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</si>
  <si>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</si>
  <si>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</si>
  <si>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</si>
  <si>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</si>
  <si>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</si>
  <si>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</si>
  <si>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</si>
  <si>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</si>
  <si>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</si>
  <si>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</si>
  <si>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</si>
  <si>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</si>
  <si>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</si>
  <si>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</si>
  <si>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</si>
  <si>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</si>
  <si>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</si>
  <si>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</si>
  <si>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</si>
  <si>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</si>
  <si>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</si>
  <si>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</si>
  <si>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</si>
  <si>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</si>
  <si>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</si>
  <si>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</si>
  <si>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</si>
  <si>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</si>
  <si>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</si>
  <si>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</si>
  <si>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</si>
  <si>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</si>
  <si>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</si>
  <si>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</si>
  <si>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</si>
  <si>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</si>
  <si>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</si>
  <si>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</si>
  <si>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</si>
  <si>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</si>
  <si>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</si>
  <si>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</si>
  <si>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</si>
  <si>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</si>
  <si>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</si>
  <si>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</si>
  <si>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</si>
  <si>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</si>
  <si>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</si>
  <si>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</si>
  <si>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</si>
  <si>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</si>
  <si>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</si>
  <si>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</si>
  <si>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</si>
  <si>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</si>
  <si>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</si>
  <si>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</si>
  <si>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</si>
  <si>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</si>
  <si>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</si>
  <si>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</si>
  <si>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</si>
  <si>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</si>
  <si>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</si>
  <si>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</si>
  <si>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</si>
  <si>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</si>
  <si>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</si>
  <si>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</si>
  <si>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</si>
  <si>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</si>
  <si>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</si>
  <si>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</si>
  <si>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</si>
  <si>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</si>
  <si>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</si>
  <si>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</si>
  <si>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</si>
  <si>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</si>
  <si>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</si>
  <si>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</si>
  <si>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</si>
  <si>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</si>
  <si>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</si>
  <si>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</si>
  <si>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</si>
  <si>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</si>
  <si>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</si>
  <si>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</si>
  <si>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</si>
  <si>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</si>
  <si>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</si>
  <si>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</si>
  <si>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</si>
  <si>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</si>
  <si>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</si>
  <si>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</si>
  <si>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</si>
  <si>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</si>
  <si>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</si>
  <si>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</si>
  <si>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</si>
  <si>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</si>
  <si>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</si>
  <si>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</si>
  <si>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</si>
  <si>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</si>
  <si>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</si>
  <si>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</si>
  <si>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</si>
  <si>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</si>
  <si>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</si>
  <si>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</si>
  <si>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</si>
  <si>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</si>
  <si>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</si>
  <si>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</si>
  <si>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</si>
  <si>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</si>
  <si>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</si>
  <si>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</si>
  <si>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</si>
  <si>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</si>
  <si>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</si>
  <si>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</si>
  <si>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</si>
  <si>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</si>
  <si>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</si>
  <si>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</si>
  <si>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</si>
  <si>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</si>
  <si>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</si>
  <si>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</si>
  <si>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</si>
  <si>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</si>
  <si>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</si>
  <si>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</si>
  <si>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</si>
  <si>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</si>
  <si>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</si>
  <si>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</si>
  <si>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</si>
  <si>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</si>
  <si>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</si>
  <si>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</si>
  <si>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</si>
  <si>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</si>
  <si>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</si>
  <si>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</si>
  <si>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</si>
  <si>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</si>
  <si>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</si>
  <si>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</si>
  <si>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</si>
  <si>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</si>
  <si>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</si>
  <si>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</si>
  <si>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</si>
  <si>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</si>
  <si>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</si>
  <si>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</si>
  <si>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</si>
  <si>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</si>
  <si>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</si>
  <si>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</si>
  <si>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</si>
  <si>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</si>
  <si>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</si>
  <si>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</si>
  <si>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</si>
  <si>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</si>
  <si>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</si>
  <si>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</si>
  <si>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</si>
  <si>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</si>
  <si>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</si>
  <si>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</si>
  <si>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</si>
  <si>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</si>
  <si>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</si>
  <si>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</si>
  <si>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</si>
  <si>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</si>
  <si>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</si>
  <si>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</si>
  <si>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</si>
  <si>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</si>
  <si>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</si>
  <si>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</si>
  <si>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</si>
  <si>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</si>
  <si>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</si>
  <si>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</si>
  <si>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</si>
  <si>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</si>
  <si>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</si>
  <si>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</si>
  <si>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</si>
  <si>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</si>
  <si>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</si>
  <si>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</si>
  <si>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</si>
  <si>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</si>
  <si>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</si>
  <si>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</si>
  <si>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</si>
  <si>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</si>
  <si>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</si>
  <si>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</si>
  <si>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</si>
  <si>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</si>
  <si>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</si>
  <si>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</si>
  <si>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</si>
  <si>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</si>
  <si>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</si>
  <si>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</si>
  <si>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</si>
  <si>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</si>
  <si>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</si>
  <si>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</si>
  <si>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</si>
  <si>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</si>
  <si>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</si>
  <si>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</si>
  <si>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</si>
  <si>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</si>
  <si>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</si>
  <si>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</si>
  <si>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</si>
  <si>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</si>
  <si>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</si>
  <si>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</si>
  <si>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</si>
  <si>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</si>
  <si>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</si>
  <si>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</si>
  <si>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</si>
  <si>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</si>
  <si>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</si>
  <si>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</si>
  <si>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</si>
  <si>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</si>
  <si>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</si>
  <si>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</si>
  <si>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</si>
  <si>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</si>
  <si>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</si>
  <si>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</si>
  <si>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</si>
  <si>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</si>
  <si>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</si>
  <si>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</si>
  <si>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</si>
  <si>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</si>
  <si>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</si>
  <si>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</si>
  <si>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</si>
  <si>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</si>
  <si>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</si>
  <si>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</si>
  <si>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</si>
  <si>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</si>
  <si>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</si>
  <si>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</si>
  <si>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</si>
  <si>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</si>
  <si>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</si>
  <si>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</si>
  <si>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</si>
  <si>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</si>
  <si>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</si>
  <si>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</si>
  <si>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</si>
  <si>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</si>
  <si>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</si>
  <si>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</si>
  <si>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</si>
  <si>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</si>
  <si>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</si>
  <si>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</si>
  <si>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</si>
  <si>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</si>
  <si>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</si>
  <si>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</si>
  <si>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</si>
  <si>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</si>
  <si>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</si>
  <si>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</si>
  <si>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</si>
  <si>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</si>
  <si>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</si>
  <si>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</si>
  <si>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</si>
  <si>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</si>
  <si>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</si>
  <si>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</si>
  <si>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</si>
  <si>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</si>
  <si>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</si>
  <si>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</si>
  <si>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</si>
  <si>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</si>
  <si>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</si>
  <si>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</si>
  <si>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</si>
  <si>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</si>
  <si>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</si>
  <si>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</si>
  <si>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</si>
  <si>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</si>
  <si>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</si>
  <si>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</si>
  <si>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</si>
  <si>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</si>
  <si>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</si>
  <si>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</si>
  <si>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</si>
  <si>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</si>
  <si>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</si>
  <si>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</si>
  <si>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</si>
  <si>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</si>
  <si>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</si>
  <si>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</si>
  <si>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</si>
  <si>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</si>
  <si>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</si>
  <si>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</si>
  <si>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</si>
  <si>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</si>
  <si>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</si>
  <si>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</si>
  <si>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</si>
  <si>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</si>
  <si>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</si>
  <si>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</si>
  <si>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</si>
  <si>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</si>
  <si>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</si>
  <si>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</si>
  <si>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</si>
  <si>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</si>
  <si>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</si>
  <si>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</si>
  <si>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</si>
  <si>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</si>
  <si>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</si>
  <si>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</si>
  <si>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</si>
  <si>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</si>
  <si>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</si>
  <si>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</si>
  <si>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</si>
  <si>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</si>
  <si>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</si>
  <si>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</si>
  <si>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</si>
  <si>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</si>
  <si>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</si>
  <si>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</si>
  <si>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</si>
  <si>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</si>
  <si>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</si>
  <si>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</si>
  <si>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</si>
  <si>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</si>
  <si>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</si>
  <si>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</si>
  <si>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</si>
  <si>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</si>
  <si>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</si>
  <si>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</si>
  <si>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</si>
  <si>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</si>
  <si>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</si>
  <si>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</si>
  <si>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</si>
  <si>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</si>
  <si>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</si>
  <si>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</si>
  <si>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</si>
  <si>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</si>
  <si>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</si>
  <si>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</si>
  <si>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</si>
  <si>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</si>
  <si>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</si>
  <si>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</si>
  <si>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</si>
  <si>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</si>
  <si>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</si>
  <si>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</si>
  <si>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</si>
  <si>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</si>
  <si>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</si>
  <si>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</si>
  <si>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</si>
  <si>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</si>
  <si>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</si>
  <si>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</si>
  <si>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</si>
  <si>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</si>
  <si>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</si>
  <si>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</si>
  <si>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</si>
  <si>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</si>
  <si>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</si>
  <si>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</si>
  <si>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</si>
  <si>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</si>
  <si>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</si>
  <si>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</si>
  <si>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</si>
  <si>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</si>
  <si>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</si>
  <si>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</si>
  <si>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</si>
  <si>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</si>
  <si>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</si>
  <si>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</si>
  <si>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</si>
  <si>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</si>
  <si>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</si>
  <si>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</si>
  <si>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</si>
  <si>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</si>
  <si>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</si>
  <si>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</si>
  <si>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</si>
  <si>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</si>
  <si>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</si>
  <si>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</si>
  <si>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</si>
  <si>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</si>
  <si>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</si>
  <si>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</si>
  <si>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</si>
  <si>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</si>
  <si>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</si>
  <si>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</si>
  <si>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</si>
  <si>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</si>
  <si>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</si>
  <si>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</si>
  <si>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</si>
  <si>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</si>
  <si>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</si>
  <si>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</si>
  <si>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</si>
  <si>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</si>
  <si>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</si>
  <si>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</si>
  <si>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</si>
  <si>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</si>
  <si>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</si>
  <si>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</si>
  <si>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</si>
  <si>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</si>
  <si>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</si>
  <si>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</si>
  <si>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</si>
  <si>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</si>
  <si>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</si>
  <si>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</si>
  <si>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</si>
  <si>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</si>
  <si>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</si>
  <si>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</si>
  <si>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</si>
  <si>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</si>
  <si>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</si>
  <si>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</si>
  <si>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</si>
  <si>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</si>
  <si>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</si>
  <si>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</si>
  <si>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</si>
  <si>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</si>
  <si>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</si>
  <si>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</si>
  <si>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</si>
  <si>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</si>
  <si>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</si>
  <si>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</si>
  <si>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</si>
  <si>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</si>
  <si>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</si>
  <si>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</si>
  <si>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</si>
  <si>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</si>
  <si>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</si>
  <si>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</si>
  <si>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</si>
  <si>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</si>
  <si>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</si>
  <si>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</si>
  <si>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</si>
  <si>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</si>
  <si>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</si>
  <si>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</si>
  <si>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</si>
  <si>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</si>
  <si>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</si>
  <si>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</si>
  <si>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</si>
  <si>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</si>
  <si>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</si>
  <si>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</si>
  <si>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</si>
  <si>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</si>
  <si>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</si>
  <si>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</si>
  <si>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</si>
  <si>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</si>
  <si>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</si>
  <si>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</si>
  <si>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</si>
  <si>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</si>
  <si>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</si>
  <si>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</si>
  <si>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</si>
  <si>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</si>
  <si>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</si>
  <si>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</si>
  <si>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</si>
  <si>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</si>
  <si>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</si>
  <si>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</si>
  <si>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</si>
  <si>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</si>
  <si>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</si>
  <si>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</si>
  <si>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</si>
  <si>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</si>
  <si>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</si>
  <si>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</si>
  <si>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</si>
  <si>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</si>
  <si>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</si>
  <si>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</si>
  <si>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</si>
  <si>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</si>
  <si>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</si>
  <si>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</si>
  <si>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</si>
  <si>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</si>
  <si>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</si>
  <si>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</si>
  <si>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</si>
  <si>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</si>
  <si>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</si>
  <si>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</si>
  <si>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</si>
  <si>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</si>
  <si>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</si>
  <si>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</si>
  <si>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</si>
  <si>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</si>
  <si>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</si>
  <si>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</si>
  <si>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</si>
  <si>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</si>
  <si>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</si>
  <si>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</si>
  <si>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</si>
  <si>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</si>
  <si>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</si>
  <si>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</si>
  <si>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</si>
  <si>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</si>
  <si>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</si>
  <si>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</si>
  <si>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</si>
  <si>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</si>
  <si>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</si>
  <si>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</si>
  <si>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</si>
  <si>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</si>
  <si>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</si>
  <si>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</si>
  <si>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</si>
  <si>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</si>
  <si>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</si>
  <si>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</si>
  <si>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</si>
  <si>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</si>
  <si>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</si>
  <si>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</si>
  <si>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</si>
  <si>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</si>
  <si>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</si>
  <si>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</si>
  <si>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</si>
  <si>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</si>
  <si>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</si>
  <si>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</si>
  <si>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</si>
  <si>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</si>
  <si>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</si>
  <si>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</si>
  <si>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</si>
  <si>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</si>
  <si>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</si>
  <si>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</si>
  <si>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</si>
  <si>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</si>
  <si>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</si>
  <si>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</si>
  <si>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</si>
  <si>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</si>
  <si>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</si>
  <si>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</si>
  <si>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</si>
  <si>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</si>
  <si>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</si>
  <si>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</si>
  <si>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</si>
  <si>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</si>
  <si>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</si>
  <si>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</si>
  <si>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</si>
  <si>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</si>
  <si>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</si>
  <si>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</si>
  <si>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</si>
  <si>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</si>
  <si>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</si>
  <si>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</si>
  <si>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</si>
  <si>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</si>
  <si>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</si>
  <si>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</si>
  <si>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</si>
  <si>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</si>
  <si>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</si>
  <si>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</si>
  <si>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</si>
  <si>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</si>
  <si>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</si>
  <si>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</si>
  <si>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</si>
  <si>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</si>
  <si>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</si>
  <si>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</si>
  <si>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</si>
  <si>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</si>
  <si>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</si>
  <si>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</si>
  <si>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</si>
  <si>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</si>
  <si>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</si>
  <si>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</si>
  <si>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</si>
  <si>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</si>
  <si>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</si>
  <si>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</si>
  <si>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</si>
  <si>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</si>
  <si>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</si>
  <si>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</si>
  <si>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</si>
  <si>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</si>
  <si>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</si>
  <si>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</si>
  <si>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</si>
  <si>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</si>
  <si>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</si>
  <si>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</si>
  <si>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</si>
  <si>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</si>
  <si>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</si>
  <si>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</si>
  <si>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</si>
  <si>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</si>
  <si>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</si>
  <si>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</si>
  <si>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</si>
  <si>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</si>
  <si>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</si>
  <si>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</si>
  <si>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</si>
  <si>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</si>
  <si>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</si>
  <si>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</si>
  <si>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</si>
  <si>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</si>
  <si>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</si>
  <si>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</si>
  <si>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</si>
  <si>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</si>
  <si>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</si>
  <si>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</si>
  <si>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</si>
  <si>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</si>
  <si>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</si>
  <si>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</si>
  <si>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</si>
  <si>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</si>
  <si>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</si>
  <si>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</si>
  <si>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</si>
  <si>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</si>
  <si>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</si>
  <si>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</si>
  <si>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</si>
  <si>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</si>
  <si>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</si>
  <si>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</si>
  <si>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</si>
  <si>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</si>
  <si>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</si>
  <si>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</si>
  <si>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</si>
  <si>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</si>
  <si>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</si>
  <si>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</si>
  <si>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</si>
  <si>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</si>
  <si>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</si>
  <si>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</si>
  <si>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</si>
  <si>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</si>
  <si>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</si>
  <si>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</si>
  <si>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</si>
  <si>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</si>
  <si>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</si>
  <si>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</si>
  <si>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</si>
  <si>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</si>
  <si>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</si>
  <si>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</si>
  <si>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</si>
  <si>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</si>
  <si>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</si>
  <si>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</si>
  <si>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</si>
  <si>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</si>
  <si>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</si>
  <si>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</si>
  <si>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</si>
  <si>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</si>
  <si>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</si>
  <si>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</si>
  <si>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</si>
  <si>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</si>
  <si>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</si>
  <si>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</si>
  <si>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</si>
  <si>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</si>
  <si>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</si>
  <si>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</si>
  <si>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</si>
  <si>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</si>
  <si>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</si>
  <si>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</si>
  <si>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</si>
  <si>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</si>
  <si>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</si>
  <si>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</si>
  <si>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</si>
  <si>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</si>
  <si>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</si>
  <si>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</si>
  <si>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</si>
  <si>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</si>
  <si>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</si>
  <si>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</si>
  <si>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</si>
  <si>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</si>
  <si>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</si>
  <si>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</si>
  <si>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</si>
  <si>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</si>
  <si>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</si>
  <si>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</si>
  <si>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</si>
  <si>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</si>
  <si>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</si>
  <si>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</si>
  <si>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</si>
  <si>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</si>
  <si>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</si>
  <si>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</si>
  <si>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</si>
  <si>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</si>
  <si>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</si>
  <si>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</si>
  <si>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</si>
  <si>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</si>
  <si>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</si>
  <si>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</si>
  <si>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</si>
  <si>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</si>
  <si>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</si>
  <si>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</si>
  <si>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</si>
  <si>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</si>
  <si>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</si>
  <si>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</si>
  <si>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</si>
  <si>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</si>
  <si>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</si>
  <si>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</si>
  <si>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</si>
  <si>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</si>
  <si>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</si>
  <si>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</si>
  <si>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</si>
  <si>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</si>
  <si>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</si>
  <si>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</si>
  <si>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</si>
  <si>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</si>
  <si>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</si>
  <si>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</si>
  <si>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</si>
  <si>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</si>
  <si>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</si>
  <si>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</si>
  <si>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</si>
  <si>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</si>
  <si>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</si>
  <si>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</si>
  <si>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</si>
  <si>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</si>
  <si>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</si>
  <si>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</si>
  <si>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</si>
  <si>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</si>
  <si>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</si>
  <si>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</si>
  <si>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</si>
  <si>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</si>
  <si>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</si>
  <si>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</si>
  <si>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</si>
  <si>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</si>
  <si>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</si>
  <si>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</si>
  <si>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</si>
  <si>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</si>
  <si>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</si>
  <si>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</si>
  <si>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</si>
  <si>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</si>
  <si>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</si>
  <si>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</si>
  <si>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</si>
  <si>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</si>
  <si>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</si>
  <si>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</si>
  <si>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</si>
  <si>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</si>
  <si>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</si>
  <si>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</si>
  <si>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</si>
  <si>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</si>
  <si>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</si>
  <si>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</si>
  <si>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</si>
  <si>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</si>
  <si>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</si>
  <si>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</si>
  <si>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</si>
  <si>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</si>
  <si>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</si>
  <si>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</si>
  <si>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</si>
  <si>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</si>
  <si>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</si>
  <si>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</si>
  <si>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</si>
  <si>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</si>
  <si>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</si>
  <si>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</si>
  <si>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</si>
  <si>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</si>
  <si>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</si>
  <si>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</si>
  <si>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</si>
  <si>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</si>
  <si>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</si>
  <si>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</si>
  <si>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</si>
  <si>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</si>
  <si>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</si>
  <si>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</si>
  <si>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</si>
  <si>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</si>
  <si>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</si>
  <si>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</si>
  <si>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</si>
  <si>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</si>
  <si>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</si>
  <si>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</si>
  <si>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</si>
  <si>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</si>
  <si>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</si>
  <si>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</si>
  <si>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</si>
  <si>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</si>
  <si>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</si>
  <si>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</si>
  <si>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</si>
  <si>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</si>
  <si>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</si>
  <si>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</si>
  <si>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</si>
  <si>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</si>
  <si>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</si>
  <si>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</si>
  <si>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</si>
  <si>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</si>
  <si>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</si>
  <si>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</si>
  <si>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</si>
  <si>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</si>
  <si>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</si>
  <si>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</si>
  <si>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</si>
  <si>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</si>
  <si>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</si>
  <si>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</si>
  <si>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</si>
  <si>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</si>
  <si>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</si>
  <si>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</si>
  <si>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</si>
  <si>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</si>
  <si>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</si>
  <si>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</si>
  <si>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</si>
  <si>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</si>
  <si>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</si>
  <si>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</si>
  <si>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</si>
  <si>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</si>
  <si>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</si>
  <si>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</si>
  <si>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</si>
  <si>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</si>
  <si>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</si>
  <si>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</si>
  <si>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</si>
  <si>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</si>
  <si>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</si>
  <si>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</si>
  <si>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</si>
  <si>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</si>
  <si>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</si>
  <si>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</si>
  <si>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</si>
  <si>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</si>
  <si>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</si>
  <si>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</si>
  <si>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</si>
  <si>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</si>
  <si>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</si>
  <si>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</si>
  <si>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</si>
  <si>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</si>
  <si>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</si>
  <si>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</si>
  <si>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</si>
  <si>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</si>
  <si>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</si>
  <si>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</si>
  <si>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</si>
  <si>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</si>
  <si>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</si>
  <si>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</si>
  <si>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</si>
  <si>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</si>
  <si>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</si>
  <si>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</si>
  <si>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</si>
  <si>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</si>
  <si>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</si>
  <si>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</si>
  <si>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</si>
  <si>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</si>
  <si>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</si>
  <si>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</si>
  <si>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</si>
  <si>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</si>
  <si>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</si>
  <si>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</si>
  <si>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</si>
  <si>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</si>
  <si>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</si>
  <si>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</si>
  <si>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</si>
  <si>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</si>
  <si>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</si>
  <si>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</si>
  <si>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</si>
  <si>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</si>
  <si>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</si>
  <si>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</si>
  <si>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</si>
  <si>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</si>
  <si>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</si>
  <si>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</si>
  <si>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</si>
  <si>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</si>
  <si>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</si>
  <si>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</si>
  <si>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</si>
  <si>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</si>
  <si>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</si>
  <si>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</si>
  <si>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</si>
  <si>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</si>
  <si>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</si>
  <si>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</si>
  <si>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</si>
  <si>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</si>
  <si>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</si>
  <si>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</si>
  <si>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</si>
  <si>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</si>
  <si>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</si>
  <si>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</si>
  <si>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</si>
  <si>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</si>
  <si>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</si>
  <si>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</si>
  <si>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</si>
  <si>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</si>
  <si>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</si>
  <si>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</si>
  <si>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</si>
  <si>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</si>
  <si>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</si>
  <si>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</si>
  <si>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</si>
  <si>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</si>
  <si>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</si>
  <si>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</si>
  <si>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</si>
  <si>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</si>
  <si>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</si>
  <si>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</si>
  <si>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</si>
  <si>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</si>
  <si>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</si>
  <si>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</si>
  <si>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</si>
  <si>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</si>
  <si>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</si>
  <si>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</si>
  <si>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</si>
  <si>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</si>
  <si>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</si>
  <si>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</si>
  <si>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</si>
  <si>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</si>
  <si>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</si>
  <si>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</si>
  <si>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</si>
  <si>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</si>
  <si>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</si>
  <si>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</si>
  <si>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</si>
  <si>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</si>
  <si>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</si>
  <si>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</si>
  <si>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</si>
  <si>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</si>
  <si>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</si>
  <si>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</si>
  <si>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</si>
  <si>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</si>
  <si>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</si>
  <si>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</si>
  <si>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</si>
  <si>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</si>
  <si>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</si>
  <si>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</si>
  <si>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</si>
  <si>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</si>
  <si>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</si>
  <si>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</si>
  <si>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</si>
  <si>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</si>
  <si>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</si>
  <si>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</si>
  <si>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</si>
  <si>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</si>
  <si>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</si>
  <si>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</si>
  <si>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</si>
  <si>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</si>
  <si>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</si>
  <si>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</si>
  <si>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</si>
  <si>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</si>
  <si>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</si>
  <si>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</si>
  <si>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</si>
  <si>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</si>
  <si>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</si>
  <si>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</si>
  <si>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</si>
  <si>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</si>
  <si>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</si>
  <si>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</si>
  <si>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</si>
  <si>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</si>
  <si>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</si>
  <si>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</si>
  <si>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</si>
  <si>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</si>
  <si>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</si>
  <si>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</si>
  <si>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</si>
  <si>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</si>
  <si>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</si>
  <si>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</si>
  <si>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</si>
  <si>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</si>
  <si>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</si>
  <si>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</si>
  <si>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</si>
  <si>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</si>
  <si>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</si>
  <si>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</si>
  <si>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</si>
  <si>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</si>
  <si>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</si>
  <si>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</si>
  <si>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</si>
  <si>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</si>
  <si>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</si>
  <si>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</si>
  <si>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</si>
  <si>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</si>
  <si>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</si>
  <si>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</si>
  <si>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</si>
  <si>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</si>
  <si>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</si>
  <si>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</si>
  <si>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</si>
  <si>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</si>
  <si>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</si>
  <si>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</si>
  <si>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</si>
  <si>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</si>
  <si>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</si>
  <si>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</si>
  <si>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</si>
  <si>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</si>
  <si>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</si>
  <si>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</si>
  <si>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</si>
  <si>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</si>
  <si>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</si>
  <si>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</si>
  <si>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</si>
  <si>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</si>
  <si>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</si>
  <si>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</si>
  <si>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</si>
  <si>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</si>
  <si>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</si>
  <si>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</si>
  <si>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</si>
  <si>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</si>
  <si>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</si>
  <si>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</si>
  <si>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</si>
  <si>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</si>
  <si>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</si>
  <si>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</si>
  <si>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</si>
  <si>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</si>
  <si>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</si>
  <si>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</si>
  <si>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</si>
  <si>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</si>
  <si>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</si>
  <si>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</si>
  <si>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</si>
  <si>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</si>
  <si>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</si>
  <si>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</si>
  <si>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</si>
  <si>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</si>
  <si>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</si>
  <si>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</si>
  <si>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</si>
  <si>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</si>
  <si>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</si>
  <si>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</si>
  <si>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</si>
  <si>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</si>
  <si>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</si>
  <si>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</si>
  <si>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</si>
  <si>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</si>
  <si>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</si>
  <si>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</si>
  <si>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</si>
  <si>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</si>
  <si>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</si>
  <si>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</si>
  <si>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</si>
  <si>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</si>
  <si>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</si>
  <si>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</si>
  <si>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</si>
  <si>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</si>
  <si>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</si>
  <si>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</si>
  <si>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</si>
  <si>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</si>
  <si>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</si>
  <si>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</si>
  <si>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</si>
  <si>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</si>
  <si>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</si>
  <si>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</si>
  <si>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</si>
  <si>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</si>
  <si>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</si>
  <si>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</si>
  <si>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</si>
  <si>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</si>
  <si>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</si>
  <si>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</si>
  <si>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</si>
  <si>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</si>
  <si>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</si>
  <si>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</si>
  <si>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</si>
  <si>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</si>
  <si>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</si>
  <si>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</si>
  <si>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</si>
  <si>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</si>
  <si>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</si>
  <si>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</si>
  <si>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</si>
  <si>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</si>
  <si>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</si>
  <si>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</si>
  <si>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</si>
  <si>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</si>
  <si>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</si>
  <si>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</si>
  <si>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</si>
  <si>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</si>
  <si>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</si>
  <si>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</si>
  <si>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</si>
  <si>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</si>
  <si>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</si>
  <si>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</si>
  <si>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</si>
  <si>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</si>
  <si>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</si>
  <si>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</si>
  <si>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</si>
  <si>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</si>
  <si>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</si>
  <si>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</si>
  <si>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</si>
  <si>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</si>
  <si>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</si>
  <si>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</si>
  <si>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</si>
  <si>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</si>
  <si>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</si>
  <si>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</si>
  <si>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</si>
  <si>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</si>
  <si>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</si>
  <si>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</si>
  <si>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</si>
  <si>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</si>
  <si>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</si>
  <si>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</si>
  <si>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</si>
  <si>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</si>
  <si>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</si>
  <si>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</si>
  <si>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</si>
  <si>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</si>
  <si>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</si>
  <si>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</si>
  <si>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</si>
  <si>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</si>
  <si>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</si>
  <si>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</si>
  <si>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</si>
  <si>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</si>
  <si>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</si>
  <si>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</si>
  <si>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</si>
  <si>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</si>
  <si>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</si>
  <si>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</si>
  <si>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</si>
  <si>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</si>
  <si>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</si>
  <si>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</si>
  <si>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</si>
  <si>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</si>
  <si>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</si>
  <si>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</si>
  <si>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</si>
  <si>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</si>
  <si>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</si>
  <si>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</si>
  <si>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</si>
  <si>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</si>
  <si>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</si>
  <si>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</si>
  <si>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</si>
  <si>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</si>
  <si>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</si>
  <si>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</si>
  <si>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</si>
  <si>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</si>
  <si>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</si>
  <si>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</si>
  <si>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</si>
  <si>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</si>
  <si>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</si>
  <si>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</si>
  <si>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</si>
  <si>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</si>
  <si>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</si>
  <si>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</si>
  <si>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</si>
  <si>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</si>
  <si>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</si>
  <si>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</si>
  <si>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</si>
  <si>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</si>
  <si>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</si>
  <si>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</si>
  <si>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</si>
  <si>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</si>
  <si>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</si>
  <si>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</si>
  <si>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</si>
  <si>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</si>
  <si>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</si>
  <si>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</si>
  <si>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</si>
  <si>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</si>
  <si>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</si>
  <si>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</si>
  <si>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</si>
  <si>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</si>
  <si>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</si>
  <si>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</si>
  <si>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</si>
  <si>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</si>
  <si>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</si>
  <si>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</si>
  <si>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</si>
  <si>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</si>
  <si>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</si>
  <si>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</si>
  <si>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</si>
  <si>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</si>
  <si>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</si>
  <si>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</si>
  <si>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</si>
  <si>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</si>
  <si>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</si>
  <si>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</si>
  <si>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</si>
  <si>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</si>
  <si>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</si>
  <si>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</si>
  <si>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</si>
  <si>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</si>
  <si>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</si>
  <si>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</si>
  <si>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</si>
  <si>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</si>
  <si>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</si>
  <si>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</si>
  <si>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</si>
  <si>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</si>
  <si>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</si>
  <si>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</si>
  <si>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</si>
  <si>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</si>
  <si>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</si>
  <si>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</si>
  <si>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</si>
  <si>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</si>
  <si>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</si>
  <si>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</si>
  <si>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</si>
  <si>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</si>
  <si>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</si>
  <si>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</si>
  <si>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</si>
  <si>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</si>
  <si>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</si>
  <si>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</si>
  <si>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</si>
  <si>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</si>
  <si>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</si>
  <si>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</si>
  <si>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</si>
  <si>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</si>
  <si>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</si>
  <si>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</si>
  <si>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</si>
  <si>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</si>
  <si>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</si>
  <si>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</si>
  <si>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</si>
  <si>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</si>
  <si>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</si>
  <si>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</si>
  <si>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</si>
  <si>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</si>
  <si>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</si>
  <si>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</si>
  <si>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</si>
  <si>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</si>
  <si>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</si>
  <si>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</si>
  <si>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</si>
  <si>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</si>
  <si>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</si>
  <si>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</si>
  <si>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</si>
  <si>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</si>
  <si>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</si>
  <si>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</si>
  <si>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</si>
  <si>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</si>
  <si>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</si>
  <si>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</si>
  <si>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</si>
  <si>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</si>
  <si>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</si>
  <si>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</si>
  <si>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</si>
  <si>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</si>
  <si>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</si>
  <si>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</si>
  <si>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</si>
  <si>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</si>
  <si>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</si>
  <si>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</si>
  <si>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</si>
  <si>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</si>
  <si>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</si>
  <si>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</si>
  <si>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</si>
  <si>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</si>
  <si>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</si>
  <si>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</si>
  <si>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</si>
  <si>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</si>
  <si>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</si>
  <si>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</si>
  <si>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</si>
  <si>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</si>
  <si>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</si>
  <si>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</si>
  <si>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</si>
  <si>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</si>
  <si>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</si>
  <si>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</si>
  <si>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</si>
  <si>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</si>
  <si>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</si>
  <si>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</si>
  <si>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</si>
  <si>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</si>
  <si>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</si>
  <si>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</si>
  <si>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</si>
  <si>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</si>
  <si>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</si>
  <si>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</si>
  <si>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</si>
  <si>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</si>
  <si>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</si>
  <si>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</si>
  <si>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</si>
  <si>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</si>
  <si>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</si>
  <si>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</si>
  <si>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</si>
  <si>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</si>
  <si>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</si>
  <si>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</si>
  <si>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</si>
  <si>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</si>
  <si>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</si>
  <si>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</si>
  <si>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</si>
  <si>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</si>
  <si>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</si>
  <si>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</si>
  <si>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</si>
  <si>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</si>
  <si>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</si>
  <si>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</si>
  <si>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</si>
  <si>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</si>
  <si>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</si>
  <si>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</si>
  <si>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</si>
  <si>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</si>
  <si>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</si>
  <si>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</si>
  <si>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</si>
  <si>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</si>
  <si>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</si>
  <si>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</si>
  <si>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</si>
  <si>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</si>
  <si>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</si>
  <si>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</si>
  <si>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</si>
  <si>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</si>
  <si>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</si>
  <si>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</si>
  <si>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</si>
  <si>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</si>
  <si>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</si>
  <si>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</si>
  <si>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</si>
  <si>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</si>
  <si>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</si>
  <si>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</si>
  <si>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</si>
  <si>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</si>
  <si>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</si>
  <si>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</si>
  <si>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</si>
  <si>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</si>
  <si>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</si>
  <si>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</si>
  <si>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</si>
  <si>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</si>
  <si>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</si>
  <si>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</si>
  <si>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</si>
  <si>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</si>
  <si>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</si>
  <si>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</si>
  <si>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</si>
  <si>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</si>
  <si>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</si>
  <si>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</si>
  <si>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</si>
  <si>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</si>
  <si>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</si>
  <si>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</si>
  <si>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</si>
  <si>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</si>
  <si>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</si>
  <si>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</si>
  <si>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</si>
  <si>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</si>
  <si>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</si>
  <si>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</si>
  <si>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</si>
  <si>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</si>
  <si>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</si>
  <si>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</si>
  <si>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</si>
  <si>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</si>
  <si>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</si>
  <si>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</si>
  <si>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</si>
  <si>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</si>
  <si>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</si>
  <si>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</si>
  <si>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</si>
  <si>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</si>
  <si>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</si>
  <si>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</si>
  <si>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</si>
  <si>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</si>
  <si>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</si>
  <si>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</si>
  <si>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</si>
  <si>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</si>
  <si>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</si>
  <si>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</si>
  <si>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</si>
  <si>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</si>
  <si>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</si>
  <si>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</si>
  <si>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</si>
  <si>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</si>
  <si>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</si>
  <si>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</si>
  <si>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</si>
  <si>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</si>
  <si>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</si>
  <si>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</si>
  <si>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</si>
  <si>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</si>
  <si>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</si>
  <si>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</si>
  <si>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</si>
  <si>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</si>
  <si>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</si>
  <si>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</si>
  <si>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</si>
  <si>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</si>
  <si>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</si>
  <si>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</si>
  <si>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</si>
  <si>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</si>
  <si>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</si>
  <si>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</si>
  <si>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</si>
  <si>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</si>
  <si>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</si>
  <si>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</si>
  <si>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</si>
  <si>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</si>
  <si>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</si>
  <si>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</si>
  <si>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</si>
  <si>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</si>
  <si>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</si>
  <si>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</si>
  <si>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</si>
  <si>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</si>
  <si>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</si>
  <si>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</si>
  <si>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</si>
  <si>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</si>
  <si>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</si>
  <si>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</si>
  <si>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</si>
  <si>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</si>
  <si>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</si>
  <si>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</si>
  <si>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</si>
  <si>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</si>
  <si>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</si>
  <si>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</si>
  <si>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</si>
  <si>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</si>
  <si>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</si>
  <si>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</si>
  <si>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</si>
  <si>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</si>
  <si>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</si>
  <si>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</si>
  <si>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</si>
  <si>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</si>
  <si>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</si>
  <si>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</si>
  <si>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</si>
  <si>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</si>
  <si>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</si>
  <si>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</si>
  <si>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</si>
  <si>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</si>
  <si>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</si>
  <si>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</si>
  <si>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</si>
  <si>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</si>
  <si>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</si>
  <si>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</si>
  <si>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</si>
  <si>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</si>
  <si>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</si>
  <si>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</si>
  <si>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</si>
  <si>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</si>
  <si>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</si>
  <si>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</si>
  <si>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</si>
  <si>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</si>
  <si>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</si>
  <si>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</si>
  <si>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</si>
  <si>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</si>
  <si>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</si>
  <si>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</si>
  <si>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</si>
  <si>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</si>
  <si>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</si>
  <si>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</si>
  <si>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</si>
  <si>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</si>
  <si>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</si>
  <si>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</si>
  <si>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</si>
  <si>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</si>
  <si>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</si>
  <si>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</si>
  <si>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</si>
  <si>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</si>
  <si>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</si>
  <si>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</si>
  <si>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</si>
  <si>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</si>
  <si>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</si>
  <si>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</si>
  <si>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</si>
  <si>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</si>
  <si>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</si>
  <si>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</si>
  <si>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</si>
  <si>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</si>
  <si>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</si>
  <si>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</si>
  <si>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</si>
  <si>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</si>
  <si>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</si>
  <si>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</si>
  <si>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</si>
  <si>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</si>
  <si>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</si>
  <si>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</si>
  <si>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</si>
  <si>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</si>
  <si>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</si>
  <si>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</si>
  <si>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</si>
  <si>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</si>
  <si>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</si>
  <si>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</si>
  <si>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</si>
  <si>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</si>
  <si>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</si>
  <si>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</si>
  <si>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</si>
  <si>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</si>
  <si>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</si>
  <si>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</si>
  <si>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</si>
  <si>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</si>
  <si>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</si>
  <si>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</si>
  <si>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</si>
  <si>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</si>
  <si>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</si>
  <si>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</si>
  <si>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</si>
  <si>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</si>
  <si>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</si>
  <si>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</si>
  <si>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</si>
  <si>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</si>
  <si>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</si>
  <si>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</si>
  <si>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</si>
  <si>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</si>
  <si>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</si>
  <si>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</si>
  <si>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</si>
  <si>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</si>
  <si>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</si>
  <si>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</si>
  <si>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</si>
  <si>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</si>
  <si>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</si>
  <si>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</si>
  <si>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</si>
  <si>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</si>
  <si>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</si>
  <si>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</si>
  <si>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</si>
  <si>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</si>
  <si>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</si>
  <si>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</si>
  <si>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</si>
  <si>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</si>
  <si>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</si>
  <si>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</si>
  <si>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</si>
  <si>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</si>
  <si>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</si>
  <si>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</si>
  <si>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</si>
  <si>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</si>
  <si>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</si>
  <si>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</si>
  <si>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</si>
  <si>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</si>
  <si>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</si>
  <si>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</si>
  <si>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</si>
  <si>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</si>
  <si>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</si>
  <si>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</si>
  <si>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</si>
  <si>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</si>
  <si>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</si>
  <si>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</si>
  <si>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</si>
  <si>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</si>
  <si>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</si>
  <si>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</si>
  <si>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</si>
  <si>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</si>
  <si>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</si>
  <si>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</si>
  <si>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</si>
  <si>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</si>
  <si>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</si>
  <si>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</si>
  <si>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</si>
  <si>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</si>
  <si>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</si>
  <si>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</si>
  <si>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</si>
  <si>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</si>
  <si>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</si>
  <si>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</si>
  <si>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</si>
  <si>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</si>
  <si>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</si>
  <si>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</si>
  <si>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</si>
  <si>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</si>
  <si>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</si>
  <si>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</si>
  <si>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</si>
  <si>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</si>
  <si>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</si>
  <si>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</si>
  <si>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</si>
  <si>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</si>
  <si>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</si>
  <si>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</si>
  <si>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</si>
  <si>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</si>
  <si>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</si>
  <si>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</si>
  <si>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</si>
  <si>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</si>
  <si>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</si>
  <si>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</si>
  <si>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</si>
  <si>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</si>
  <si>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</si>
  <si>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</si>
  <si>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</si>
  <si>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</si>
  <si>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</si>
  <si>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</si>
  <si>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</si>
  <si>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</si>
  <si>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</si>
  <si>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</si>
  <si>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</si>
  <si>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</si>
  <si>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</si>
  <si>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</si>
  <si>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</si>
  <si>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</si>
  <si>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</si>
  <si>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</si>
  <si>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</si>
  <si>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</si>
  <si>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</si>
  <si>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</si>
  <si>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</si>
  <si>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</si>
  <si>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</si>
  <si>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</si>
  <si>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</si>
  <si>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</si>
  <si>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</si>
  <si>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</si>
  <si>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</si>
  <si>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</si>
  <si>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</si>
  <si>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</si>
  <si>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</si>
  <si>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</si>
  <si>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</si>
  <si>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</si>
  <si>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</si>
  <si>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</si>
  <si>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</si>
  <si>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</si>
  <si>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</si>
  <si>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</si>
  <si>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</si>
  <si>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</si>
  <si>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</si>
  <si>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</si>
  <si>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</si>
  <si>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</si>
  <si>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</si>
  <si>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</si>
  <si>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</si>
  <si>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</si>
  <si>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</si>
  <si>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</si>
  <si>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</si>
  <si>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</si>
  <si>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</si>
  <si>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</si>
  <si>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</si>
  <si>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</si>
  <si>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</si>
  <si>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</si>
  <si>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</si>
  <si>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</si>
  <si>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</si>
  <si>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</si>
  <si>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</si>
  <si>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</si>
  <si>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</si>
  <si>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</si>
  <si>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</si>
  <si>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</si>
  <si>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</si>
  <si>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</si>
  <si>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</si>
  <si>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</si>
  <si>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</si>
  <si>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</si>
  <si>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</si>
  <si>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</si>
  <si>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</si>
  <si>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</si>
  <si>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</si>
  <si>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</si>
  <si>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</si>
  <si>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</si>
  <si>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</si>
  <si>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</si>
  <si>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</si>
  <si>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</si>
  <si>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</si>
  <si>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</si>
  <si>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</si>
  <si>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</si>
  <si>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</si>
  <si>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</si>
  <si>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</si>
  <si>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</si>
  <si>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</si>
  <si>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</si>
  <si>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</si>
  <si>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</si>
  <si>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</si>
  <si>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</si>
  <si>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</si>
  <si>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</si>
  <si>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</si>
  <si>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</si>
  <si>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</si>
  <si>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</si>
  <si>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</si>
  <si>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</si>
  <si>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</si>
  <si>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</si>
  <si>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</si>
  <si>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</si>
  <si>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</si>
  <si>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</si>
  <si>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</si>
  <si>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</si>
  <si>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</si>
  <si>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</si>
  <si>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</si>
  <si>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</si>
  <si>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</si>
  <si>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</si>
  <si>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</si>
  <si>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</si>
  <si>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</si>
  <si>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</si>
  <si>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</si>
  <si>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</si>
  <si>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</si>
  <si>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</si>
  <si>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</si>
  <si>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</si>
  <si>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</si>
  <si>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</si>
  <si>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</si>
  <si>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</si>
  <si>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</si>
  <si>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</si>
  <si>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</si>
  <si>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</si>
  <si>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</si>
  <si>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</si>
  <si>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</si>
  <si>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</si>
  <si>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</si>
  <si>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</si>
  <si>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</si>
  <si>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</si>
  <si>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</si>
  <si>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</si>
  <si>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</si>
  <si>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</si>
  <si>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</si>
  <si>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</si>
  <si>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</si>
  <si>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</si>
  <si>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</si>
  <si>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</si>
  <si>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</si>
  <si>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</si>
  <si>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</si>
  <si>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</si>
  <si>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</si>
  <si>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</si>
  <si>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</si>
  <si>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</si>
  <si>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</si>
  <si>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</si>
  <si>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</si>
  <si>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</si>
  <si>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</si>
  <si>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</si>
  <si>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</si>
  <si>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</si>
  <si>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</si>
  <si>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</si>
  <si>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</si>
  <si>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</si>
  <si>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</si>
  <si>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</si>
  <si>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</si>
  <si>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</si>
  <si>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</si>
  <si>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</si>
  <si>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</si>
  <si>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</si>
  <si>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</si>
  <si>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</si>
  <si>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</si>
  <si>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</si>
  <si>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</si>
  <si>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</si>
  <si>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</si>
  <si>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</si>
  <si>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</si>
  <si>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</si>
  <si>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</si>
  <si>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</si>
  <si>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</si>
  <si>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</si>
  <si>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</si>
  <si>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</si>
  <si>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</si>
  <si>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</si>
  <si>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</si>
  <si>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</si>
  <si>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</si>
  <si>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</si>
  <si>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</si>
  <si>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</si>
  <si>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</si>
  <si>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</si>
  <si>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</si>
  <si>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</si>
  <si>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</si>
  <si>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</si>
  <si>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</si>
  <si>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</si>
  <si>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</si>
  <si>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</si>
  <si>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</si>
  <si>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</si>
  <si>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</si>
  <si>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</si>
  <si>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</si>
  <si>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</si>
  <si>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</si>
  <si>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</si>
  <si>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</si>
  <si>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</si>
  <si>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</si>
  <si>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</si>
  <si>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</si>
  <si>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</si>
  <si>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</si>
  <si>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</si>
  <si>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</si>
  <si>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</si>
  <si>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</si>
  <si>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</si>
  <si>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</si>
  <si>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</si>
  <si>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</si>
  <si>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</si>
  <si>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</si>
  <si>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</si>
  <si>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</si>
  <si>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</si>
  <si>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</si>
  <si>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</si>
  <si>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</si>
  <si>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</si>
  <si>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</si>
  <si>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</si>
  <si>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</si>
  <si>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</si>
  <si>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</si>
  <si>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</si>
  <si>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</si>
  <si>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</si>
  <si>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</si>
  <si>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</si>
  <si>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</si>
  <si>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</si>
  <si>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</si>
  <si>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</si>
  <si>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</si>
  <si>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</si>
  <si>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</si>
  <si>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</si>
  <si>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</si>
  <si>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</si>
  <si>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</si>
  <si>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</si>
  <si>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</si>
  <si>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</si>
  <si>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</si>
  <si>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</si>
  <si>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</si>
  <si>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</si>
  <si>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</si>
  <si>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</si>
  <si>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</si>
  <si>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</si>
  <si>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</si>
  <si>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</si>
  <si>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</si>
  <si>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</si>
  <si>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</si>
  <si>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</si>
  <si>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</si>
  <si>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</si>
  <si>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</si>
  <si>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</si>
  <si>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</si>
  <si>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</si>
  <si>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</si>
  <si>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</si>
  <si>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</si>
  <si>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</si>
  <si>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</si>
  <si>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</si>
  <si>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</si>
  <si>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</si>
  <si>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</si>
  <si>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</si>
  <si>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</si>
  <si>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</si>
  <si>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</si>
  <si>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</si>
  <si>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</si>
  <si>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</si>
  <si>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</si>
  <si>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</si>
  <si>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</si>
  <si>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</si>
  <si>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</si>
  <si>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</si>
  <si>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</si>
  <si>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</si>
  <si>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</si>
  <si>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</si>
  <si>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</si>
  <si>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</si>
  <si>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</si>
  <si>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</si>
  <si>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</si>
  <si>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</si>
  <si>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</si>
  <si>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</si>
  <si>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</si>
  <si>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</si>
  <si>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</si>
  <si>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</si>
  <si>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</si>
  <si>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</si>
  <si>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</si>
  <si>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</si>
  <si>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</si>
  <si>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</si>
  <si>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</si>
  <si>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</si>
  <si>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</si>
  <si>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</si>
  <si>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</si>
  <si>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</si>
  <si>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</si>
  <si>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</si>
  <si>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</si>
  <si>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</si>
  <si>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</si>
  <si>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</si>
  <si>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</si>
  <si>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</si>
  <si>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</si>
  <si>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</si>
  <si>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</si>
  <si>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</si>
  <si>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</si>
  <si>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</si>
  <si>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</si>
  <si>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</si>
  <si>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</si>
  <si>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</si>
  <si>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</si>
  <si>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</si>
  <si>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</si>
  <si>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</si>
  <si>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</si>
  <si>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</si>
  <si>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</si>
  <si>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</si>
  <si>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</si>
  <si>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</si>
  <si>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</si>
  <si>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</si>
  <si>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</si>
  <si>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</si>
  <si>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</si>
  <si>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</si>
  <si>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</si>
  <si>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</si>
  <si>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</si>
  <si>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</si>
  <si>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</si>
  <si>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</si>
  <si>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</si>
  <si>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</si>
  <si>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</si>
  <si>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</si>
  <si>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</si>
  <si>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</si>
  <si>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</si>
  <si>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</si>
  <si>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</si>
  <si>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</si>
  <si>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</si>
  <si>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</si>
  <si>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</si>
  <si>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</si>
  <si>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</si>
  <si>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</si>
  <si>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</si>
  <si>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</si>
  <si>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</si>
  <si>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</si>
  <si>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</si>
  <si>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</si>
  <si>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</si>
  <si>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</si>
  <si>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</si>
  <si>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</si>
  <si>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</si>
  <si>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</si>
  <si>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</si>
  <si>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</si>
  <si>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</si>
  <si>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</si>
  <si>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</si>
  <si>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</si>
  <si>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</si>
  <si>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</si>
  <si>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</si>
  <si>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</si>
  <si>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</si>
  <si>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</si>
  <si>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</si>
  <si>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</si>
  <si>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</si>
  <si>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</si>
  <si>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</si>
  <si>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</si>
  <si>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</si>
  <si>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</si>
  <si>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</si>
  <si>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</si>
  <si>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</si>
  <si>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</si>
  <si>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</si>
  <si>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</si>
  <si>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</si>
  <si>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</si>
  <si>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</si>
  <si>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</si>
  <si>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</si>
  <si>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</si>
  <si>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</si>
  <si>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</si>
  <si>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</si>
  <si>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</si>
  <si>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</si>
  <si>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</si>
  <si>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</si>
  <si>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</si>
  <si>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</si>
  <si>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</si>
  <si>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</si>
  <si>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</si>
  <si>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</si>
  <si>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</si>
  <si>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</si>
  <si>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</si>
  <si>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</si>
  <si>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</si>
  <si>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</si>
  <si>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</si>
  <si>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</si>
  <si>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</si>
  <si>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</si>
  <si>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</si>
  <si>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</si>
  <si>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</si>
  <si>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</si>
  <si>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</si>
  <si>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</si>
  <si>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</si>
  <si>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</si>
  <si>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</si>
  <si>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</si>
  <si>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</si>
  <si>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</si>
  <si>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</si>
  <si>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</si>
  <si>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</si>
  <si>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</si>
  <si>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</si>
  <si>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</si>
  <si>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</si>
  <si>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</si>
  <si>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</si>
  <si>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</si>
  <si>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</si>
  <si>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</si>
  <si>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</si>
  <si>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</si>
  <si>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</si>
  <si>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</si>
  <si>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</si>
  <si>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</si>
  <si>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</si>
  <si>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</si>
  <si>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</si>
  <si>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</si>
  <si>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</si>
  <si>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</si>
  <si>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</si>
  <si>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</si>
  <si>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</si>
  <si>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</si>
  <si>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</si>
  <si>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</si>
  <si>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</si>
  <si>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</si>
  <si>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</si>
  <si>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</si>
  <si>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</si>
  <si>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</si>
  <si>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</si>
  <si>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</si>
  <si>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</si>
  <si>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</si>
  <si>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</si>
  <si>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</si>
  <si>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</si>
  <si>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</si>
  <si>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</si>
  <si>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</si>
  <si>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</si>
  <si>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</si>
  <si>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</si>
  <si>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</si>
  <si>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</si>
  <si>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</si>
  <si>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</si>
  <si>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</si>
  <si>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</si>
  <si>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</si>
  <si>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</si>
  <si>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</si>
  <si>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</si>
  <si>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</si>
  <si>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</si>
  <si>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</si>
  <si>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</si>
  <si>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</si>
  <si>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</si>
  <si>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</si>
  <si>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</si>
  <si>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</si>
  <si>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</si>
  <si>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</si>
  <si>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</si>
  <si>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</si>
  <si>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</si>
  <si>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</si>
  <si>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</si>
  <si>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</si>
  <si>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</si>
  <si>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</si>
  <si>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</si>
  <si>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</si>
  <si>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</si>
  <si>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</si>
  <si>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</si>
  <si>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</si>
  <si>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</si>
  <si>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</si>
  <si>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</si>
  <si>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</si>
  <si>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</si>
  <si>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</si>
  <si>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</si>
  <si>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</si>
  <si>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</si>
  <si>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</si>
  <si>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</si>
  <si>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</si>
  <si>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</si>
  <si>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</si>
  <si>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</si>
  <si>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</si>
  <si>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</si>
  <si>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</si>
  <si>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</si>
  <si>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</si>
  <si>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</si>
  <si>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</si>
  <si>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</si>
  <si>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</si>
  <si>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</si>
  <si>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</si>
  <si>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</si>
  <si>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</si>
  <si>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</si>
  <si>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</si>
  <si>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</si>
  <si>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</si>
  <si>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</si>
  <si>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</si>
  <si>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</si>
  <si>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</si>
  <si>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</si>
  <si>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</si>
  <si>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</si>
  <si>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</si>
  <si>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</si>
  <si>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</si>
  <si>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</si>
  <si>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</si>
  <si>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</si>
  <si>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</si>
  <si>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</si>
  <si>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</si>
  <si>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</si>
  <si>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</si>
  <si>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</si>
  <si>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</si>
  <si>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</si>
  <si>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</si>
  <si>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</si>
  <si>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</si>
  <si>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</si>
  <si>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</si>
  <si>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</si>
  <si>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</si>
  <si>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</si>
  <si>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</si>
  <si>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</si>
  <si>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</si>
  <si>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</si>
  <si>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</si>
  <si>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</si>
  <si>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</si>
  <si>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</si>
  <si>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</si>
  <si>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</si>
  <si>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</si>
  <si>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</si>
  <si>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</si>
  <si>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</si>
  <si>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</si>
  <si>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</si>
  <si>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</si>
  <si>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</si>
  <si>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</si>
  <si>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</si>
  <si>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</si>
  <si>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</si>
  <si>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</si>
  <si>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</si>
  <si>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</si>
  <si>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</si>
  <si>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</si>
  <si>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</si>
  <si>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</si>
  <si>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</si>
  <si>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</si>
  <si>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</si>
  <si>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</si>
  <si>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</si>
  <si>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</si>
  <si>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</si>
  <si>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</si>
  <si>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</si>
  <si>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</si>
  <si>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</si>
  <si>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</si>
  <si>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</si>
  <si>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</si>
  <si>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</si>
  <si>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</si>
  <si>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</si>
  <si>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</si>
  <si>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</si>
  <si>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</si>
  <si>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</si>
  <si>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</si>
  <si>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</si>
  <si>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</si>
  <si>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</si>
  <si>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</si>
  <si>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</si>
  <si>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</si>
  <si>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</si>
  <si>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</si>
  <si>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</si>
  <si>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</si>
  <si>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</si>
  <si>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</si>
  <si>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</si>
  <si>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</si>
  <si>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</si>
  <si>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</si>
  <si>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</si>
  <si>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</si>
  <si>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</si>
  <si>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</si>
  <si>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</si>
  <si>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</si>
  <si>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</si>
  <si>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</si>
  <si>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</si>
  <si>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</si>
  <si>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</si>
  <si>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</si>
  <si>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</si>
  <si>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</si>
  <si>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</si>
  <si>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</si>
  <si>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</si>
  <si>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</si>
  <si>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</si>
  <si>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</si>
  <si>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</si>
  <si>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</si>
  <si>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</si>
  <si>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</si>
  <si>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</si>
  <si>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</si>
  <si>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</si>
  <si>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</si>
  <si>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</si>
  <si>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</si>
  <si>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</si>
  <si>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</si>
  <si>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</si>
  <si>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</si>
  <si>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</si>
  <si>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</si>
  <si>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</si>
  <si>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</si>
  <si>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</si>
  <si>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</si>
  <si>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</si>
  <si>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</si>
  <si>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</si>
  <si>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</si>
  <si>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</si>
  <si>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</si>
  <si>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</si>
  <si>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</si>
  <si>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</si>
  <si>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</si>
  <si>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</si>
  <si>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</si>
  <si>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</si>
  <si>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</si>
  <si>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</si>
  <si>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</si>
  <si>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</si>
  <si>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</si>
  <si>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</si>
  <si>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</si>
  <si>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</si>
  <si>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</si>
  <si>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</si>
  <si>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</si>
  <si>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</si>
  <si>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</si>
  <si>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</si>
  <si>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</si>
  <si>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</si>
  <si>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</si>
  <si>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</si>
  <si>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</si>
  <si>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</si>
  <si>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</si>
  <si>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</si>
  <si>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</si>
  <si>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</si>
  <si>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</si>
  <si>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</si>
  <si>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</si>
  <si>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</si>
  <si>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</si>
  <si>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</si>
  <si>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</si>
  <si>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</si>
  <si>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</si>
  <si>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</si>
  <si>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</si>
  <si>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</si>
  <si>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</si>
  <si>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</si>
  <si>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</si>
  <si>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</si>
  <si>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</si>
  <si>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</si>
  <si>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</si>
  <si>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</si>
  <si>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</si>
  <si>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</si>
  <si>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</si>
  <si>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</si>
  <si>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</si>
  <si>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</si>
  <si>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</si>
  <si>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</si>
  <si>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</si>
  <si>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</si>
  <si>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</si>
  <si>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</si>
  <si>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</si>
  <si>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</si>
  <si>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</si>
  <si>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</si>
  <si>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</si>
  <si>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</si>
  <si>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</si>
  <si>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</si>
  <si>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</si>
  <si>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</si>
  <si>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</si>
  <si>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</si>
  <si>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</si>
  <si>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</si>
  <si>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</si>
  <si>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</si>
  <si>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</si>
  <si>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</si>
  <si>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</si>
  <si>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</si>
  <si>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</si>
  <si>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</si>
  <si>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</si>
  <si>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</si>
  <si>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</si>
  <si>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</si>
  <si>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</si>
  <si>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</si>
  <si>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</si>
  <si>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</si>
  <si>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</si>
  <si>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</si>
  <si>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</si>
  <si>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</si>
  <si>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</si>
  <si>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</si>
  <si>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</si>
  <si>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</si>
  <si>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</si>
  <si>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</si>
  <si>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</si>
  <si>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</si>
  <si>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</si>
  <si>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</si>
  <si>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</si>
  <si>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</si>
  <si>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</si>
  <si>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</si>
  <si>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</si>
  <si>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</si>
  <si>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</si>
  <si>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</si>
  <si>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</si>
  <si>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</si>
  <si>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</si>
  <si>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</si>
  <si>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</si>
  <si>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</si>
  <si>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</si>
  <si>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</si>
  <si>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</si>
  <si>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</si>
  <si>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</si>
  <si>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</si>
  <si>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</si>
  <si>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</si>
  <si>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</si>
  <si>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</si>
  <si>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</si>
  <si>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</si>
  <si>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</si>
  <si>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</si>
  <si>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</si>
  <si>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</si>
  <si>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</si>
  <si>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</si>
  <si>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</si>
  <si>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</si>
  <si>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</si>
  <si>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</si>
  <si>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</si>
  <si>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</si>
  <si>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</si>
  <si>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</si>
  <si>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</si>
  <si>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</si>
  <si>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</si>
  <si>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</si>
  <si>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</si>
  <si>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</si>
  <si>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</si>
  <si>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</si>
  <si>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</si>
  <si>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</si>
  <si>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</si>
  <si>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</si>
  <si>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</si>
  <si>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</si>
  <si>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</si>
  <si>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</si>
  <si>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</si>
  <si>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</si>
  <si>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</si>
  <si>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</si>
  <si>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</si>
  <si>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</si>
  <si>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</si>
  <si>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</si>
  <si>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</si>
  <si>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</si>
  <si>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</si>
  <si>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</si>
  <si>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</si>
  <si>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</si>
  <si>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</si>
  <si>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</si>
  <si>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</si>
  <si>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</si>
  <si>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</si>
  <si>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</si>
  <si>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</si>
  <si>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</si>
  <si>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</si>
  <si>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</si>
  <si>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</si>
  <si>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</si>
  <si>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</si>
  <si>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</si>
  <si>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</si>
  <si>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</si>
  <si>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</si>
  <si>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</si>
  <si>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</si>
  <si>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</si>
  <si>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</si>
  <si>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</si>
  <si>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</si>
  <si>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</si>
  <si>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</si>
  <si>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</si>
  <si>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</si>
  <si>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</si>
  <si>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</si>
  <si>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</si>
  <si>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</si>
  <si>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</si>
  <si>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</si>
  <si>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</si>
  <si>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</si>
  <si>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</si>
  <si>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</si>
  <si>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</si>
  <si>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</si>
  <si>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</si>
  <si>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</si>
  <si>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</si>
  <si>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</si>
  <si>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</si>
  <si>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</si>
  <si>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</si>
  <si>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</si>
  <si>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</si>
  <si>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</si>
  <si>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</si>
  <si>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</si>
  <si>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</si>
  <si>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</si>
  <si>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</si>
  <si>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</si>
  <si>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</si>
  <si>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</si>
  <si>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</si>
  <si>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</si>
  <si>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</si>
  <si>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</si>
  <si>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</si>
  <si>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</si>
  <si>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</si>
  <si>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</si>
  <si>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</si>
  <si>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</si>
  <si>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</si>
  <si>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</si>
  <si>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</si>
  <si>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</si>
  <si>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</si>
  <si>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</si>
  <si>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</si>
  <si>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</si>
  <si>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</si>
  <si>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</si>
  <si>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</si>
  <si>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</si>
  <si>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</si>
  <si>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</si>
  <si>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</si>
  <si>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</si>
  <si>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</si>
  <si>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</si>
  <si>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</si>
  <si>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</si>
  <si>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</si>
  <si>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</si>
  <si>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</si>
  <si>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</si>
  <si>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</si>
  <si>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</si>
  <si>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</si>
  <si>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</si>
  <si>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</si>
  <si>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</si>
  <si>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</si>
  <si>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</si>
  <si>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</si>
  <si>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</si>
  <si>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</si>
  <si>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</si>
  <si>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</si>
  <si>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</si>
  <si>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</si>
  <si>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</si>
  <si>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</si>
  <si>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</si>
  <si>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</si>
  <si>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</si>
  <si>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</si>
  <si>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</si>
  <si>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</si>
  <si>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</si>
  <si>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</si>
  <si>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</si>
  <si>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</si>
  <si>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</si>
  <si>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</si>
  <si>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</si>
  <si>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</si>
  <si>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</si>
  <si>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</si>
  <si>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</si>
  <si>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</si>
  <si>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</si>
  <si>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</si>
  <si>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</si>
  <si>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</si>
  <si>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</si>
  <si>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</si>
  <si>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</si>
  <si>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</si>
  <si>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</si>
  <si>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</si>
  <si>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</si>
  <si>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</si>
  <si>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</si>
  <si>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</si>
  <si>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</si>
  <si>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</si>
  <si>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</si>
  <si>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</si>
  <si>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</si>
  <si>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</si>
  <si>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</si>
  <si>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</si>
  <si>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</si>
  <si>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</si>
  <si>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</si>
  <si>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</si>
  <si>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</si>
  <si>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</si>
  <si>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</si>
  <si>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</si>
  <si>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</si>
  <si>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</si>
  <si>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</si>
  <si>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</si>
  <si>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</si>
  <si>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</si>
  <si>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</si>
  <si>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</si>
  <si>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</si>
  <si>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</si>
  <si>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</si>
  <si>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</si>
  <si>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</si>
  <si>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</si>
  <si>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</si>
  <si>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</si>
  <si>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</si>
  <si>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</si>
  <si>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</si>
  <si>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</si>
  <si>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</si>
  <si>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</si>
  <si>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</si>
  <si>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</si>
  <si>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</si>
  <si>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</si>
  <si>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</si>
  <si>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</si>
  <si>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</si>
  <si>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</si>
  <si>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</si>
  <si>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</si>
  <si>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</si>
  <si>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</si>
  <si>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</si>
  <si>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</si>
  <si>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</si>
  <si>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</si>
  <si>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</si>
  <si>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</si>
  <si>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</si>
  <si>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</si>
  <si>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</si>
  <si>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</si>
  <si>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</si>
  <si>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</si>
  <si>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</si>
  <si>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</si>
  <si>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</si>
  <si>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</si>
  <si>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</si>
  <si>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</si>
  <si>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</si>
  <si>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</si>
  <si>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</si>
  <si>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</si>
  <si>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</si>
  <si>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</si>
  <si>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</si>
  <si>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</si>
  <si>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</si>
  <si>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</si>
  <si>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</si>
  <si>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</si>
  <si>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</si>
  <si>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</si>
  <si>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</si>
  <si>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</si>
  <si>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</si>
  <si>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</si>
  <si>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</si>
  <si>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</si>
  <si>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</si>
  <si>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</si>
  <si>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</si>
  <si>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</si>
  <si>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</si>
  <si>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</si>
  <si>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</si>
  <si>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</si>
  <si>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</si>
  <si>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</si>
  <si>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</si>
  <si>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</si>
  <si>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</si>
  <si>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</si>
  <si>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</si>
  <si>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</si>
  <si>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</si>
  <si>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</si>
  <si>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</si>
  <si>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</si>
  <si>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</si>
  <si>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</si>
  <si>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</si>
  <si>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</si>
  <si>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</si>
  <si>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</si>
  <si>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</si>
  <si>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</si>
  <si>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</si>
  <si>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</si>
  <si>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</si>
  <si>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</si>
  <si>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</si>
  <si>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</si>
  <si>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</si>
  <si>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</si>
  <si>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</si>
  <si>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</si>
  <si>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</si>
  <si>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</si>
  <si>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</si>
  <si>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</si>
  <si>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</si>
  <si>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</si>
  <si>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</si>
  <si>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</si>
  <si>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</si>
  <si>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</si>
  <si>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</si>
  <si>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</si>
  <si>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</si>
  <si>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</si>
  <si>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</si>
  <si>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</si>
  <si>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</si>
  <si>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</si>
  <si>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</si>
  <si>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</si>
  <si>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</si>
  <si>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</si>
  <si>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</si>
  <si>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</si>
  <si>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</si>
  <si>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</si>
  <si>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</si>
  <si>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</si>
  <si>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</si>
  <si>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</si>
  <si>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</si>
  <si>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</si>
  <si>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</si>
  <si>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</si>
  <si>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</si>
  <si>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</si>
  <si>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</si>
  <si>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</si>
  <si>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</si>
  <si>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</si>
  <si>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</si>
  <si>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</si>
  <si>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</si>
  <si>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</si>
  <si>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</si>
  <si>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</si>
  <si>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</si>
  <si>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</si>
  <si>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</si>
  <si>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</si>
  <si>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</si>
  <si>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</si>
  <si>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</si>
  <si>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</si>
  <si>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</si>
  <si>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</si>
  <si>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</si>
  <si>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</si>
  <si>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</si>
  <si>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</si>
  <si>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</si>
  <si>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</si>
  <si>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</si>
  <si>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</si>
  <si>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</si>
  <si>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</si>
  <si>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</si>
  <si>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</si>
  <si>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</si>
  <si>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</si>
  <si>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</si>
  <si>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</si>
  <si>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</si>
  <si>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</si>
  <si>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</si>
  <si>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</si>
  <si>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</si>
  <si>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</si>
  <si>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</si>
  <si>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</si>
  <si>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</si>
  <si>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</si>
  <si>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</si>
  <si>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</si>
  <si>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</si>
  <si>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</si>
  <si>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</si>
  <si>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</si>
  <si>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</si>
  <si>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</si>
  <si>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</si>
  <si>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</si>
  <si>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</si>
  <si>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</si>
  <si>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</si>
  <si>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</si>
  <si>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</si>
  <si>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</si>
  <si>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</si>
  <si>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</si>
  <si>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</si>
  <si>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</si>
  <si>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</si>
  <si>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</si>
  <si>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</si>
  <si>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</si>
  <si>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</si>
  <si>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</si>
  <si>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</si>
  <si>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</si>
  <si>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</si>
  <si>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</si>
  <si>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</si>
  <si>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</si>
  <si>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</si>
  <si>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</si>
  <si>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</si>
  <si>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</si>
  <si>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</si>
  <si>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</si>
  <si>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</si>
  <si>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</si>
  <si>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</si>
  <si>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</si>
  <si>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The Hitchhiker’s Guide to the Family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</si>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</sst>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</font>
    <font>
      <sz val="11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0" fillId="0" borderId="0" xfId="0" applyNumberFormat="1"/>
    <xf numFmtId="0" fontId="0" fillId="2" borderId="0" xfId="2" applyNumberFormat="1" applyFont="1" applyFill="1"/>
    <xf numFmtId="0" fontId="1" fillId="2" borderId="0" xfId="2" applyNumberFormat="1" applyFont="1" applyFill="1" applyAlignment="1">
      <alignment horizontal="center"/>
    </xf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1" fillId="0" borderId="0" xfId="0" applyFont="1"/>
    <xf numFmtId="0" fontId="1" fillId="0" borderId="0" xfId="0" applyFont="1" applyAlignment="1">
      <alignment wrapText="1"/>
    </xf>
    <xf numFmtId="173" fontId="0" fillId="0" borderId="0" xfId="1" applyNumberFormat="1" applyFont="1" applyAlignment="1">
      <alignment wrapText="1"/>
    </xf>
    <xf numFmtId="0" fontId="0" fillId="0" borderId="0" xfId="0" applyAlignment="1">
      <alignment vertical="center" wrapText="1"/>
    </xf>
    <xf numFmtId="173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Parent</a:t>
            </a:r>
            <a:r>
              <a:rPr lang="zh-CN" altLang="en-US" baseline="0"/>
              <a:t> </a:t>
            </a:r>
            <a:r>
              <a:rPr lang="en-US" altLang="zh-CN" baseline="0"/>
              <a:t>Category</a:t>
            </a:r>
            <a:r>
              <a:rPr lang="zh-CN" altLang="en-US" baseline="0"/>
              <a:t> </a:t>
            </a:r>
            <a:r>
              <a:rPr lang="en-US" altLang="zh-CN" baseline="0"/>
              <a:t>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F-C549-B6F1-B141FD24D40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EF-C549-B6F1-B141FD24D40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EF-C549-B6F1-B141FD24D40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EF-C549-B6F1-B141FD24D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8817488"/>
        <c:axId val="1378676608"/>
      </c:barChart>
      <c:catAx>
        <c:axId val="137881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676608"/>
        <c:crosses val="autoZero"/>
        <c:auto val="1"/>
        <c:lblAlgn val="ctr"/>
        <c:lblOffset val="100"/>
        <c:noMultiLvlLbl val="0"/>
      </c:catAx>
      <c:valAx>
        <c:axId val="137867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81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Subcategory</a:t>
            </a:r>
            <a:r>
              <a:rPr lang="zh-CN" altLang="en-US"/>
              <a:t> </a:t>
            </a:r>
            <a:r>
              <a:rPr lang="en-US" altLang="zh-CN"/>
              <a:t>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9-6347-AB59-D3732FF36EA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A79-6347-AB59-D3732FF36EA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A79-6347-AB59-D3732FF36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4211408"/>
        <c:axId val="1404327856"/>
      </c:barChart>
      <c:catAx>
        <c:axId val="140421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327856"/>
        <c:crosses val="autoZero"/>
        <c:auto val="1"/>
        <c:lblAlgn val="ctr"/>
        <c:lblOffset val="100"/>
        <c:noMultiLvlLbl val="0"/>
      </c:catAx>
      <c:valAx>
        <c:axId val="140432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21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50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tx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50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1-3745-88C3-C80C267E63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051-3745-88C3-C80C267E63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051-3745-88C3-C80C267E63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051-3745-88C3-C80C267E6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2684032"/>
        <c:axId val="1422685664"/>
      </c:lineChart>
      <c:catAx>
        <c:axId val="142268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85664"/>
        <c:crosses val="autoZero"/>
        <c:auto val="1"/>
        <c:lblAlgn val="ctr"/>
        <c:lblOffset val="100"/>
        <c:noMultiLvlLbl val="0"/>
      </c:catAx>
      <c:valAx>
        <c:axId val="142268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8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Outcomes</a:t>
            </a:r>
            <a:r>
              <a:rPr lang="zh-CN" altLang="en-US" baseline="0"/>
              <a:t> </a:t>
            </a:r>
            <a:r>
              <a:rPr lang="en-US" altLang="zh-CN" baseline="0"/>
              <a:t>Based</a:t>
            </a:r>
            <a:r>
              <a:rPr lang="zh-CN" altLang="en-US" baseline="0"/>
              <a:t> </a:t>
            </a:r>
            <a:r>
              <a:rPr lang="en-US" altLang="zh-CN" baseline="0"/>
              <a:t>on</a:t>
            </a:r>
            <a:r>
              <a:rPr lang="zh-CN" altLang="en-US" baseline="0"/>
              <a:t> </a:t>
            </a:r>
            <a:r>
              <a:rPr lang="en-US" altLang="zh-CN" baseline="0"/>
              <a:t>Goals</a:t>
            </a:r>
          </a:p>
        </c:rich>
      </c:tx>
      <c:layout>
        <c:manualLayout>
          <c:xMode val="edge"/>
          <c:yMode val="edge"/>
          <c:x val="0.3781714963219861"/>
          <c:y val="2.8463000228824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D-6D42-A3E0-ED70640C34C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D-6D42-A3E0-ED70640C34C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D-6D42-A3E0-ED70640C3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3782688"/>
        <c:axId val="984584480"/>
      </c:lineChart>
      <c:catAx>
        <c:axId val="146378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584480"/>
        <c:crosses val="autoZero"/>
        <c:auto val="1"/>
        <c:lblAlgn val="ctr"/>
        <c:lblOffset val="100"/>
        <c:noMultiLvlLbl val="0"/>
      </c:catAx>
      <c:valAx>
        <c:axId val="98458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78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EB0BDEB-D04D-134B-BA16-7DD922D2570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EDBD13C-01A6-7244-906C-C8B790E5380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BA5402-3C93-7945-93C1-926D84C5C4A4}">
  <sheetPr/>
  <sheetViews>
    <sheetView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374650</xdr:colOff>
      <xdr:row>5</xdr:row>
      <xdr:rowOff>12700</xdr:rowOff>
    </xdr:from>
    <xdr:to>
      <xdr:col>9</xdr:col>
      <xdr:colOff>311150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DCFD0E-21C9-7D4E-B875-70E35D0F1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12700</xdr:rowOff>
    </xdr:from>
    <xdr:to>
      <xdr:col>11</xdr:col>
      <xdr:colOff>685800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556E4-7344-7640-9FEA-062623450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711200</xdr:colOff>
      <xdr:row>22</xdr:row>
      <xdr:rowOff>38100</xdr:rowOff>
    </xdr:from>
    <xdr:to>
      <xdr:col>7</xdr:col>
      <xdr:colOff>114300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796A8C-4B32-7A40-9092-F447B0734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778932</xdr:colOff>
      <xdr:row>14</xdr:row>
      <xdr:rowOff>127000</xdr:rowOff>
    </xdr:from>
    <xdr:to>
      <xdr:col>7</xdr:col>
      <xdr:colOff>355601</xdr:colOff>
      <xdr:row>40</xdr:row>
      <xdr:rowOff>135466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CF9C9-ADA6-1240-B4A1-7832FDE22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3C66DEE-BAB9-0442-BA49-856F6428446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7D69DE0-B776-154E-83E4-7C1BEC2A313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737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ody Li" refreshedDate="43968.035382986112" createdVersion="6" refreshedVersion="6" minRefreshableVersion="3" recordCount="4114" xr:uid="{752F18BD-0EA3-FE49-8BEF-20ACF7C9A21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ody Li" refreshedDate="43968.067404398149" createdVersion="6" refreshedVersion="6" minRefreshableVersion="3" recordCount="4114" xr:uid="{C1877245-BAAD-0745-AACA-92D779194F1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D485D-E27A-A743-9D32-B35CA58B37E9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4ABF9-AB7F-DC49-9E98-29448D49FCA7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17352-838B-3D46-ABB0-55C34EEC3A60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E1" zoomScaleNormal="100" workbookViewId="0">
      <selection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style="12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style="10" customWidth="1"/>
    <col min="16" max="16" width="27.1640625" customWidth="1"/>
    <col min="17" max="17" width="41.1640625" customWidth="1"/>
    <col min="18" max="18" width="19" customWidth="1"/>
    <col min="19" max="19" width="21.83203125" style="18" customWidth="1"/>
    <col min="20" max="20" width="21.33203125" style="18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4" t="s">
        <v>8359</v>
      </c>
      <c r="R1" s="1" t="s">
        <v>8358</v>
      </c>
      <c r="S1" s="17" t="s">
        <v>8365</v>
      </c>
      <c r="T1" s="20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3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26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18325C08-439B-ED45-8138-6451C0FE3985}">
    <filterColumn colId="17">
      <filters>
        <filter val="plays"/>
      </filters>
    </filterColumn>
  </autoFilter>
  <conditionalFormatting sqref="F1:F1048576">
    <cfRule type="containsText" dxfId="11" priority="12" operator="containsText" text="canceled">
      <formula>NOT(ISERROR(SEARCH("canceled",F1)))</formula>
    </cfRule>
    <cfRule type="containsText" dxfId="10" priority="13" operator="containsText" text="failed">
      <formula>NOT(ISERROR(SEARCH("failed",F1)))</formula>
    </cfRule>
    <cfRule type="containsText" dxfId="9" priority="15" operator="containsText" text="successful">
      <formula>NOT(ISERROR(SEARCH("successful",F1)))</formula>
    </cfRule>
    <cfRule type="containsText" dxfId="8" priority="1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C00000"/>
        <color theme="4" tint="-0.249977111117893"/>
      </colorScale>
    </cfRule>
    <cfRule type="colorScale" priority="4">
      <colorScale>
        <cfvo type="min"/>
        <cfvo type="max"/>
        <color rgb="FFC00000"/>
        <color theme="3" tint="0.59999389629810485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max"/>
        <color rgb="FFC00000"/>
        <color theme="4" tint="0.59999389629810485"/>
      </colorScale>
    </cfRule>
    <cfRule type="colorScale" priority="7">
      <colorScale>
        <cfvo type="min"/>
        <cfvo type="max"/>
        <color rgb="FFC00000"/>
        <color theme="4" tint="0.59999389629810485"/>
      </colorScale>
    </cfRule>
    <cfRule type="colorScale" priority="8">
      <colorScale>
        <cfvo type="min"/>
        <cfvo type="max"/>
        <color theme="4" tint="0.59999389629810485"/>
        <color rgb="FFFFEF9C"/>
      </colorScale>
    </cfRule>
    <cfRule type="colorScale" priority="11">
      <colorScale>
        <cfvo type="min"/>
        <cfvo type="max"/>
        <color rgb="FFFF0000"/>
        <color theme="3" tint="0.59999389629810485"/>
      </colorScale>
    </cfRule>
  </conditionalFormatting>
  <conditionalFormatting sqref="N796">
    <cfRule type="colorScale" priority="9">
      <colorScale>
        <cfvo type="min"/>
        <cfvo type="max"/>
        <color rgb="FFFF7128"/>
        <color rgb="FFFFEF9C"/>
      </colorScale>
    </cfRule>
    <cfRule type="colorScale" priority="10">
      <colorScale>
        <cfvo type="min"/>
        <cfvo type="max"/>
        <color rgb="FFC00000"/>
        <color theme="3" tint="0.39997558519241921"/>
      </colorScale>
    </cfRule>
  </conditionalFormatting>
  <conditionalFormatting sqref="Q796"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C00000"/>
        <color theme="3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A5FE3-33A1-5D46-9A54-55D66168961D}">
  <dimension ref="A1:G45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8363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8303</v>
      </c>
      <c r="B5" s="12">
        <v>11</v>
      </c>
      <c r="C5" s="12">
        <v>40</v>
      </c>
      <c r="D5" s="12"/>
      <c r="E5" s="12">
        <v>45</v>
      </c>
      <c r="F5" s="12">
        <v>96</v>
      </c>
    </row>
    <row r="6" spans="1:6" x14ac:dyDescent="0.2">
      <c r="A6" s="16" t="s">
        <v>8269</v>
      </c>
      <c r="B6" s="12"/>
      <c r="C6" s="12">
        <v>250</v>
      </c>
      <c r="D6" s="12">
        <v>9</v>
      </c>
      <c r="E6" s="12">
        <v>412</v>
      </c>
      <c r="F6" s="12">
        <v>671</v>
      </c>
    </row>
    <row r="7" spans="1:6" x14ac:dyDescent="0.2">
      <c r="A7" s="16" t="s">
        <v>8301</v>
      </c>
      <c r="B7" s="12">
        <v>15</v>
      </c>
      <c r="C7" s="12">
        <v>59</v>
      </c>
      <c r="D7" s="12">
        <v>3</v>
      </c>
      <c r="E7" s="12">
        <v>68</v>
      </c>
      <c r="F7" s="12">
        <v>145</v>
      </c>
    </row>
    <row r="8" spans="1:6" x14ac:dyDescent="0.2">
      <c r="A8" s="16" t="s">
        <v>8361</v>
      </c>
      <c r="B8" s="12">
        <v>26</v>
      </c>
      <c r="C8" s="12">
        <v>349</v>
      </c>
      <c r="D8" s="12">
        <v>12</v>
      </c>
      <c r="E8" s="12">
        <v>525</v>
      </c>
      <c r="F8" s="12">
        <v>912</v>
      </c>
    </row>
    <row r="45" spans="7:7" x14ac:dyDescent="0.2">
      <c r="G45">
        <f>SUM(E43:E45)</f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E97EF-5E73-2648-808D-41B6CB9D8A72}">
  <dimension ref="A1:E7"/>
  <sheetViews>
    <sheetView workbookViewId="0">
      <selection activeCell="F23" sqref="F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8223</v>
      </c>
    </row>
    <row r="2" spans="1:5" x14ac:dyDescent="0.2">
      <c r="A2" s="15" t="s">
        <v>8359</v>
      </c>
      <c r="B2" t="s">
        <v>8364</v>
      </c>
    </row>
    <row r="4" spans="1:5" x14ac:dyDescent="0.2">
      <c r="A4" s="15" t="s">
        <v>8363</v>
      </c>
      <c r="B4" s="15" t="s">
        <v>8360</v>
      </c>
    </row>
    <row r="5" spans="1:5" x14ac:dyDescent="0.2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6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DDFFB-5C4B-F144-9F73-A5EE068CAB27}">
  <dimension ref="A1:F18"/>
  <sheetViews>
    <sheetView topLeftCell="A12" workbookViewId="0">
      <selection activeCell="G37" sqref="G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5" t="s">
        <v>8359</v>
      </c>
      <c r="B1" t="s">
        <v>8315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21" t="s">
        <v>8373</v>
      </c>
      <c r="B6" s="12">
        <v>56</v>
      </c>
      <c r="C6" s="12">
        <v>2</v>
      </c>
      <c r="D6" s="12">
        <v>33</v>
      </c>
      <c r="E6" s="12">
        <v>7</v>
      </c>
      <c r="F6" s="12">
        <v>98</v>
      </c>
    </row>
    <row r="7" spans="1:6" x14ac:dyDescent="0.2">
      <c r="A7" s="21" t="s">
        <v>8374</v>
      </c>
      <c r="B7" s="12">
        <v>71</v>
      </c>
      <c r="C7" s="12">
        <v>8</v>
      </c>
      <c r="D7" s="12">
        <v>39</v>
      </c>
      <c r="E7" s="12">
        <v>3</v>
      </c>
      <c r="F7" s="12">
        <v>121</v>
      </c>
    </row>
    <row r="8" spans="1:6" x14ac:dyDescent="0.2">
      <c r="A8" s="21" t="s">
        <v>8375</v>
      </c>
      <c r="B8" s="12">
        <v>56</v>
      </c>
      <c r="C8" s="12">
        <v>14</v>
      </c>
      <c r="D8" s="12">
        <v>33</v>
      </c>
      <c r="E8" s="12">
        <v>3</v>
      </c>
      <c r="F8" s="12">
        <v>106</v>
      </c>
    </row>
    <row r="9" spans="1:6" x14ac:dyDescent="0.2">
      <c r="A9" s="21" t="s">
        <v>8376</v>
      </c>
      <c r="B9" s="12">
        <v>71</v>
      </c>
      <c r="C9" s="12"/>
      <c r="D9" s="12">
        <v>40</v>
      </c>
      <c r="E9" s="12">
        <v>2</v>
      </c>
      <c r="F9" s="12">
        <v>113</v>
      </c>
    </row>
    <row r="10" spans="1:6" x14ac:dyDescent="0.2">
      <c r="A10" s="21" t="s">
        <v>8367</v>
      </c>
      <c r="B10" s="12">
        <v>111</v>
      </c>
      <c r="C10" s="12"/>
      <c r="D10" s="12">
        <v>52</v>
      </c>
      <c r="E10" s="12">
        <v>3</v>
      </c>
      <c r="F10" s="12">
        <v>166</v>
      </c>
    </row>
    <row r="11" spans="1:6" x14ac:dyDescent="0.2">
      <c r="A11" s="21" t="s">
        <v>8377</v>
      </c>
      <c r="B11" s="12">
        <v>100</v>
      </c>
      <c r="C11" s="12"/>
      <c r="D11" s="12">
        <v>49</v>
      </c>
      <c r="E11" s="12">
        <v>4</v>
      </c>
      <c r="F11" s="12">
        <v>153</v>
      </c>
    </row>
    <row r="12" spans="1:6" x14ac:dyDescent="0.2">
      <c r="A12" s="21" t="s">
        <v>8368</v>
      </c>
      <c r="B12" s="12">
        <v>87</v>
      </c>
      <c r="C12" s="12"/>
      <c r="D12" s="12">
        <v>50</v>
      </c>
      <c r="E12" s="12">
        <v>1</v>
      </c>
      <c r="F12" s="12">
        <v>138</v>
      </c>
    </row>
    <row r="13" spans="1:6" x14ac:dyDescent="0.2">
      <c r="A13" s="21" t="s">
        <v>8369</v>
      </c>
      <c r="B13" s="12">
        <v>72</v>
      </c>
      <c r="C13" s="12"/>
      <c r="D13" s="12">
        <v>47</v>
      </c>
      <c r="E13" s="12">
        <v>4</v>
      </c>
      <c r="F13" s="12">
        <v>123</v>
      </c>
    </row>
    <row r="14" spans="1:6" x14ac:dyDescent="0.2">
      <c r="A14" s="21" t="s">
        <v>8370</v>
      </c>
      <c r="B14" s="12">
        <v>59</v>
      </c>
      <c r="C14" s="12"/>
      <c r="D14" s="12">
        <v>34</v>
      </c>
      <c r="E14" s="12">
        <v>4</v>
      </c>
      <c r="F14" s="12">
        <v>97</v>
      </c>
    </row>
    <row r="15" spans="1:6" x14ac:dyDescent="0.2">
      <c r="A15" s="21" t="s">
        <v>8371</v>
      </c>
      <c r="B15" s="12">
        <v>65</v>
      </c>
      <c r="C15" s="12"/>
      <c r="D15" s="12">
        <v>50</v>
      </c>
      <c r="E15" s="12"/>
      <c r="F15" s="12">
        <v>115</v>
      </c>
    </row>
    <row r="16" spans="1:6" x14ac:dyDescent="0.2">
      <c r="A16" s="21" t="s">
        <v>8372</v>
      </c>
      <c r="B16" s="12">
        <v>54</v>
      </c>
      <c r="C16" s="12"/>
      <c r="D16" s="12">
        <v>31</v>
      </c>
      <c r="E16" s="12">
        <v>3</v>
      </c>
      <c r="F16" s="12">
        <v>88</v>
      </c>
    </row>
    <row r="17" spans="1:6" x14ac:dyDescent="0.2">
      <c r="A17" s="21" t="s">
        <v>8378</v>
      </c>
      <c r="B17" s="12">
        <v>37</v>
      </c>
      <c r="C17" s="12"/>
      <c r="D17" s="12">
        <v>35</v>
      </c>
      <c r="E17" s="12">
        <v>3</v>
      </c>
      <c r="F17" s="12">
        <v>75</v>
      </c>
    </row>
    <row r="18" spans="1:6" x14ac:dyDescent="0.2">
      <c r="A18" s="21" t="s">
        <v>8361</v>
      </c>
      <c r="B18" s="12">
        <v>839</v>
      </c>
      <c r="C18" s="12">
        <v>24</v>
      </c>
      <c r="D18" s="12">
        <v>493</v>
      </c>
      <c r="E18" s="12">
        <v>37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E6465-3CBA-7742-B1A6-4199624964EC}">
  <dimension ref="A1:H13"/>
  <sheetViews>
    <sheetView topLeftCell="A3" zoomScale="75" zoomScaleNormal="75" workbookViewId="0">
      <selection activeCell="I33" sqref="I33"/>
    </sheetView>
  </sheetViews>
  <sheetFormatPr baseColWidth="10" defaultRowHeight="15" x14ac:dyDescent="0.2"/>
  <cols>
    <col min="1" max="1" width="16" customWidth="1"/>
    <col min="2" max="2" width="17" customWidth="1"/>
    <col min="3" max="3" width="14.1640625" customWidth="1"/>
    <col min="4" max="4" width="15.1640625" customWidth="1"/>
    <col min="5" max="5" width="12.5" customWidth="1"/>
    <col min="6" max="6" width="18.83203125" customWidth="1"/>
    <col min="7" max="7" width="15.1640625" customWidth="1"/>
    <col min="8" max="8" width="17" customWidth="1"/>
  </cols>
  <sheetData>
    <row r="1" spans="1:8" x14ac:dyDescent="0.2">
      <c r="A1" s="23" t="s">
        <v>8382</v>
      </c>
      <c r="B1" s="23" t="s">
        <v>8399</v>
      </c>
      <c r="C1" s="23" t="s">
        <v>8400</v>
      </c>
      <c r="D1" s="23" t="s">
        <v>8401</v>
      </c>
      <c r="E1" s="23" t="s">
        <v>8402</v>
      </c>
      <c r="F1" s="23" t="s">
        <v>8417</v>
      </c>
      <c r="G1" s="23" t="s">
        <v>8403</v>
      </c>
      <c r="H1" s="23" t="s">
        <v>8404</v>
      </c>
    </row>
    <row r="2" spans="1:8" x14ac:dyDescent="0.2">
      <c r="A2" t="s">
        <v>8405</v>
      </c>
      <c r="B2">
        <f>COUNTIFS(Kickstarter!$F:$F,"=successful",Kickstarter!$D:$D,"&lt;1000",Kickstarter!$R:$R,"plays")</f>
        <v>141</v>
      </c>
      <c r="C2">
        <f>COUNTIFS(Kickstarter!$F:$F,"=failed",Kickstarter!$D:$D,"&lt;1000",Kickstarter!$R:$R,"plays")</f>
        <v>45</v>
      </c>
      <c r="D2">
        <f>COUNTIFS(Kickstarter!$F:$F,"=canceled",Kickstarter!$D:$D,"&lt;1000",Kickstarter!$R:$R,"plays")</f>
        <v>0</v>
      </c>
      <c r="E2">
        <f>B2+C2+D2</f>
        <v>186</v>
      </c>
      <c r="F2" s="9">
        <f>B2/E2</f>
        <v>0.75806451612903225</v>
      </c>
      <c r="G2" s="9">
        <f>C2/E2</f>
        <v>0.24193548387096775</v>
      </c>
      <c r="H2">
        <f>D2/E2</f>
        <v>0</v>
      </c>
    </row>
    <row r="3" spans="1:8" x14ac:dyDescent="0.2">
      <c r="A3" t="s">
        <v>8406</v>
      </c>
      <c r="B3">
        <f>COUNTIFS(Kickstarter!$F:$F,"=successful",Kickstarter!$D:$D,"&gt;=1000",Kickstarter!$D:$D,"&lt;5000",Kickstarter!$R:$R,"plays")</f>
        <v>388</v>
      </c>
      <c r="C3">
        <f>COUNTIFS(Kickstarter!$F:$F,"=failed",Kickstarter!$D:$D,"&gt;=1000",Kickstarter!$D:$D,"&lt;5000",Kickstarter!$R:$R,"plays")</f>
        <v>146</v>
      </c>
      <c r="D3">
        <f>COUNTIFS(Kickstarter!$F:$F,"=canceled",Kickstarter!$D:$D,"&gt;=1000",Kickstarter!$D:$D,"&lt;5000",Kickstarter!$R:$R,"plays")</f>
        <v>0</v>
      </c>
      <c r="E3">
        <f t="shared" ref="E3:E13" si="0">B3+C3+D3</f>
        <v>534</v>
      </c>
      <c r="F3" s="9">
        <f t="shared" ref="F3:F13" si="1">B3/E3</f>
        <v>0.72659176029962547</v>
      </c>
      <c r="G3" s="9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8407</v>
      </c>
      <c r="B4">
        <f>COUNTIFS(Kickstarter!$F:$F,"=successful",Kickstarter!$D:$D,"&gt;=5000",Kickstarter!$D:$D,"&lt;10000",Kickstarter!$R:$R,"plays")</f>
        <v>93</v>
      </c>
      <c r="C4">
        <f>COUNTIFS(Kickstarter!$F:$F,"=failed",Kickstarter!$D:$D,"&gt;=5000",Kickstarter!$D:$D,"&lt;10000",Kickstarter!$R:$R,"plays")</f>
        <v>76</v>
      </c>
      <c r="D4">
        <f>COUNTIFS(Kickstarter!$F:$F,"=canceled",Kickstarter!$D:$D,"&gt;=5000",Kickstarter!$D:$D,"&lt;10000",Kickstarter!$R:$R,"plays")</f>
        <v>0</v>
      </c>
      <c r="E4">
        <f t="shared" si="0"/>
        <v>169</v>
      </c>
      <c r="F4" s="9">
        <f t="shared" si="1"/>
        <v>0.55029585798816572</v>
      </c>
      <c r="G4" s="9">
        <f t="shared" si="2"/>
        <v>0.44970414201183434</v>
      </c>
      <c r="H4">
        <f t="shared" si="3"/>
        <v>0</v>
      </c>
    </row>
    <row r="5" spans="1:8" x14ac:dyDescent="0.2">
      <c r="A5" t="s">
        <v>8408</v>
      </c>
      <c r="B5">
        <f>COUNTIFS(Kickstarter!$F:$F,"=successful",Kickstarter!$D:$D,"&gt;=10000",Kickstarter!$D:$D,"&lt;15000",Kickstarter!$R:$R,"plays")</f>
        <v>39</v>
      </c>
      <c r="C5">
        <f>COUNTIFS(Kickstarter!$F:$F,"=failed",Kickstarter!$D:$D,"&gt;=10000",Kickstarter!$D:$D,"&lt;15000",Kickstarter!$R:$R,"plays")</f>
        <v>33</v>
      </c>
      <c r="D5">
        <f>COUNTIFS(Kickstarter!$F:$F,"=canceled",Kickstarter!$D:$D,"&gt;=10000",Kickstarter!$D:$D,"&lt;15000",Kickstarter!$R:$R,"plays")</f>
        <v>0</v>
      </c>
      <c r="E5">
        <f t="shared" si="0"/>
        <v>72</v>
      </c>
      <c r="F5" s="9">
        <f t="shared" si="1"/>
        <v>0.54166666666666663</v>
      </c>
      <c r="G5" s="9">
        <f t="shared" si="2"/>
        <v>0.45833333333333331</v>
      </c>
      <c r="H5">
        <f t="shared" si="3"/>
        <v>0</v>
      </c>
    </row>
    <row r="6" spans="1:8" x14ac:dyDescent="0.2">
      <c r="A6" t="s">
        <v>8409</v>
      </c>
      <c r="B6">
        <f>COUNTIFS(Kickstarter!$F:$F,"=successful",Kickstarter!$D:$D,"&gt;=15000",Kickstarter!$D:$D,"&lt;20000",Kickstarter!$R:$R,"plays")</f>
        <v>12</v>
      </c>
      <c r="C6">
        <f>COUNTIFS(Kickstarter!$F:$F,"=failed",Kickstarter!$D:$D,"&gt;=15000",Kickstarter!$D:$D,"&lt;20000",Kickstarter!$R:$R,"plays")</f>
        <v>12</v>
      </c>
      <c r="D6">
        <f>COUNTIFS(Kickstarter!$F:$F,"=canceled",Kickstarter!$D:$D,"&gt;=15000",Kickstarter!$D:$D,"&lt;20000",Kickstarter!$R:$R,"plays")</f>
        <v>0</v>
      </c>
      <c r="E6">
        <f t="shared" si="0"/>
        <v>24</v>
      </c>
      <c r="F6" s="9">
        <f t="shared" si="1"/>
        <v>0.5</v>
      </c>
      <c r="G6" s="9">
        <f t="shared" si="2"/>
        <v>0.5</v>
      </c>
      <c r="H6">
        <f t="shared" si="3"/>
        <v>0</v>
      </c>
    </row>
    <row r="7" spans="1:8" x14ac:dyDescent="0.2">
      <c r="A7" t="s">
        <v>8410</v>
      </c>
      <c r="B7">
        <f>COUNTIFS(Kickstarter!$F:$F,"=successful",Kickstarter!$D:$D,"&gt;=20000",Kickstarter!$D:$D,"&lt;25000",Kickstarter!$R:$R,"plays")</f>
        <v>9</v>
      </c>
      <c r="C7">
        <f>COUNTIFS(Kickstarter!$F:$F,"=failed",Kickstarter!$D:$D,"&gt;=20000",Kickstarter!$D:$D,"&lt;25000",Kickstarter!$R:$R,"plays")</f>
        <v>11</v>
      </c>
      <c r="D7">
        <f>COUNTIFS(Kickstarter!$F:$F,"=canceled",Kickstarter!$D:$D,"&gt;=20000",Kickstarter!$D:$D,"&lt;25000",Kickstarter!$R:$R,"plays")</f>
        <v>0</v>
      </c>
      <c r="E7">
        <f t="shared" si="0"/>
        <v>20</v>
      </c>
      <c r="F7" s="9">
        <f t="shared" si="1"/>
        <v>0.45</v>
      </c>
      <c r="G7" s="9">
        <f t="shared" si="2"/>
        <v>0.55000000000000004</v>
      </c>
      <c r="H7">
        <f t="shared" si="3"/>
        <v>0</v>
      </c>
    </row>
    <row r="8" spans="1:8" x14ac:dyDescent="0.2">
      <c r="A8" t="s">
        <v>8411</v>
      </c>
      <c r="B8">
        <f>COUNTIFS(Kickstarter!$F:$F,"=successful",Kickstarter!$D:$D,"&gt;=25000",Kickstarter!$D:$D,"&lt;30000",Kickstarter!$R:$R,"plays")</f>
        <v>1</v>
      </c>
      <c r="C8">
        <f>COUNTIFS(Kickstarter!$F:$F,"=failed",Kickstarter!$D:$D,"&gt;=25000",Kickstarter!$D:$D,"&lt;30000",Kickstarter!$R:$R,"plays")</f>
        <v>4</v>
      </c>
      <c r="D8">
        <f>COUNTIFS(Kickstarter!$F:$F,"=canceled",Kickstarter!$D:$D,"&gt;=25000",Kickstarter!$D:$D,"&lt;30000",Kickstarter!$R:$R,"plays")</f>
        <v>0</v>
      </c>
      <c r="E8">
        <f t="shared" si="0"/>
        <v>5</v>
      </c>
      <c r="F8" s="9">
        <f t="shared" si="1"/>
        <v>0.2</v>
      </c>
      <c r="G8" s="9">
        <f t="shared" si="2"/>
        <v>0.8</v>
      </c>
      <c r="H8">
        <f t="shared" si="3"/>
        <v>0</v>
      </c>
    </row>
    <row r="9" spans="1:8" x14ac:dyDescent="0.2">
      <c r="A9" t="s">
        <v>8412</v>
      </c>
      <c r="B9">
        <f>COUNTIFS(Kickstarter!$F:$F,"=successful",Kickstarter!$D:$D,"&gt;=30000",Kickstarter!$D:$D,"&lt;35000",Kickstarter!$R:$R,"plays")</f>
        <v>3</v>
      </c>
      <c r="C9">
        <f>COUNTIFS(Kickstarter!$F:$F,"=failed",Kickstarter!$D:$D,"&gt;=30000",Kickstarter!$D:$D,"&lt;35000",Kickstarter!$R:$R,"plays")</f>
        <v>8</v>
      </c>
      <c r="D9">
        <f>COUNTIFS(Kickstarter!$F:$F,"=canceled",Kickstarter!$D:$D,"&gt;=30000",Kickstarter!$D:$D,"&lt;35000",Kickstarter!$R:$R,"plays")</f>
        <v>0</v>
      </c>
      <c r="E9">
        <f t="shared" si="0"/>
        <v>11</v>
      </c>
      <c r="F9" s="9">
        <f t="shared" si="1"/>
        <v>0.27272727272727271</v>
      </c>
      <c r="G9" s="9">
        <f t="shared" si="2"/>
        <v>0.72727272727272729</v>
      </c>
      <c r="H9">
        <f t="shared" si="3"/>
        <v>0</v>
      </c>
    </row>
    <row r="10" spans="1:8" x14ac:dyDescent="0.2">
      <c r="A10" t="s">
        <v>8413</v>
      </c>
      <c r="B10">
        <f>COUNTIFS(Kickstarter!$F:$F,"=successful",Kickstarter!$D:$D,"&gt;=35000",Kickstarter!$D:$D,"&lt;40000",Kickstarter!$R:$R,"plays")</f>
        <v>4</v>
      </c>
      <c r="C10">
        <f>COUNTIFS(Kickstarter!$F:$F,"=failed",Kickstarter!$D:$D,"&gt;=35000",Kickstarter!$D:$D,"&lt;40000",Kickstarter!$R:$R,"plays")</f>
        <v>2</v>
      </c>
      <c r="D10">
        <f>COUNTIFS(Kickstarter!$F:$F,"=canceled",Kickstarter!$D:$D,"&gt;=35000",Kickstarter!$D:$D,"&lt;40000",Kickstarter!$R:$R,"plays")</f>
        <v>0</v>
      </c>
      <c r="E10">
        <f t="shared" si="0"/>
        <v>6</v>
      </c>
      <c r="F10" s="9">
        <f t="shared" si="1"/>
        <v>0.66666666666666663</v>
      </c>
      <c r="G10" s="9">
        <f t="shared" si="2"/>
        <v>0.33333333333333331</v>
      </c>
      <c r="H10">
        <f t="shared" si="3"/>
        <v>0</v>
      </c>
    </row>
    <row r="11" spans="1:8" x14ac:dyDescent="0.2">
      <c r="A11" t="s">
        <v>8414</v>
      </c>
      <c r="B11">
        <f>COUNTIFS(Kickstarter!$F:$F,"=successful",Kickstarter!$D:$D,"&gt;=40000",Kickstarter!$D:$D,"&lt;44999",Kickstarter!$R:$R,"plays")</f>
        <v>2</v>
      </c>
      <c r="C11">
        <f>COUNTIFS(Kickstarter!$F:$F,"=failed",Kickstarter!$D:$D,"&gt;=40000",Kickstarter!$D:$D,"&lt;44999",Kickstarter!$R:$R,"plays")</f>
        <v>1</v>
      </c>
      <c r="D11">
        <f>COUNTIFS(Kickstarter!$F:$F,"=canceled",Kickstarter!$D:$D,"&gt;=40000",Kickstarter!$D:$D,"&lt;44999",Kickstarter!$R:$R,"plays")</f>
        <v>0</v>
      </c>
      <c r="E11">
        <f t="shared" si="0"/>
        <v>3</v>
      </c>
      <c r="F11" s="9">
        <f t="shared" si="1"/>
        <v>0.66666666666666663</v>
      </c>
      <c r="G11" s="9">
        <f t="shared" si="2"/>
        <v>0.33333333333333331</v>
      </c>
      <c r="H11">
        <f t="shared" si="3"/>
        <v>0</v>
      </c>
    </row>
    <row r="12" spans="1:8" x14ac:dyDescent="0.2">
      <c r="A12" t="s">
        <v>8415</v>
      </c>
      <c r="B12">
        <f>COUNTIFS(Kickstarter!$F:$F,"=successful",Kickstarter!$D:$D,"&gt;=45000",Kickstarter!$D:$D,"&lt;50000",Kickstarter!$R:$R,"plays")</f>
        <v>0</v>
      </c>
      <c r="C12">
        <f>COUNTIFS(Kickstarter!$F:$F,"=failed",Kickstarter!$D:$D,"&gt;=45000",Kickstarter!$D:$D,"&lt;50000",Kickstarter!$R:$R,"plays")</f>
        <v>1</v>
      </c>
      <c r="D12">
        <f>COUNTIFS(Kickstarter!$F:$F,"=canceled",Kickstarter!$D:$D,"&gt;=45000",Kickstarter!$D:$D,"&lt;50000",Kickstarter!$R:$R,"plays")</f>
        <v>0</v>
      </c>
      <c r="E12">
        <f t="shared" si="0"/>
        <v>1</v>
      </c>
      <c r="F12" s="9">
        <f t="shared" si="1"/>
        <v>0</v>
      </c>
      <c r="G12" s="9">
        <f t="shared" si="2"/>
        <v>1</v>
      </c>
      <c r="H12">
        <f t="shared" si="3"/>
        <v>0</v>
      </c>
    </row>
    <row r="13" spans="1:8" x14ac:dyDescent="0.2">
      <c r="A13" t="s">
        <v>8416</v>
      </c>
      <c r="B13">
        <f>COUNTIFS(Kickstarter!$F:$F,"=successful",Kickstarter!$D:$D,"&gt;=50000",Kickstarter!$R:$R,"plays")</f>
        <v>2</v>
      </c>
      <c r="C13">
        <f>COUNTIFS(Kickstarter!$F:$F,"=failed",Kickstarter!$D:$D,"&gt;=50000",Kickstarter!$R:$R,"plays")</f>
        <v>14</v>
      </c>
      <c r="D13">
        <f>COUNTIFS(Kickstarter!$F:$F,"=canceled",Kickstarter!$D:$D,"&gt;=50000",Kickstarter!$R:$R,"plays")</f>
        <v>0</v>
      </c>
      <c r="E13">
        <f t="shared" si="0"/>
        <v>16</v>
      </c>
      <c r="F13" s="9">
        <f t="shared" si="1"/>
        <v>0.125</v>
      </c>
      <c r="G13" s="9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7EBA1-2090-FC40-B59B-2F2ED00530E0}">
  <dimension ref="A1:F6"/>
  <sheetViews>
    <sheetView workbookViewId="0">
      <selection activeCell="A6" sqref="A6"/>
    </sheetView>
  </sheetViews>
  <sheetFormatPr baseColWidth="10" defaultRowHeight="15" x14ac:dyDescent="0.2"/>
  <cols>
    <col min="1" max="1" width="30.1640625" customWidth="1"/>
    <col min="2" max="2" width="42" style="3" customWidth="1"/>
    <col min="3" max="4" width="25.33203125" style="25" customWidth="1"/>
    <col min="5" max="5" width="19" customWidth="1"/>
    <col min="6" max="6" width="25.5" customWidth="1"/>
  </cols>
  <sheetData>
    <row r="1" spans="1:6" ht="16" x14ac:dyDescent="0.2">
      <c r="A1" s="23" t="s">
        <v>8380</v>
      </c>
      <c r="B1" s="24" t="s">
        <v>4110</v>
      </c>
      <c r="C1" s="25" t="s">
        <v>8382</v>
      </c>
      <c r="D1" s="25" t="s">
        <v>8383</v>
      </c>
      <c r="E1" t="s">
        <v>8307</v>
      </c>
      <c r="F1" t="s">
        <v>8384</v>
      </c>
    </row>
    <row r="2" spans="1:6" ht="48" x14ac:dyDescent="0.2">
      <c r="A2" s="2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25">
        <f>VLOOKUP(A2,Kickstarter!B:E,3,FALSE)</f>
        <v>2000</v>
      </c>
      <c r="D2" s="25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8" x14ac:dyDescent="0.2">
      <c r="A3" s="22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25">
        <f>VLOOKUP(A3,Kickstarter!B:E,3,FALSE)</f>
        <v>2000</v>
      </c>
      <c r="D3" s="25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8" x14ac:dyDescent="0.2">
      <c r="A4" s="22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25">
        <f>VLOOKUP(A4,Kickstarter!B:E,3,FALSE)</f>
        <v>1500</v>
      </c>
      <c r="D4" s="25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8" x14ac:dyDescent="0.2">
      <c r="A5" s="22" t="s">
        <v>3329</v>
      </c>
      <c r="B5" s="3" t="str">
        <f>VLOOKUP(A5,Kickstarter!B:C,2,FALSE)</f>
        <v>Jestia and Raedon is a brand new romantic comedy play going to the Edinburgh Fringe Festival this summer.</v>
      </c>
      <c r="C5" s="25">
        <f>VLOOKUP(A5,Kickstarter!B:E,3,FALSE)</f>
        <v>1000</v>
      </c>
      <c r="D5" s="2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s="22" t="s">
        <v>8381</v>
      </c>
      <c r="B6" s="3" t="e">
        <f>VLOOKUP(A6,Kickstarter!B:C,2,FALSE)</f>
        <v>#N/A</v>
      </c>
      <c r="C6" s="25" t="e">
        <f>VLOOKUP(A6,Kickstarter!B:E,3,FALSE)</f>
        <v>#N/A</v>
      </c>
      <c r="D6" s="25" t="e">
        <f>VLOOKUP(A6,Kickstarter!B:E,4,FALSE)</f>
        <v>#N/A</v>
      </c>
      <c r="E6" t="e">
        <f>VLOOKUP(A6,Kickstarter!B:P,15,FALSE)</f>
        <v>#N/A</v>
      </c>
      <c r="F6" t="e">
        <f>VLOOKUP(A6,Kickstarter!B:L,11,FALSE)</f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FFDE-4C41-C049-9B12-112AFFF8A0F1}">
  <dimension ref="A1:T413"/>
  <sheetViews>
    <sheetView topLeftCell="B1" workbookViewId="0">
      <selection activeCell="R2" sqref="R2"/>
    </sheetView>
  </sheetViews>
  <sheetFormatPr baseColWidth="10" defaultRowHeight="15" x14ac:dyDescent="0.2"/>
  <cols>
    <col min="14" max="14" width="22" customWidth="1"/>
    <col min="15" max="15" width="19.1640625" customWidth="1"/>
    <col min="16" max="16" width="18.33203125" customWidth="1"/>
    <col min="17" max="17" width="16.83203125" customWidth="1"/>
    <col min="18" max="18" width="13.1640625" customWidth="1"/>
    <col min="19" max="19" width="23" customWidth="1"/>
    <col min="20" max="20" width="21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4" t="s">
        <v>8359</v>
      </c>
      <c r="R1" s="1" t="s">
        <v>8358</v>
      </c>
      <c r="S1" s="17" t="s">
        <v>8365</v>
      </c>
      <c r="T1" s="20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 s="1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3" t="s">
        <v>8315</v>
      </c>
      <c r="R2" t="s">
        <v>8316</v>
      </c>
      <c r="S2" s="18">
        <v>42646.092812499999</v>
      </c>
      <c r="T2" s="18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 s="12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3" t="s">
        <v>8315</v>
      </c>
      <c r="R3" t="s">
        <v>8316</v>
      </c>
      <c r="S3" s="18">
        <v>42430.040798611109</v>
      </c>
      <c r="T3" s="18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 s="12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3" t="s">
        <v>8315</v>
      </c>
      <c r="R4" t="s">
        <v>8316</v>
      </c>
      <c r="S4" s="18">
        <v>42238.13282407407</v>
      </c>
      <c r="T4" s="18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 s="12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3" t="s">
        <v>8315</v>
      </c>
      <c r="R5" t="s">
        <v>8316</v>
      </c>
      <c r="S5" s="18">
        <v>41850.400937500002</v>
      </c>
      <c r="T5" s="18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 s="12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3" t="s">
        <v>8315</v>
      </c>
      <c r="R6" t="s">
        <v>8316</v>
      </c>
      <c r="S6" s="18">
        <v>42753.205625000002</v>
      </c>
      <c r="T6" s="18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 s="12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3" t="s">
        <v>8315</v>
      </c>
      <c r="R7" t="s">
        <v>8316</v>
      </c>
      <c r="S7" s="18">
        <v>42155.920219907406</v>
      </c>
      <c r="T7" s="18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 s="12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3" t="s">
        <v>8315</v>
      </c>
      <c r="R8" t="s">
        <v>8316</v>
      </c>
      <c r="S8" s="18">
        <v>42157.591064814813</v>
      </c>
      <c r="T8" s="18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 s="12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3" t="s">
        <v>8315</v>
      </c>
      <c r="R9" t="s">
        <v>8316</v>
      </c>
      <c r="S9" s="18">
        <v>42676.065150462964</v>
      </c>
      <c r="T9" s="18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 s="12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3" t="s">
        <v>8315</v>
      </c>
      <c r="R10" t="s">
        <v>8316</v>
      </c>
      <c r="S10" s="18">
        <v>42473.007037037038</v>
      </c>
      <c r="T10" s="18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 s="12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3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 s="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3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 s="12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3" t="s">
        <v>8315</v>
      </c>
      <c r="R13" t="s">
        <v>8316</v>
      </c>
      <c r="S13" s="18">
        <v>42712.23474537037</v>
      </c>
      <c r="T13" s="18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 s="12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3" t="s">
        <v>8315</v>
      </c>
      <c r="R14" t="s">
        <v>8316</v>
      </c>
      <c r="S14" s="18">
        <v>42561.154664351852</v>
      </c>
      <c r="T14" s="18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 s="12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3" t="s">
        <v>8315</v>
      </c>
      <c r="R15" t="s">
        <v>8316</v>
      </c>
      <c r="S15" s="18">
        <v>42709.134780092587</v>
      </c>
      <c r="T15" s="18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 s="12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3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 s="12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3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 s="12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3" t="s">
        <v>8315</v>
      </c>
      <c r="R18" t="s">
        <v>8316</v>
      </c>
      <c r="S18" s="18">
        <v>42292.701053240744</v>
      </c>
      <c r="T18" s="18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 s="12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3" t="s">
        <v>8315</v>
      </c>
      <c r="R19" t="s">
        <v>8316</v>
      </c>
      <c r="S19" s="18">
        <v>42461.747199074074</v>
      </c>
      <c r="T19" s="18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 s="12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3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 s="12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3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 s="1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3" t="s">
        <v>8315</v>
      </c>
      <c r="R22" t="s">
        <v>8316</v>
      </c>
      <c r="S22" s="18">
        <v>42195.749745370369</v>
      </c>
      <c r="T22" s="18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 s="12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3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 s="12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3" t="s">
        <v>8315</v>
      </c>
      <c r="R24" t="s">
        <v>8316</v>
      </c>
      <c r="S24" s="18">
        <v>42018.94159722222</v>
      </c>
      <c r="T24" s="18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 s="12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3" t="s">
        <v>8315</v>
      </c>
      <c r="R25" t="s">
        <v>8316</v>
      </c>
      <c r="S25" s="18">
        <v>42026.924976851849</v>
      </c>
      <c r="T25" s="18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 s="12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3" t="s">
        <v>8315</v>
      </c>
      <c r="R26" t="s">
        <v>8316</v>
      </c>
      <c r="S26" s="18">
        <v>41920.787534722222</v>
      </c>
      <c r="T26" s="18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 s="12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3" t="s">
        <v>8315</v>
      </c>
      <c r="R27" t="s">
        <v>8316</v>
      </c>
      <c r="S27" s="18">
        <v>42558.189432870371</v>
      </c>
      <c r="T27" s="18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 s="12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3" t="s">
        <v>8315</v>
      </c>
      <c r="R28" t="s">
        <v>8316</v>
      </c>
      <c r="S28" s="18">
        <v>41808.198518518519</v>
      </c>
      <c r="T28" s="18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 s="12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3" t="s">
        <v>8315</v>
      </c>
      <c r="R29" t="s">
        <v>8316</v>
      </c>
      <c r="S29" s="18">
        <v>42550.701886574068</v>
      </c>
      <c r="T29" s="18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 s="12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3" t="s">
        <v>8315</v>
      </c>
      <c r="R30" t="s">
        <v>8316</v>
      </c>
      <c r="S30" s="18">
        <v>42056.013124999998</v>
      </c>
      <c r="T30" s="18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 s="12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3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 s="1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3" t="s">
        <v>8315</v>
      </c>
      <c r="R32" t="s">
        <v>8316</v>
      </c>
      <c r="S32" s="18">
        <v>42591.899988425925</v>
      </c>
      <c r="T32" s="18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 s="12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3" t="s">
        <v>8315</v>
      </c>
      <c r="R33" t="s">
        <v>8316</v>
      </c>
      <c r="S33" s="18">
        <v>42183.231006944443</v>
      </c>
      <c r="T33" s="18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 s="12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3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 s="12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3" t="s">
        <v>8315</v>
      </c>
      <c r="R35" t="s">
        <v>8316</v>
      </c>
      <c r="S35" s="18">
        <v>42158.065694444449</v>
      </c>
      <c r="T35" s="18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 s="12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3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 s="12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3" t="s">
        <v>8315</v>
      </c>
      <c r="R37" t="s">
        <v>8316</v>
      </c>
      <c r="S37" s="18">
        <v>42208.84646990741</v>
      </c>
      <c r="T37" s="18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 s="12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3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 s="12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3" t="s">
        <v>8315</v>
      </c>
      <c r="R39" t="s">
        <v>8316</v>
      </c>
      <c r="S39" s="18">
        <v>41759.13962962963</v>
      </c>
      <c r="T39" s="18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 s="12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3" t="s">
        <v>8315</v>
      </c>
      <c r="R40" t="s">
        <v>8316</v>
      </c>
      <c r="S40" s="18">
        <v>42693.742604166662</v>
      </c>
      <c r="T40" s="18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 s="12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3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 s="1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3" t="s">
        <v>8315</v>
      </c>
      <c r="R42" t="s">
        <v>8316</v>
      </c>
      <c r="S42" s="18">
        <v>42060.683935185181</v>
      </c>
      <c r="T42" s="18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 s="12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3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 s="12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3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 s="12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3" t="s">
        <v>8315</v>
      </c>
      <c r="R45" t="s">
        <v>8316</v>
      </c>
      <c r="S45" s="18">
        <v>42494.683634259258</v>
      </c>
      <c r="T45" s="18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 s="12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3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 s="12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3" t="s">
        <v>8315</v>
      </c>
      <c r="R47" t="s">
        <v>8316</v>
      </c>
      <c r="S47" s="18">
        <v>42171.824884259258</v>
      </c>
      <c r="T47" s="18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 s="12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3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 s="12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3" t="s">
        <v>8315</v>
      </c>
      <c r="R49" t="s">
        <v>8316</v>
      </c>
      <c r="S49" s="18">
        <v>42746.261782407411</v>
      </c>
      <c r="T49" s="18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 s="12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3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 s="12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3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 s="1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3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 s="12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3" t="s">
        <v>8315</v>
      </c>
      <c r="R53" t="s">
        <v>8316</v>
      </c>
      <c r="S53" s="18">
        <v>42036.24428240741</v>
      </c>
      <c r="T53" s="18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 s="12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3" t="s">
        <v>8315</v>
      </c>
      <c r="R54" t="s">
        <v>8316</v>
      </c>
      <c r="S54" s="18">
        <v>42157.470185185186</v>
      </c>
      <c r="T54" s="18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 s="12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3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 s="12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3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 s="12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3" t="s">
        <v>8315</v>
      </c>
      <c r="R57" t="s">
        <v>8316</v>
      </c>
      <c r="S57" s="18">
        <v>42233.738564814819</v>
      </c>
      <c r="T57" s="18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 s="12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3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 s="12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3" t="s">
        <v>8315</v>
      </c>
      <c r="R59" t="s">
        <v>8316</v>
      </c>
      <c r="S59" s="18">
        <v>42585.523842592593</v>
      </c>
      <c r="T59" s="18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 s="12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3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 s="12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3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 s="1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3" t="s">
        <v>8315</v>
      </c>
      <c r="R62" t="s">
        <v>8316</v>
      </c>
      <c r="S62" s="18">
        <v>42694.110185185185</v>
      </c>
      <c r="T62" s="18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 s="12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3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 s="12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3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 s="12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3" t="s">
        <v>8315</v>
      </c>
      <c r="R65" t="s">
        <v>8316</v>
      </c>
      <c r="S65" s="18">
        <v>41941.683865740742</v>
      </c>
      <c r="T65" s="18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 s="12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3" t="s">
        <v>8315</v>
      </c>
      <c r="R66" t="s">
        <v>8316</v>
      </c>
      <c r="S66" s="18">
        <v>42026.88118055556</v>
      </c>
      <c r="T66" s="18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 s="12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3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 s="12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3" t="s">
        <v>8315</v>
      </c>
      <c r="R68" t="s">
        <v>8316</v>
      </c>
      <c r="S68" s="18">
        <v>41993.824340277773</v>
      </c>
      <c r="T68" s="18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 s="12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3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 s="12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3" t="s">
        <v>8315</v>
      </c>
      <c r="R70" t="s">
        <v>8316</v>
      </c>
      <c r="S70" s="18">
        <v>41909.969386574077</v>
      </c>
      <c r="T70" s="18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 s="12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3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 s="1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3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 s="12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3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 s="12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3" t="s">
        <v>8315</v>
      </c>
      <c r="R74" t="s">
        <v>8316</v>
      </c>
      <c r="S74" s="18">
        <v>41862.83997685185</v>
      </c>
      <c r="T74" s="18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 s="12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3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 s="12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3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 s="12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3" t="s">
        <v>8315</v>
      </c>
      <c r="R77" t="s">
        <v>8316</v>
      </c>
      <c r="S77" s="18">
        <v>41026.953055555554</v>
      </c>
      <c r="T77" s="18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 s="12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3" t="s">
        <v>8315</v>
      </c>
      <c r="R78" t="s">
        <v>8316</v>
      </c>
      <c r="S78" s="18">
        <v>41829.788252314815</v>
      </c>
      <c r="T78" s="18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 s="12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3" t="s">
        <v>8315</v>
      </c>
      <c r="R79" t="s">
        <v>8316</v>
      </c>
      <c r="S79" s="18">
        <v>41447.839722222219</v>
      </c>
      <c r="T79" s="18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 s="12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3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 s="12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3" t="s">
        <v>8315</v>
      </c>
      <c r="R81" t="s">
        <v>8316</v>
      </c>
      <c r="S81" s="18">
        <v>41841.26489583333</v>
      </c>
      <c r="T81" s="18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 s="1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3" t="s">
        <v>8315</v>
      </c>
      <c r="R82" t="s">
        <v>8316</v>
      </c>
      <c r="S82" s="18">
        <v>41799.685902777775</v>
      </c>
      <c r="T82" s="18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 s="12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3" t="s">
        <v>8315</v>
      </c>
      <c r="R83" t="s">
        <v>8316</v>
      </c>
      <c r="S83" s="18">
        <v>41775.753761574073</v>
      </c>
      <c r="T83" s="18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 s="12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3" t="s">
        <v>8315</v>
      </c>
      <c r="R84" t="s">
        <v>8316</v>
      </c>
      <c r="S84" s="18">
        <v>41766.80572916667</v>
      </c>
      <c r="T84" s="18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 s="12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3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 s="12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3" t="s">
        <v>8315</v>
      </c>
      <c r="R86" t="s">
        <v>8316</v>
      </c>
      <c r="S86" s="18">
        <v>41940.69158564815</v>
      </c>
      <c r="T86" s="18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 s="12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3" t="s">
        <v>8315</v>
      </c>
      <c r="R87" t="s">
        <v>8316</v>
      </c>
      <c r="S87" s="18">
        <v>41839.175706018519</v>
      </c>
      <c r="T87" s="18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 s="12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3" t="s">
        <v>8315</v>
      </c>
      <c r="R88" t="s">
        <v>8316</v>
      </c>
      <c r="S88" s="18">
        <v>41772.105937500004</v>
      </c>
      <c r="T88" s="18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 s="12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3" t="s">
        <v>8315</v>
      </c>
      <c r="R89" t="s">
        <v>8316</v>
      </c>
      <c r="S89" s="18">
        <v>41591.737974537034</v>
      </c>
      <c r="T89" s="18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 s="12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3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 s="12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3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 s="1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3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 s="12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3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 s="12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3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 s="12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3" t="s">
        <v>8315</v>
      </c>
      <c r="R95" t="s">
        <v>8316</v>
      </c>
      <c r="S95" s="18">
        <v>41477.930914351848</v>
      </c>
      <c r="T95" s="18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 s="12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3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 s="12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3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 s="12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3" t="s">
        <v>8315</v>
      </c>
      <c r="R98" t="s">
        <v>8316</v>
      </c>
      <c r="S98" s="18">
        <v>40883.949317129627</v>
      </c>
      <c r="T98" s="18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 s="12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3" t="s">
        <v>8315</v>
      </c>
      <c r="R99" t="s">
        <v>8316</v>
      </c>
      <c r="S99" s="18">
        <v>41491.79478009259</v>
      </c>
      <c r="T99" s="18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 s="12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3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 s="12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3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 s="1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3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 s="12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3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 s="12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3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 s="12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3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 s="12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3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 s="12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3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 s="12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3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 s="12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3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 s="12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3" t="s">
        <v>8315</v>
      </c>
      <c r="R110" t="s">
        <v>8316</v>
      </c>
      <c r="S110" s="18">
        <v>42772.833379629628</v>
      </c>
      <c r="T110" s="18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 s="12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3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 s="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3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 s="12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3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 s="12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3" t="s">
        <v>8315</v>
      </c>
      <c r="R114" t="s">
        <v>8316</v>
      </c>
      <c r="S114" s="18">
        <v>42503.559467592597</v>
      </c>
      <c r="T114" s="18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 s="12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3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 s="12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3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 s="12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3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 s="12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3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 s="12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3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 s="12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3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 s="12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3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 s="1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3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 s="12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3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 s="12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3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 s="12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3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 s="12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3" t="s">
        <v>8315</v>
      </c>
      <c r="R126" t="s">
        <v>8316</v>
      </c>
      <c r="S126" s="18">
        <v>42262.096782407403</v>
      </c>
      <c r="T126" s="18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 s="12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3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 s="12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3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 s="12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3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 s="12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3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 s="12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3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 s="1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3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 s="12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3" t="s">
        <v>8315</v>
      </c>
      <c r="R133" t="s">
        <v>8316</v>
      </c>
      <c r="S133" s="18">
        <v>42602.576712962968</v>
      </c>
      <c r="T133" s="18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 s="12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3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 s="12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3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 s="12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3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 s="12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3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 s="12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3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 s="12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3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 s="12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3" t="s">
        <v>8315</v>
      </c>
      <c r="R140" t="s">
        <v>8316</v>
      </c>
      <c r="S140" s="18">
        <v>42284.516064814816</v>
      </c>
      <c r="T140" s="18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 s="12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3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 s="1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3" t="s">
        <v>8315</v>
      </c>
      <c r="R142" t="s">
        <v>8316</v>
      </c>
      <c r="S142" s="18">
        <v>42136.536134259266</v>
      </c>
      <c r="T142" s="18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 s="12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3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 s="12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3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 s="12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3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 s="12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3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 s="12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3" t="s">
        <v>8315</v>
      </c>
      <c r="R147" t="s">
        <v>8316</v>
      </c>
      <c r="S147" s="18">
        <v>42400.704537037032</v>
      </c>
      <c r="T147" s="18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 s="12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3" t="s">
        <v>8315</v>
      </c>
      <c r="R148" t="s">
        <v>8316</v>
      </c>
      <c r="S148" s="18">
        <v>42017.88045138889</v>
      </c>
      <c r="T148" s="18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 s="12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3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 s="12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3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 s="12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3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 s="1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3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 s="12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3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 s="12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3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 s="12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3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 s="12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3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 s="12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3" t="s">
        <v>8315</v>
      </c>
      <c r="R157" t="s">
        <v>8316</v>
      </c>
      <c r="S157" s="18">
        <v>42239.957962962959</v>
      </c>
      <c r="T157" s="18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 s="12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3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 s="12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3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 s="12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3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 s="12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3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 s="1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3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 s="12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3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 s="12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3" t="s">
        <v>8315</v>
      </c>
      <c r="R164" t="s">
        <v>8316</v>
      </c>
      <c r="S164" s="18">
        <v>42493.219236111108</v>
      </c>
      <c r="T164" s="18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 s="12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3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 s="12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3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 s="12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3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 s="12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3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 s="12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3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 s="12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3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 s="12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3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 s="1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3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 s="12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3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 s="12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3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 s="12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3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 s="12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3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 s="12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3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 s="12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3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 s="12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3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 s="12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3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 s="12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3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 s="1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3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 s="12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3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 s="12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3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 s="12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3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 s="12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3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 s="12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3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 s="12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3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 s="12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3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 s="12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3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 s="12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3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 s="1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3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 s="12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3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 s="12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3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 s="12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3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 s="12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3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 s="12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3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 s="12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3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 s="12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3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 s="12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3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 s="12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3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 s="1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3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 s="12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3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 s="12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3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 s="12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3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 s="12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3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 s="12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3" t="s">
        <v>8315</v>
      </c>
      <c r="R207" t="s">
        <v>8316</v>
      </c>
      <c r="S207" s="18">
        <v>42292.087592592594</v>
      </c>
      <c r="T207" s="18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 s="12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3" t="s">
        <v>8315</v>
      </c>
      <c r="R208" t="s">
        <v>8316</v>
      </c>
      <c r="S208" s="18">
        <v>41953.8675</v>
      </c>
      <c r="T208" s="18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 s="12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3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 s="12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3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 s="12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3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 s="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3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 s="12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3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 s="12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3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 s="12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3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 s="12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3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 s="12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3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 s="12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3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 s="12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3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 s="12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3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 s="12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3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 s="1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3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 s="12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3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 s="12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3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 s="12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3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 s="12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3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 s="12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3" t="s">
        <v>8315</v>
      </c>
      <c r="R227" t="s">
        <v>8316</v>
      </c>
      <c r="S227" s="18">
        <v>41894.91375</v>
      </c>
      <c r="T227" s="18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 s="12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3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 s="12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3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 s="12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3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 s="12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3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 s="1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3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 s="12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3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 s="12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3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 s="12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3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 s="12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3" t="s">
        <v>8315</v>
      </c>
      <c r="R236" t="s">
        <v>8316</v>
      </c>
      <c r="S236" s="18">
        <v>41776.063136574077</v>
      </c>
      <c r="T236" s="18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 s="12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3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 s="12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3" t="s">
        <v>8315</v>
      </c>
      <c r="R238" t="s">
        <v>8316</v>
      </c>
      <c r="S238" s="18">
        <v>42572.61681712963</v>
      </c>
      <c r="T238" s="18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 s="12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3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 s="12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3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 s="12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3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 s="1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3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 s="12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3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 s="12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3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 s="12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3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 s="12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3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 s="12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3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 s="12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3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 s="12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3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 s="12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3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 s="12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3" t="s">
        <v>8315</v>
      </c>
      <c r="R251" t="s">
        <v>8316</v>
      </c>
      <c r="S251" s="18">
        <v>42626.7503125</v>
      </c>
      <c r="T251" s="18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 s="1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3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 s="12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3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 s="12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3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 s="12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3" t="s">
        <v>8315</v>
      </c>
      <c r="R255" t="s">
        <v>8316</v>
      </c>
      <c r="S255" s="18">
        <v>42643.632858796293</v>
      </c>
      <c r="T255" s="18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 s="12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3" t="s">
        <v>8315</v>
      </c>
      <c r="R256" t="s">
        <v>8316</v>
      </c>
      <c r="S256" s="18">
        <v>42179.898472222223</v>
      </c>
      <c r="T256" s="18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 s="12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3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 s="12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3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 s="12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3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 s="12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3" t="s">
        <v>8315</v>
      </c>
      <c r="R260" t="s">
        <v>8316</v>
      </c>
      <c r="S260" s="18">
        <v>42605.765381944439</v>
      </c>
      <c r="T260" s="18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 s="12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3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 s="1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3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 s="12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3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 s="12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3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 s="12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3" t="s">
        <v>8315</v>
      </c>
      <c r="R265" t="s">
        <v>8316</v>
      </c>
      <c r="S265" s="18">
        <v>41921.279976851853</v>
      </c>
      <c r="T265" s="18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 s="12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3" t="s">
        <v>8315</v>
      </c>
      <c r="R266" t="s">
        <v>8316</v>
      </c>
      <c r="S266" s="18">
        <v>42128.736608796295</v>
      </c>
      <c r="T266" s="18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 s="12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3" t="s">
        <v>8315</v>
      </c>
      <c r="R267" t="s">
        <v>8316</v>
      </c>
      <c r="S267" s="18">
        <v>42053.916921296302</v>
      </c>
      <c r="T267" s="18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 s="12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3" t="s">
        <v>8315</v>
      </c>
      <c r="R268" t="s">
        <v>8316</v>
      </c>
      <c r="S268" s="18">
        <v>42171.317442129628</v>
      </c>
      <c r="T268" s="18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 s="12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3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 s="12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3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 s="12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3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 s="1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3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 s="12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3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 s="12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3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 s="12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3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 s="12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3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 s="12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3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 s="12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3" t="s">
        <v>8315</v>
      </c>
      <c r="R278" t="s">
        <v>8316</v>
      </c>
      <c r="S278" s="18">
        <v>42689.214988425927</v>
      </c>
      <c r="T278" s="18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 s="12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3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 s="12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3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 s="12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3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 s="1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3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 s="12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3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 s="12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3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 s="12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3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 s="12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3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 s="12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3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 s="12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3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 s="12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3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 s="12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3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 s="12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3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 s="1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3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 s="12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3" t="s">
        <v>8315</v>
      </c>
      <c r="R293" t="s">
        <v>8316</v>
      </c>
      <c r="S293" s="18">
        <v>41856.010069444441</v>
      </c>
      <c r="T293" s="18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 s="12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3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 s="12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3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 s="12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3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 s="12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3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 s="12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3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 s="12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3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 s="12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3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 s="12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3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 s="1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3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 s="12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3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 s="12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3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 s="12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3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 s="12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3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 s="12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3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 s="12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3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 s="12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3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 s="12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3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 s="12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3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 s="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3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 s="12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3" t="s">
        <v>8315</v>
      </c>
      <c r="R313" t="s">
        <v>8316</v>
      </c>
      <c r="S313" s="18">
        <v>42196.028703703705</v>
      </c>
      <c r="T313" s="18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 s="12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3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 s="12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3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 s="12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3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 s="12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3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 s="12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3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 s="12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3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 s="12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3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 s="12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3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 s="1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3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 s="12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3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 s="12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3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 s="12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3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 s="12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3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 s="12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3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 s="12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3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 s="12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3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 s="12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3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 s="12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3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 s="1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3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 s="12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3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 s="12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3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 s="12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3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 s="12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3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 s="12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3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 s="12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3" t="s">
        <v>8315</v>
      </c>
      <c r="R338" t="s">
        <v>8316</v>
      </c>
      <c r="S338" s="18">
        <v>42220.79487268519</v>
      </c>
      <c r="T338" s="18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 s="12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3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 s="12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3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 s="12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3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 s="1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3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 s="12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3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 s="12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3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 s="12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3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 s="12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3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 s="12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3" t="s">
        <v>8315</v>
      </c>
      <c r="R347" t="s">
        <v>8316</v>
      </c>
      <c r="S347" s="18">
        <v>42619.935694444444</v>
      </c>
      <c r="T347" s="18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 s="12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3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 s="12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3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 s="12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3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 s="12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3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 s="1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3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 s="12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3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 s="12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3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 s="12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3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 s="12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3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 s="12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3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 s="12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3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 s="12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3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 s="12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3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 s="12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3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 s="1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3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 s="12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3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 s="12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3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 s="12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3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 s="12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3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 s="12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3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 s="12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3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 s="12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3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 s="12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3" t="s">
        <v>8315</v>
      </c>
      <c r="R370" t="s">
        <v>8316</v>
      </c>
      <c r="S370" s="18">
        <v>41753.593275462961</v>
      </c>
      <c r="T370" s="18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 s="12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3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 s="1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3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 s="12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3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 s="12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3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 s="12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3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 s="12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3" t="s">
        <v>8315</v>
      </c>
      <c r="R376" t="s">
        <v>8316</v>
      </c>
      <c r="S376" s="18">
        <v>41891.96503472222</v>
      </c>
      <c r="T376" s="18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 s="12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3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 s="12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3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 s="12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3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 s="12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3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 s="12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3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 s="1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3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 s="12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3" t="s">
        <v>8315</v>
      </c>
      <c r="R383" t="s">
        <v>8316</v>
      </c>
      <c r="S383" s="18">
        <v>41792.542986111112</v>
      </c>
      <c r="T383" s="18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 s="12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3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 s="12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3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 s="12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3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 s="12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3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 s="12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3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 s="12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3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 s="12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3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 s="12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3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 s="1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3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 s="12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3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 s="12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3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 s="12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3" t="s">
        <v>8315</v>
      </c>
      <c r="R395" t="s">
        <v>8316</v>
      </c>
      <c r="S395" s="18">
        <v>42462.140868055561</v>
      </c>
      <c r="T395" s="18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 s="12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3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 s="12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3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 s="12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3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 s="12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3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 s="12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3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 s="12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3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 s="1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3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 s="12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3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 s="12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3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 s="12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3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 s="12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3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 s="12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3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 s="12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3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 s="12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3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 s="12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3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 s="12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3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 s="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3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 s="12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3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ontainsText" dxfId="7" priority="7" operator="containsText" text="canceled">
      <formula>NOT(ISERROR(SEARCH("canceled",F1)))</formula>
    </cfRule>
    <cfRule type="containsText" dxfId="6" priority="8" operator="containsText" text="failed">
      <formula>NOT(ISERROR(SEARCH("failed",F1)))</formula>
    </cfRule>
    <cfRule type="containsText" dxfId="5" priority="9" operator="containsText" text="successful">
      <formula>NOT(ISERROR(SEARCH("successful",F1)))</formula>
    </cfRule>
    <cfRule type="containsText" dxfId="4" priority="10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C00000"/>
        <color theme="3" tint="0.59999389629810485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C00000"/>
        <color theme="4" tint="0.59999389629810485"/>
      </colorScale>
    </cfRule>
    <cfRule type="colorScale" priority="4">
      <colorScale>
        <cfvo type="min"/>
        <cfvo type="max"/>
        <color rgb="FFC00000"/>
        <color theme="4" tint="0.59999389629810485"/>
      </colorScale>
    </cfRule>
    <cfRule type="colorScale" priority="5">
      <colorScale>
        <cfvo type="min"/>
        <cfvo type="max"/>
        <color theme="4" tint="0.59999389629810485"/>
        <color rgb="FFFFEF9C"/>
      </colorScale>
    </cfRule>
    <cfRule type="colorScale" priority="6">
      <colorScale>
        <cfvo type="min"/>
        <cfvo type="max"/>
        <color rgb="FFFF0000"/>
        <color theme="3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A8E78-ADA0-4F4E-BA38-F00707A84A28}">
  <dimension ref="A1:T251"/>
  <sheetViews>
    <sheetView workbookViewId="0">
      <selection activeCell="O3" sqref="O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4" t="s">
        <v>8359</v>
      </c>
      <c r="R1" s="1" t="s">
        <v>8358</v>
      </c>
      <c r="S1" s="17" t="s">
        <v>8365</v>
      </c>
      <c r="T1" s="20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 s="1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3" t="s">
        <v>8315</v>
      </c>
      <c r="R2" t="s">
        <v>8316</v>
      </c>
      <c r="S2" s="18">
        <v>42492.737847222219</v>
      </c>
      <c r="T2" s="18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 s="12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3" t="s">
        <v>8315</v>
      </c>
      <c r="R3" t="s">
        <v>8316</v>
      </c>
      <c r="S3" s="18">
        <v>42103.016585648147</v>
      </c>
      <c r="T3" s="18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 s="12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3" t="s">
        <v>8315</v>
      </c>
      <c r="R4" t="s">
        <v>8316</v>
      </c>
      <c r="S4" s="18">
        <v>42108.692060185189</v>
      </c>
      <c r="T4" s="18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 s="12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3" t="s">
        <v>8315</v>
      </c>
      <c r="R5" t="s">
        <v>8316</v>
      </c>
      <c r="S5" s="18">
        <v>42453.806307870371</v>
      </c>
      <c r="T5" s="18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 s="12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3" t="s">
        <v>8315</v>
      </c>
      <c r="R6" t="s">
        <v>8316</v>
      </c>
      <c r="S6" s="18">
        <v>42123.648831018523</v>
      </c>
      <c r="T6" s="18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 s="12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3" t="s">
        <v>8315</v>
      </c>
      <c r="R7" t="s">
        <v>8316</v>
      </c>
      <c r="S7" s="18">
        <v>41858.007071759261</v>
      </c>
      <c r="T7" s="18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 s="12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3" t="s">
        <v>8315</v>
      </c>
      <c r="R8" t="s">
        <v>8316</v>
      </c>
      <c r="S8" s="18">
        <v>41781.045173611114</v>
      </c>
      <c r="T8" s="18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 s="12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3" t="s">
        <v>8315</v>
      </c>
      <c r="R9" t="s">
        <v>8316</v>
      </c>
      <c r="S9" s="18">
        <v>42370.007766203707</v>
      </c>
      <c r="T9" s="18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 s="12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3" t="s">
        <v>8315</v>
      </c>
      <c r="R10" t="s">
        <v>8316</v>
      </c>
      <c r="S10" s="18">
        <v>42165.037581018521</v>
      </c>
      <c r="T10" s="18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 s="12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3" t="s">
        <v>8315</v>
      </c>
      <c r="R11" t="s">
        <v>8316</v>
      </c>
      <c r="S11" s="18">
        <v>42480.800648148142</v>
      </c>
      <c r="T11" s="18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 s="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3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 s="12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3" t="s">
        <v>8315</v>
      </c>
      <c r="R13" t="s">
        <v>8316</v>
      </c>
      <c r="S13" s="18">
        <v>41831.675034722226</v>
      </c>
      <c r="T13" s="18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 s="12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3" t="s">
        <v>8315</v>
      </c>
      <c r="R14" t="s">
        <v>8316</v>
      </c>
      <c r="S14" s="18">
        <v>41950.114108796297</v>
      </c>
      <c r="T14" s="18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 s="12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3" t="s">
        <v>8315</v>
      </c>
      <c r="R15" t="s">
        <v>8316</v>
      </c>
      <c r="S15" s="18">
        <v>42627.955104166671</v>
      </c>
      <c r="T15" s="18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 s="12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3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 s="12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3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 s="12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3" t="s">
        <v>8315</v>
      </c>
      <c r="R18" t="s">
        <v>8316</v>
      </c>
      <c r="S18" s="18">
        <v>42540.593530092592</v>
      </c>
      <c r="T18" s="18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 s="12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3" t="s">
        <v>8315</v>
      </c>
      <c r="R19" t="s">
        <v>8316</v>
      </c>
      <c r="S19" s="18">
        <v>41746.189409722225</v>
      </c>
      <c r="T19" s="18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 s="12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3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 s="12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3" t="s">
        <v>8315</v>
      </c>
      <c r="R21" t="s">
        <v>8316</v>
      </c>
      <c r="S21" s="18">
        <v>42115.11618055556</v>
      </c>
      <c r="T21" s="18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 s="1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3" t="s">
        <v>8315</v>
      </c>
      <c r="R22" t="s">
        <v>8316</v>
      </c>
      <c r="S22" s="18">
        <v>42002.817488425921</v>
      </c>
      <c r="T22" s="18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 s="12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3" t="s">
        <v>8315</v>
      </c>
      <c r="R23" t="s">
        <v>8316</v>
      </c>
      <c r="S23" s="18">
        <v>42722.84474537037</v>
      </c>
      <c r="T23" s="18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 s="12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3" t="s">
        <v>8315</v>
      </c>
      <c r="R24" t="s">
        <v>8316</v>
      </c>
      <c r="S24" s="18">
        <v>42465.128391203703</v>
      </c>
      <c r="T24" s="18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 s="12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3" t="s">
        <v>8315</v>
      </c>
      <c r="R25" t="s">
        <v>8316</v>
      </c>
      <c r="S25" s="18">
        <v>42171.743969907402</v>
      </c>
      <c r="T25" s="18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 s="12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3" t="s">
        <v>8315</v>
      </c>
      <c r="R26" t="s">
        <v>8316</v>
      </c>
      <c r="S26" s="18">
        <v>42672.955138888887</v>
      </c>
      <c r="T26" s="18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 s="12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3" t="s">
        <v>8315</v>
      </c>
      <c r="R27" t="s">
        <v>8316</v>
      </c>
      <c r="S27" s="18">
        <v>42359.725243055553</v>
      </c>
      <c r="T27" s="18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 s="12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3" t="s">
        <v>8315</v>
      </c>
      <c r="R28" t="s">
        <v>8316</v>
      </c>
      <c r="S28" s="18">
        <v>42192.905694444446</v>
      </c>
      <c r="T28" s="18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 s="12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3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 s="12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3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 s="12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3" t="s">
        <v>8315</v>
      </c>
      <c r="R31" t="s">
        <v>8316</v>
      </c>
      <c r="S31" s="18">
        <v>42370.90320601852</v>
      </c>
      <c r="T31" s="18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 s="1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3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 s="12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3" t="s">
        <v>8315</v>
      </c>
      <c r="R33" t="s">
        <v>8316</v>
      </c>
      <c r="S33" s="18">
        <v>42047.07640046296</v>
      </c>
      <c r="T33" s="18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 s="12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3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 s="12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3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 s="12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3" t="s">
        <v>8315</v>
      </c>
      <c r="R36" t="s">
        <v>8316</v>
      </c>
      <c r="S36" s="18">
        <v>41922.535185185188</v>
      </c>
      <c r="T36" s="18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 s="12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3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 s="12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3" t="s">
        <v>8315</v>
      </c>
      <c r="R38" t="s">
        <v>8316</v>
      </c>
      <c r="S38" s="18">
        <v>41831.742962962962</v>
      </c>
      <c r="T38" s="18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 s="12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3" t="s">
        <v>8315</v>
      </c>
      <c r="R39" t="s">
        <v>8316</v>
      </c>
      <c r="S39" s="18">
        <v>42415.883425925931</v>
      </c>
      <c r="T39" s="18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 s="12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3" t="s">
        <v>8315</v>
      </c>
      <c r="R40" t="s">
        <v>8316</v>
      </c>
      <c r="S40" s="18">
        <v>41869.714166666665</v>
      </c>
      <c r="T40" s="18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 s="12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3" t="s">
        <v>8315</v>
      </c>
      <c r="R41" t="s">
        <v>8316</v>
      </c>
      <c r="S41" s="18">
        <v>41953.773090277777</v>
      </c>
      <c r="T41" s="18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 s="1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3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 s="12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3" t="s">
        <v>8315</v>
      </c>
      <c r="R43" t="s">
        <v>8316</v>
      </c>
      <c r="S43" s="18">
        <v>41811.555462962962</v>
      </c>
      <c r="T43" s="18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 s="12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3" t="s">
        <v>8315</v>
      </c>
      <c r="R44" t="s">
        <v>8316</v>
      </c>
      <c r="S44" s="18">
        <v>42701.908807870372</v>
      </c>
      <c r="T44" s="18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 s="12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3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 s="12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3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 s="12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3" t="s">
        <v>8315</v>
      </c>
      <c r="R47" t="s">
        <v>8316</v>
      </c>
      <c r="S47" s="18">
        <v>42515.078217592592</v>
      </c>
      <c r="T47" s="18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 s="12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3" t="s">
        <v>8315</v>
      </c>
      <c r="R48" t="s">
        <v>8316</v>
      </c>
      <c r="S48" s="18">
        <v>41830.234166666669</v>
      </c>
      <c r="T48" s="18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 s="12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3" t="s">
        <v>8315</v>
      </c>
      <c r="R49" t="s">
        <v>8316</v>
      </c>
      <c r="S49" s="18">
        <v>41982.904386574075</v>
      </c>
      <c r="T49" s="18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 s="12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3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 s="12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3" t="s">
        <v>8315</v>
      </c>
      <c r="R51" t="s">
        <v>8316</v>
      </c>
      <c r="S51" s="18">
        <v>42196.166874999995</v>
      </c>
      <c r="T51" s="18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 s="1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3" t="s">
        <v>8315</v>
      </c>
      <c r="R52" t="s">
        <v>8316</v>
      </c>
      <c r="S52" s="18">
        <v>42606.056863425925</v>
      </c>
      <c r="T52" s="18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 s="12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3" t="s">
        <v>8315</v>
      </c>
      <c r="R53" t="s">
        <v>8316</v>
      </c>
      <c r="S53" s="18">
        <v>42199.648912037039</v>
      </c>
      <c r="T53" s="18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 s="12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3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 s="12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3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 s="12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3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 s="12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3" t="s">
        <v>8315</v>
      </c>
      <c r="R57" t="s">
        <v>8316</v>
      </c>
      <c r="S57" s="18">
        <v>42142.768819444449</v>
      </c>
      <c r="T57" s="18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 s="12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3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 s="12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3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 s="12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3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 s="12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3" t="s">
        <v>8315</v>
      </c>
      <c r="R61" t="s">
        <v>8316</v>
      </c>
      <c r="S61" s="18">
        <v>42278.629710648151</v>
      </c>
      <c r="T61" s="18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 s="1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3" t="s">
        <v>8315</v>
      </c>
      <c r="R62" t="s">
        <v>8316</v>
      </c>
      <c r="S62" s="18">
        <v>41826.61954861111</v>
      </c>
      <c r="T62" s="18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 s="12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3" t="s">
        <v>8315</v>
      </c>
      <c r="R63" t="s">
        <v>8316</v>
      </c>
      <c r="S63" s="18">
        <v>42205.171018518522</v>
      </c>
      <c r="T63" s="18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 s="12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3" t="s">
        <v>8315</v>
      </c>
      <c r="R64" t="s">
        <v>8316</v>
      </c>
      <c r="S64" s="18">
        <v>42041.205000000002</v>
      </c>
      <c r="T64" s="18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 s="12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3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 s="12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3" t="s">
        <v>8315</v>
      </c>
      <c r="R66" t="s">
        <v>8316</v>
      </c>
      <c r="S66" s="18">
        <v>41983.752847222218</v>
      </c>
      <c r="T66" s="18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 s="12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3" t="s">
        <v>8315</v>
      </c>
      <c r="R67" t="s">
        <v>8316</v>
      </c>
      <c r="S67" s="18">
        <v>42103.024398148147</v>
      </c>
      <c r="T67" s="18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 s="12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3" t="s">
        <v>8315</v>
      </c>
      <c r="R68" t="s">
        <v>8316</v>
      </c>
      <c r="S68" s="18">
        <v>42089.901574074072</v>
      </c>
      <c r="T68" s="18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 s="12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3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 s="12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3" t="s">
        <v>8315</v>
      </c>
      <c r="R70" t="s">
        <v>8316</v>
      </c>
      <c r="S70" s="18">
        <v>41833.089756944442</v>
      </c>
      <c r="T70" s="18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 s="12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3" t="s">
        <v>8315</v>
      </c>
      <c r="R71" t="s">
        <v>8316</v>
      </c>
      <c r="S71" s="18">
        <v>42325.920717592591</v>
      </c>
      <c r="T71" s="18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 s="1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3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 s="12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3" t="s">
        <v>8315</v>
      </c>
      <c r="R73" t="s">
        <v>8316</v>
      </c>
      <c r="S73" s="18">
        <v>41793.710231481484</v>
      </c>
      <c r="T73" s="18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 s="12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3" t="s">
        <v>8315</v>
      </c>
      <c r="R74" t="s">
        <v>8316</v>
      </c>
      <c r="S74" s="18">
        <v>41793.814259259263</v>
      </c>
      <c r="T74" s="18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 s="12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3" t="s">
        <v>8315</v>
      </c>
      <c r="R75" t="s">
        <v>8316</v>
      </c>
      <c r="S75" s="18">
        <v>41831.697939814818</v>
      </c>
      <c r="T75" s="18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 s="12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3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 s="12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3" t="s">
        <v>8315</v>
      </c>
      <c r="R77" t="s">
        <v>8316</v>
      </c>
      <c r="S77" s="18">
        <v>41780.785729166666</v>
      </c>
      <c r="T77" s="18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 s="12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3" t="s">
        <v>8315</v>
      </c>
      <c r="R78" t="s">
        <v>8316</v>
      </c>
      <c r="S78" s="18">
        <v>41766.072500000002</v>
      </c>
      <c r="T78" s="18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 s="12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3" t="s">
        <v>8315</v>
      </c>
      <c r="R79" t="s">
        <v>8316</v>
      </c>
      <c r="S79" s="18">
        <v>41766.617291666669</v>
      </c>
      <c r="T79" s="18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 s="12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3" t="s">
        <v>8315</v>
      </c>
      <c r="R80" t="s">
        <v>8316</v>
      </c>
      <c r="S80" s="18">
        <v>42248.627013888887</v>
      </c>
      <c r="T80" s="18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 s="12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3" t="s">
        <v>8315</v>
      </c>
      <c r="R81" t="s">
        <v>8316</v>
      </c>
      <c r="S81" s="18">
        <v>41885.221550925926</v>
      </c>
      <c r="T81" s="18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 s="1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3" t="s">
        <v>8315</v>
      </c>
      <c r="R82" t="s">
        <v>8316</v>
      </c>
      <c r="S82" s="18">
        <v>42159.224432870367</v>
      </c>
      <c r="T82" s="18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 s="12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3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 s="12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3" t="s">
        <v>8315</v>
      </c>
      <c r="R84" t="s">
        <v>8316</v>
      </c>
      <c r="S84" s="18">
        <v>41975.124340277776</v>
      </c>
      <c r="T84" s="18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 s="12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3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 s="12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3" t="s">
        <v>8315</v>
      </c>
      <c r="R86" t="s">
        <v>8316</v>
      </c>
      <c r="S86" s="18">
        <v>41848.84002314815</v>
      </c>
      <c r="T86" s="18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 s="12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3" t="s">
        <v>8315</v>
      </c>
      <c r="R87" t="s">
        <v>8316</v>
      </c>
      <c r="S87" s="18">
        <v>42103.884930555556</v>
      </c>
      <c r="T87" s="18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 s="12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3" t="s">
        <v>8315</v>
      </c>
      <c r="R88" t="s">
        <v>8316</v>
      </c>
      <c r="S88" s="18">
        <v>42059.970729166671</v>
      </c>
      <c r="T88" s="18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 s="12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3" t="s">
        <v>8315</v>
      </c>
      <c r="R89" t="s">
        <v>8316</v>
      </c>
      <c r="S89" s="18">
        <v>42041.743090277778</v>
      </c>
      <c r="T89" s="18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 s="12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3" t="s">
        <v>8315</v>
      </c>
      <c r="R90" t="s">
        <v>8316</v>
      </c>
      <c r="S90" s="18">
        <v>41829.73715277778</v>
      </c>
      <c r="T90" s="18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 s="12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3" t="s">
        <v>8315</v>
      </c>
      <c r="R91" t="s">
        <v>8316</v>
      </c>
      <c r="S91" s="18">
        <v>41789.893599537041</v>
      </c>
      <c r="T91" s="18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 s="1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3" t="s">
        <v>8315</v>
      </c>
      <c r="R92" t="s">
        <v>8316</v>
      </c>
      <c r="S92" s="18">
        <v>41833.660995370366</v>
      </c>
      <c r="T92" s="18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 s="12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3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 s="12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3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 s="12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3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 s="12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3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 s="12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3" t="s">
        <v>8315</v>
      </c>
      <c r="R97" t="s">
        <v>8316</v>
      </c>
      <c r="S97" s="18">
        <v>42402.947002314817</v>
      </c>
      <c r="T97" s="18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 s="12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3" t="s">
        <v>8315</v>
      </c>
      <c r="R98" t="s">
        <v>8316</v>
      </c>
      <c r="S98" s="18">
        <v>42509.814108796301</v>
      </c>
      <c r="T98" s="18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 s="12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3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 s="12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3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 s="12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3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 s="1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3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 s="12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3" t="s">
        <v>8315</v>
      </c>
      <c r="R103" t="s">
        <v>8316</v>
      </c>
      <c r="S103" s="18">
        <v>41779.657870370371</v>
      </c>
      <c r="T103" s="18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 s="12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3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 s="12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3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 s="12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3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 s="12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3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 s="12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3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 s="12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3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 s="12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3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 s="12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3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 s="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3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 s="12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3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 s="12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3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 s="12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3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 s="12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3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 s="12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3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 s="12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3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 s="12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3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 s="12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3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 s="12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3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 s="1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3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 s="12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3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 s="12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3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 s="12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3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 s="12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3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 s="12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3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 s="12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3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 s="12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3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 s="12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3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 s="12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3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 s="1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3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 s="12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3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 s="12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3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 s="12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3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 s="12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3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 s="12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3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 s="12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3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 s="12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3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 s="12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3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 s="12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3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 s="1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3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 s="12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3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 s="12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3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 s="12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3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 s="12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3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 s="12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3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 s="12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3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 s="12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3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 s="12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3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 s="12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3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 s="1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3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 s="12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3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 s="12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3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 s="12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3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 s="12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3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 s="12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3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 s="12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3" t="s">
        <v>8315</v>
      </c>
      <c r="R158" t="s">
        <v>8316</v>
      </c>
      <c r="S158" s="18">
        <v>42534.866875</v>
      </c>
      <c r="T158" s="18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 s="12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3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 s="12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3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 s="12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3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 s="1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3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 s="12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3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 s="12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3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 s="12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3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 s="12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3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 s="12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3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 s="12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3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 s="12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3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 s="12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3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 s="12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3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 s="1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3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 s="12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3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 s="12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3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 s="12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3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 s="12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3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 s="12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3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 s="12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3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 s="12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3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 s="12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3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 s="12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3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 s="1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3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 s="12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3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 s="12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3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 s="12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3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 s="12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3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 s="12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3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 s="12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3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 s="12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3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 s="12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3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 s="12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3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 s="1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3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 s="12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3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 s="12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3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 s="12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3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 s="12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3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 s="12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3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 s="12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3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 s="12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3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 s="12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3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 s="12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3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 s="1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3" t="s">
        <v>8315</v>
      </c>
      <c r="R202" t="s">
        <v>8316</v>
      </c>
      <c r="S202" s="18">
        <v>41804.937083333331</v>
      </c>
      <c r="T202" s="18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 s="12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3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 s="12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3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 s="12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3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 s="12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3" t="s">
        <v>8315</v>
      </c>
      <c r="R206" t="s">
        <v>8316</v>
      </c>
      <c r="S206" s="18">
        <v>42144.231527777782</v>
      </c>
      <c r="T206" s="18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 s="12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3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 s="12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3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 s="12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3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 s="12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3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 s="12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3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 s="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3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 s="12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3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 s="12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3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 s="12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3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 s="12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3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 s="12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3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 s="12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3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 s="12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3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 s="12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3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 s="12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3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 s="1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3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 s="12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3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 s="12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3" t="s">
        <v>8315</v>
      </c>
      <c r="R224" t="s">
        <v>8316</v>
      </c>
      <c r="S224" s="18">
        <v>42031.666898148149</v>
      </c>
      <c r="T224" s="18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 s="12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3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 s="12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3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 s="12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3" t="s">
        <v>8315</v>
      </c>
      <c r="R227" t="s">
        <v>8316</v>
      </c>
      <c r="S227" s="18">
        <v>42695.7105787037</v>
      </c>
      <c r="T227" s="18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 s="12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3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 s="12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3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 s="12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3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 s="12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3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 s="1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3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 s="12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3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 s="12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3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 s="12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3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 s="12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3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 s="12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3" t="s">
        <v>8315</v>
      </c>
      <c r="R237" t="s">
        <v>8316</v>
      </c>
      <c r="S237" s="18">
        <v>42209.67288194444</v>
      </c>
      <c r="T237" s="18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 s="12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3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 s="12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3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 s="12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3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 s="12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3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 s="1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3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 s="12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3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 s="12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3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 s="12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3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 s="12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3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 s="12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3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 s="12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3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 s="12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3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 s="12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3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 s="12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3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ontainsText" dxfId="3" priority="7" operator="containsText" text="canceled">
      <formula>NOT(ISERROR(SEARCH("canceled",F1)))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C00000"/>
        <color theme="3" tint="0.59999389629810485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C00000"/>
        <color theme="4" tint="0.59999389629810485"/>
      </colorScale>
    </cfRule>
    <cfRule type="colorScale" priority="4">
      <colorScale>
        <cfvo type="min"/>
        <cfvo type="max"/>
        <color rgb="FFC00000"/>
        <color theme="4" tint="0.59999389629810485"/>
      </colorScale>
    </cfRule>
    <cfRule type="colorScale" priority="5">
      <colorScale>
        <cfvo type="min"/>
        <cfvo type="max"/>
        <color theme="4" tint="0.59999389629810485"/>
        <color rgb="FFFFEF9C"/>
      </colorScale>
    </cfRule>
    <cfRule type="colorScale" priority="6">
      <colorScale>
        <cfvo type="min"/>
        <cfvo type="max"/>
        <color rgb="FFFF0000"/>
        <color theme="3" tint="0.5999938962981048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57D9C-7022-C74D-A9C5-B9BB9EA34DC8}">
  <dimension ref="A1:C14"/>
  <sheetViews>
    <sheetView topLeftCell="A2" workbookViewId="0">
      <selection activeCell="B22" sqref="B22"/>
    </sheetView>
  </sheetViews>
  <sheetFormatPr baseColWidth="10" defaultRowHeight="15" x14ac:dyDescent="0.2"/>
  <cols>
    <col min="1" max="1" width="23.83203125" customWidth="1"/>
    <col min="2" max="2" width="13.1640625" bestFit="1" customWidth="1"/>
    <col min="3" max="3" width="14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7">
        <f>AVERAGE('Successful U.S. Kickstarters'!D:D)</f>
        <v>5048.8786407766993</v>
      </c>
      <c r="C2" s="27">
        <f>AVERAGE('Failed U.S. Kickstarters'!D:D)</f>
        <v>10554.212</v>
      </c>
    </row>
    <row r="3" spans="1:3" x14ac:dyDescent="0.2">
      <c r="A3" t="s">
        <v>8388</v>
      </c>
      <c r="B3" s="27">
        <f>MEDIAN('Successful U.S. Kickstarters'!D:D)</f>
        <v>3000</v>
      </c>
      <c r="C3" s="27">
        <f>MEDIAN('Failed U.S. Kickstarters'!D:D)</f>
        <v>5000</v>
      </c>
    </row>
    <row r="4" spans="1:3" x14ac:dyDescent="0.2">
      <c r="A4" t="s">
        <v>8391</v>
      </c>
      <c r="B4" s="27">
        <f>_xlfn.STDEV.P('Successful U.S. Kickstarters'!D:D)</f>
        <v>7748.7537726373303</v>
      </c>
      <c r="C4" s="27">
        <f>_xlfn.STDEV.P('Failed U.S. Kickstarters'!D:D)</f>
        <v>21967.731061515115</v>
      </c>
    </row>
    <row r="5" spans="1:3" x14ac:dyDescent="0.2">
      <c r="A5" t="s">
        <v>8392</v>
      </c>
      <c r="B5" s="27">
        <f>_xlfn.QUARTILE.EXC('Successful U.S. Kickstarters'!D:D,3)</f>
        <v>5000</v>
      </c>
      <c r="C5" s="27">
        <f>_xlfn.QUARTILE.EXC('Failed U.S. Kickstarters'!D:D,3)</f>
        <v>10000</v>
      </c>
    </row>
    <row r="6" spans="1:3" x14ac:dyDescent="0.2">
      <c r="A6" t="s">
        <v>8393</v>
      </c>
      <c r="B6" s="27">
        <f>_xlfn.QUARTILE.EXC('Successful U.S. Kickstarters'!D:D,1)</f>
        <v>1500</v>
      </c>
      <c r="C6" s="27">
        <f>_xlfn.QUARTILE.EXC('Failed U.S. Kickstarters'!D:D,1)</f>
        <v>2000</v>
      </c>
    </row>
    <row r="7" spans="1:3" x14ac:dyDescent="0.2">
      <c r="A7" t="s">
        <v>8394</v>
      </c>
      <c r="B7" s="27">
        <f>B5-B6</f>
        <v>3500</v>
      </c>
      <c r="C7" s="27">
        <f>C5-C6</f>
        <v>8000</v>
      </c>
    </row>
    <row r="8" spans="1:3" x14ac:dyDescent="0.2">
      <c r="B8" s="27"/>
      <c r="C8" s="27"/>
    </row>
    <row r="9" spans="1:3" x14ac:dyDescent="0.2">
      <c r="A9" t="s">
        <v>8389</v>
      </c>
      <c r="B9" s="27">
        <f>AVERAGE('Successful U.S. Kickstarters'!E:E)</f>
        <v>5601.5458009708727</v>
      </c>
      <c r="C9" s="27">
        <f>AVERAGE('Failed U.S. Kickstarters'!E:E)</f>
        <v>558.65484000000004</v>
      </c>
    </row>
    <row r="10" spans="1:3" x14ac:dyDescent="0.2">
      <c r="A10" t="s">
        <v>8390</v>
      </c>
      <c r="B10" s="27">
        <f>MEDIAN('Successful U.S. Kickstarters'!E:E)</f>
        <v>3167.5</v>
      </c>
      <c r="C10" s="27">
        <f>MEDIAN('Failed U.S. Kickstarters'!E:E)</f>
        <v>103</v>
      </c>
    </row>
    <row r="11" spans="1:3" x14ac:dyDescent="0.2">
      <c r="A11" t="s">
        <v>8395</v>
      </c>
      <c r="B11" s="27">
        <f>_xlfn.STDEV.P('Successful U.S. Kickstarters'!E:E)</f>
        <v>8334.5731699164608</v>
      </c>
      <c r="C11" s="27">
        <f>_xlfn.STDEV.P('Failed U.S. Kickstarters'!E:E)</f>
        <v>1330.5230280400915</v>
      </c>
    </row>
    <row r="12" spans="1:3" x14ac:dyDescent="0.2">
      <c r="A12" t="s">
        <v>8396</v>
      </c>
      <c r="B12" s="27">
        <f>_xlfn.QUARTILE.EXC('Successful U.S. Kickstarters'!E:E,3)</f>
        <v>5699</v>
      </c>
      <c r="C12" s="27">
        <f>_xlfn.QUARTILE.EXC('Failed U.S. Kickstarters'!E:E,3)</f>
        <v>501</v>
      </c>
    </row>
    <row r="13" spans="1:3" x14ac:dyDescent="0.2">
      <c r="A13" t="s">
        <v>8397</v>
      </c>
      <c r="B13" s="27">
        <f>_xlfn.QUARTILE.EXC('Successful U.S. Kickstarters'!E:E,1)</f>
        <v>1716.5074999999999</v>
      </c>
      <c r="C13" s="27">
        <f>_xlfn.QUARTILE.EXC('Failed U.S. Kickstarters'!E:E,1)</f>
        <v>9.25</v>
      </c>
    </row>
    <row r="14" spans="1:3" x14ac:dyDescent="0.2">
      <c r="A14" t="s">
        <v>8398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Parent Category Statistics</vt:lpstr>
      <vt:lpstr>Subcategory Statistics</vt:lpstr>
      <vt:lpstr>Outcomes Based on Launch Date</vt:lpstr>
      <vt:lpstr>Outcomes Based on Goals</vt:lpstr>
      <vt:lpstr>Edinburgh Research</vt:lpstr>
      <vt:lpstr>Successful U.S. Kickstarters</vt:lpstr>
      <vt:lpstr>Failed U.S. Kickstarters</vt:lpstr>
      <vt:lpstr>Descriptive Statistics</vt:lpstr>
      <vt:lpstr>Box and Whisker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Melody Li</cp:lastModifiedBy>
  <dcterms:created xsi:type="dcterms:W3CDTF">2017-04-20T15:17:24Z</dcterms:created>
  <dcterms:modified xsi:type="dcterms:W3CDTF">2020-05-18T05:13:17Z</dcterms:modified>
</cp:coreProperties>
</file>