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lody/Desktop/Data Analysis/Week 2 /Module 1.1.3 /"/>
    </mc:Choice>
  </mc:AlternateContent>
  <xr:revisionPtr revIDLastSave="0" documentId="13_ncr:1_{C4E9E20F-3DB2-2F4A-A5BF-D21F69024392}" xr6:coauthVersionLast="45" xr6:coauthVersionMax="45" xr10:uidLastSave="{00000000-0000-0000-0000-000000000000}"/>
  <bookViews>
    <workbookView xWindow="7260" yWindow="1300" windowWidth="21700" windowHeight="13580" xr2:uid="{00000000-000D-0000-FFFF-FFFF00000000}"/>
  </bookViews>
  <sheets>
    <sheet name="Kickstarter" sheetId="1" r:id="rId1"/>
    <sheet name="Parent Category Statistics" sheetId="2" r:id="rId2"/>
    <sheet name="Subcategory Statistics" sheetId="3" r:id="rId3"/>
    <sheet name="Outcomes Based on Launch Date" sheetId="5" r:id="rId4"/>
    <sheet name="Outcomes Based on Goals" sheetId="11" r:id="rId5"/>
    <sheet name="Edinburgh Research" sheetId="6" r:id="rId6"/>
    <sheet name="Successful U.S. Kickstarters" sheetId="7" r:id="rId7"/>
    <sheet name="Failed U.S. Kickstarters" sheetId="8" r:id="rId8"/>
    <sheet name="Descriptive Statistics" sheetId="9" r:id="rId9"/>
    <sheet name="Box and Whisker Plots" sheetId="10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9" r:id="rId11"/>
    <pivotCache cacheId="20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11" l="1"/>
  <c r="D12" i="11"/>
  <c r="D11" i="11"/>
  <c r="D10" i="11"/>
  <c r="D9" i="11"/>
  <c r="D8" i="11"/>
  <c r="D7" i="11"/>
  <c r="D6" i="11"/>
  <c r="D5" i="11"/>
  <c r="D4" i="11"/>
  <c r="D3" i="11"/>
  <c r="D2" i="11"/>
  <c r="C2" i="11"/>
  <c r="B4" i="11"/>
  <c r="C4" i="11"/>
  <c r="C13" i="11"/>
  <c r="C12" i="11"/>
  <c r="C11" i="11"/>
  <c r="C10" i="11"/>
  <c r="C9" i="11"/>
  <c r="C8" i="11"/>
  <c r="C7" i="11"/>
  <c r="C6" i="11"/>
  <c r="C5" i="11"/>
  <c r="C3" i="11"/>
  <c r="B13" i="11"/>
  <c r="E13" i="11" s="1"/>
  <c r="B12" i="11"/>
  <c r="E12" i="11" s="1"/>
  <c r="B11" i="11"/>
  <c r="E11" i="11" s="1"/>
  <c r="B10" i="11"/>
  <c r="E10" i="11" s="1"/>
  <c r="B9" i="11"/>
  <c r="E9" i="11" s="1"/>
  <c r="B8" i="11"/>
  <c r="E8" i="11" s="1"/>
  <c r="B7" i="11"/>
  <c r="E7" i="11" s="1"/>
  <c r="B6" i="11"/>
  <c r="E6" i="11" s="1"/>
  <c r="B5" i="11"/>
  <c r="E5" i="11" s="1"/>
  <c r="B3" i="11"/>
  <c r="E3" i="11" s="1"/>
  <c r="B2" i="11"/>
  <c r="E2" i="11" s="1"/>
  <c r="C14" i="9"/>
  <c r="B14" i="9"/>
  <c r="C13" i="9"/>
  <c r="C12" i="9"/>
  <c r="B13" i="9"/>
  <c r="B12" i="9"/>
  <c r="C7" i="9"/>
  <c r="B7" i="9"/>
  <c r="C6" i="9"/>
  <c r="C5" i="9"/>
  <c r="B6" i="9"/>
  <c r="B5" i="9"/>
  <c r="C11" i="9"/>
  <c r="B11" i="9"/>
  <c r="C4" i="9"/>
  <c r="B4" i="9"/>
  <c r="C9" i="9"/>
  <c r="C10" i="9"/>
  <c r="B10" i="9"/>
  <c r="B9" i="9"/>
  <c r="C3" i="9"/>
  <c r="B3" i="9"/>
  <c r="C2" i="9"/>
  <c r="B2" i="9"/>
  <c r="F6" i="6"/>
  <c r="F3" i="6"/>
  <c r="F4" i="6"/>
  <c r="F5" i="6"/>
  <c r="F2" i="6"/>
  <c r="E6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G45" i="2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11" l="1"/>
  <c r="G9" i="11"/>
  <c r="G13" i="11"/>
  <c r="H2" i="11"/>
  <c r="H6" i="11"/>
  <c r="H10" i="11"/>
  <c r="G6" i="11"/>
  <c r="G10" i="11"/>
  <c r="H3" i="11"/>
  <c r="H7" i="11"/>
  <c r="H11" i="11"/>
  <c r="G7" i="11"/>
  <c r="G11" i="11"/>
  <c r="E4" i="11"/>
  <c r="G4" i="11" s="1"/>
  <c r="H8" i="11"/>
  <c r="H12" i="11"/>
  <c r="G3" i="11"/>
  <c r="G8" i="11"/>
  <c r="G12" i="11"/>
  <c r="G2" i="11"/>
  <c r="H5" i="11"/>
  <c r="H9" i="11"/>
  <c r="H13" i="11"/>
  <c r="F11" i="11"/>
  <c r="F7" i="11"/>
  <c r="F3" i="11"/>
  <c r="F12" i="11"/>
  <c r="F8" i="11"/>
  <c r="F13" i="11"/>
  <c r="F9" i="11"/>
  <c r="F5" i="11"/>
  <c r="F10" i="11"/>
  <c r="F6" i="11"/>
  <c r="F2" i="11"/>
  <c r="F4" i="11" l="1"/>
  <c r="H4" i="11"/>
</calcChain>
</file>

<file path=xl/sharedStrings.xml><?xml version="1.0" encoding="utf-8"?>
<sst xmlns="http://schemas.openxmlformats.org/spreadsheetml/2006/main" count="38363" uniqueCount="8418">
  <si>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</si>
  <si>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</si>
  <si>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</si>
  <si>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</si>
  <si>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</si>
  <si>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</si>
  <si>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</si>
  <si>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</si>
  <si>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</si>
  <si>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</si>
  <si>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</si>
  <si>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</si>
  <si>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</si>
  <si>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</si>
  <si>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</si>
  <si>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</si>
  <si>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</si>
  <si>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</si>
  <si>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</si>
  <si>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</si>
  <si>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</si>
  <si>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</si>
  <si>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</si>
  <si>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</si>
  <si>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</si>
  <si>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</si>
  <si>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</si>
  <si>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</si>
  <si>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</si>
  <si>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</si>
  <si>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</si>
  <si>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</si>
  <si>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</si>
  <si>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</si>
  <si>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</si>
  <si>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</si>
  <si>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</si>
  <si>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</si>
  <si>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</si>
  <si>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</si>
  <si>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</si>
  <si>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</si>
  <si>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</si>
  <si>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</si>
  <si>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</si>
  <si>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</si>
  <si>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</si>
  <si>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</si>
  <si>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</si>
  <si>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</si>
  <si>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</si>
  <si>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</si>
  <si>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</si>
  <si>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</si>
  <si>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</si>
  <si>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</si>
  <si>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</si>
  <si>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</si>
  <si>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</si>
  <si>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</si>
  <si>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</si>
  <si>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</si>
  <si>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</si>
  <si>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</si>
  <si>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</si>
  <si>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</si>
  <si>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</si>
  <si>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</si>
  <si>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</si>
  <si>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</si>
  <si>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</si>
  <si>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</si>
  <si>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</si>
  <si>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</si>
  <si>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</si>
  <si>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</si>
  <si>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</si>
  <si>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</si>
  <si>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</si>
  <si>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</si>
  <si>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</si>
  <si>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</si>
  <si>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</si>
  <si>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</si>
  <si>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</si>
  <si>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</si>
  <si>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</si>
  <si>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</si>
  <si>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</si>
  <si>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</si>
  <si>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</si>
  <si>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</si>
  <si>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</si>
  <si>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</si>
  <si>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</si>
  <si>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</si>
  <si>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</si>
  <si>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</si>
  <si>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</si>
  <si>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</si>
  <si>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</si>
  <si>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</si>
  <si>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</si>
  <si>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</si>
  <si>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</si>
  <si>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</si>
  <si>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</si>
  <si>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</si>
  <si>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</si>
  <si>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</si>
  <si>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</si>
  <si>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</si>
  <si>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</si>
  <si>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</si>
  <si>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</si>
  <si>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</si>
  <si>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</si>
  <si>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</si>
  <si>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</si>
  <si>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</si>
  <si>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</si>
  <si>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</si>
  <si>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</si>
  <si>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</si>
  <si>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</si>
  <si>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</si>
  <si>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</si>
  <si>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</si>
  <si>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</si>
  <si>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</si>
  <si>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</si>
  <si>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</si>
  <si>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</si>
  <si>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</si>
  <si>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</si>
  <si>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</si>
  <si>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</si>
  <si>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</si>
  <si>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</si>
  <si>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</si>
  <si>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</si>
  <si>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</si>
  <si>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</si>
  <si>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</si>
  <si>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</si>
  <si>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</si>
  <si>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</si>
  <si>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</si>
  <si>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</si>
  <si>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</si>
  <si>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</si>
  <si>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</si>
  <si>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</si>
  <si>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</si>
  <si>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</si>
  <si>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</si>
  <si>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</si>
  <si>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</si>
  <si>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</si>
  <si>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</si>
  <si>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</si>
  <si>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</si>
  <si>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</si>
  <si>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</si>
  <si>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</si>
  <si>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</si>
  <si>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</si>
  <si>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</si>
  <si>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</si>
  <si>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</si>
  <si>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</si>
  <si>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</si>
  <si>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</si>
  <si>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</si>
  <si>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</si>
  <si>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</si>
  <si>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</si>
  <si>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</si>
  <si>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</si>
  <si>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</si>
  <si>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</si>
  <si>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</si>
  <si>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</si>
  <si>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</si>
  <si>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</si>
  <si>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</si>
  <si>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</si>
  <si>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</si>
  <si>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</si>
  <si>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</si>
  <si>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</si>
  <si>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</si>
  <si>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</si>
  <si>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</si>
  <si>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</si>
  <si>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</si>
  <si>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</si>
  <si>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</si>
  <si>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</si>
  <si>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</si>
  <si>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</si>
  <si>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</si>
  <si>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</si>
  <si>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</si>
  <si>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</si>
  <si>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</si>
  <si>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</si>
  <si>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</si>
  <si>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</si>
  <si>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</si>
  <si>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</si>
  <si>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</si>
  <si>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</si>
  <si>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</si>
  <si>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</si>
  <si>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</si>
  <si>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</si>
  <si>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</si>
  <si>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</si>
  <si>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</si>
  <si>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</si>
  <si>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</si>
  <si>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</si>
  <si>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</si>
  <si>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</si>
  <si>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</si>
  <si>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</si>
  <si>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</si>
  <si>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</si>
  <si>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</si>
  <si>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</si>
  <si>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</si>
  <si>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</si>
  <si>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</si>
  <si>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</si>
  <si>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</si>
  <si>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</si>
  <si>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</si>
  <si>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</si>
  <si>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</si>
  <si>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</si>
  <si>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</si>
  <si>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</si>
  <si>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</si>
  <si>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</si>
  <si>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</si>
  <si>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</si>
  <si>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</si>
  <si>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</si>
  <si>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</si>
  <si>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</si>
  <si>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</si>
  <si>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</si>
  <si>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</si>
  <si>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</si>
  <si>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</si>
  <si>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</si>
  <si>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</si>
  <si>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</si>
  <si>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</si>
  <si>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</si>
  <si>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</si>
  <si>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</si>
  <si>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</si>
  <si>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</si>
  <si>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</si>
  <si>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</si>
  <si>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</si>
  <si>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</si>
  <si>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</si>
  <si>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</si>
  <si>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</si>
  <si>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</si>
  <si>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</si>
  <si>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</si>
  <si>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</si>
  <si>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</si>
  <si>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</si>
  <si>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</si>
  <si>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</si>
  <si>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</si>
  <si>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</si>
  <si>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</si>
  <si>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</si>
  <si>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</si>
  <si>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</si>
  <si>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</si>
  <si>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</si>
  <si>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</si>
  <si>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</si>
  <si>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</si>
  <si>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</si>
  <si>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</si>
  <si>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</si>
  <si>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</si>
  <si>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</si>
  <si>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</si>
  <si>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</si>
  <si>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</si>
  <si>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</si>
  <si>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</si>
  <si>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</si>
  <si>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</si>
  <si>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</si>
  <si>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</si>
  <si>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</si>
  <si>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</si>
  <si>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</si>
  <si>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</si>
  <si>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</si>
  <si>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</si>
  <si>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</si>
  <si>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</si>
  <si>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</si>
  <si>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</si>
  <si>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</si>
  <si>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</si>
  <si>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</si>
  <si>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</si>
  <si>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</si>
  <si>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</si>
  <si>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</si>
  <si>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</si>
  <si>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</si>
  <si>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</si>
  <si>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</si>
  <si>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</si>
  <si>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</si>
  <si>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</si>
  <si>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</si>
  <si>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</si>
  <si>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</si>
  <si>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</si>
  <si>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</si>
  <si>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</si>
  <si>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</si>
  <si>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</si>
  <si>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</si>
  <si>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</si>
  <si>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</si>
  <si>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</si>
  <si>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</si>
  <si>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</si>
  <si>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</si>
  <si>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</si>
  <si>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</si>
  <si>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</si>
  <si>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</si>
  <si>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</si>
  <si>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</si>
  <si>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</si>
  <si>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</si>
  <si>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</si>
  <si>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</si>
  <si>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</si>
  <si>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</si>
  <si>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</si>
  <si>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</si>
  <si>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</si>
  <si>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</si>
  <si>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</si>
  <si>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</si>
  <si>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</si>
  <si>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</si>
  <si>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</si>
  <si>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</si>
  <si>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</si>
  <si>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</si>
  <si>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</si>
  <si>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</si>
  <si>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</si>
  <si>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</si>
  <si>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</si>
  <si>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</si>
  <si>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</si>
  <si>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</si>
  <si>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</si>
  <si>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</si>
  <si>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</si>
  <si>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</si>
  <si>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</si>
  <si>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</si>
  <si>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</si>
  <si>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</si>
  <si>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</si>
  <si>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</si>
  <si>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</si>
  <si>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</si>
  <si>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</si>
  <si>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</si>
  <si>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</si>
  <si>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</si>
  <si>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</si>
  <si>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</si>
  <si>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</si>
  <si>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</si>
  <si>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</si>
  <si>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</si>
  <si>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</si>
  <si>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</si>
  <si>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</si>
  <si>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</si>
  <si>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</si>
  <si>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</si>
  <si>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</si>
  <si>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</si>
  <si>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</si>
  <si>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</si>
  <si>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</si>
  <si>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</si>
  <si>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</si>
  <si>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</si>
  <si>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</si>
  <si>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</si>
  <si>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</si>
  <si>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</si>
  <si>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</si>
  <si>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</si>
  <si>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</si>
  <si>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</si>
  <si>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</si>
  <si>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</si>
  <si>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</si>
  <si>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</si>
  <si>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</si>
  <si>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</si>
  <si>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</si>
  <si>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</si>
  <si>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</si>
  <si>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</si>
  <si>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</si>
  <si>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</si>
  <si>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</si>
  <si>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</si>
  <si>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</si>
  <si>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</si>
  <si>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</si>
  <si>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</si>
  <si>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</si>
  <si>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</si>
  <si>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</si>
  <si>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</si>
  <si>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</si>
  <si>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</si>
  <si>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</si>
  <si>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</si>
  <si>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</si>
  <si>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</si>
  <si>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</si>
  <si>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</si>
  <si>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</si>
  <si>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</si>
  <si>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</si>
  <si>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</si>
  <si>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</si>
  <si>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</si>
  <si>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</si>
  <si>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</si>
  <si>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</si>
  <si>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</si>
  <si>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</si>
  <si>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</si>
  <si>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</si>
  <si>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</si>
  <si>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</si>
  <si>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</si>
  <si>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</si>
  <si>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</si>
  <si>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</si>
  <si>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</si>
  <si>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</si>
  <si>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</si>
  <si>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</si>
  <si>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</si>
  <si>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</si>
  <si>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</si>
  <si>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</si>
  <si>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</si>
  <si>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</si>
  <si>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</si>
  <si>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</si>
  <si>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</si>
  <si>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</si>
  <si>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</si>
  <si>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</si>
  <si>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</si>
  <si>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</si>
  <si>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</si>
  <si>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</si>
  <si>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</si>
  <si>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</si>
  <si>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</si>
  <si>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</si>
  <si>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</si>
  <si>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</si>
  <si>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</si>
  <si>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</si>
  <si>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</si>
  <si>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</si>
  <si>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</si>
  <si>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</si>
  <si>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</si>
  <si>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</si>
  <si>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</si>
  <si>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</si>
  <si>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</si>
  <si>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</si>
  <si>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</si>
  <si>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</si>
  <si>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</si>
  <si>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</si>
  <si>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</si>
  <si>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</si>
  <si>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</si>
  <si>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</si>
  <si>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</si>
  <si>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</si>
  <si>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</si>
  <si>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</si>
  <si>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</si>
  <si>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</si>
  <si>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</si>
  <si>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</si>
  <si>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</si>
  <si>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</si>
  <si>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</si>
  <si>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</si>
  <si>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</si>
  <si>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</si>
  <si>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</si>
  <si>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</si>
  <si>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</si>
  <si>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</si>
  <si>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</si>
  <si>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</si>
  <si>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</si>
  <si>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</si>
  <si>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</si>
  <si>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</si>
  <si>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</si>
  <si>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</si>
  <si>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</si>
  <si>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</si>
  <si>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</si>
  <si>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</si>
  <si>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</si>
  <si>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</si>
  <si>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</si>
  <si>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</si>
  <si>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</si>
  <si>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</si>
  <si>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</si>
  <si>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</si>
  <si>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</si>
  <si>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</si>
  <si>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</si>
  <si>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</si>
  <si>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</si>
  <si>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</si>
  <si>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</si>
  <si>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</si>
  <si>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</si>
  <si>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</si>
  <si>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</si>
  <si>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</si>
  <si>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</si>
  <si>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</si>
  <si>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</si>
  <si>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</si>
  <si>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</si>
  <si>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</si>
  <si>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</si>
  <si>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</si>
  <si>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</si>
  <si>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</si>
  <si>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</si>
  <si>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</si>
  <si>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</si>
  <si>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</si>
  <si>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</si>
  <si>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</si>
  <si>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</si>
  <si>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</si>
  <si>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</si>
  <si>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</si>
  <si>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</si>
  <si>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</si>
  <si>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</si>
  <si>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</si>
  <si>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</si>
  <si>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</si>
  <si>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</si>
  <si>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</si>
  <si>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</si>
  <si>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</si>
  <si>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</si>
  <si>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</si>
  <si>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</si>
  <si>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</si>
  <si>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</si>
  <si>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</si>
  <si>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</si>
  <si>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</si>
  <si>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</si>
  <si>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</si>
  <si>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</si>
  <si>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</si>
  <si>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</si>
  <si>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</si>
  <si>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</si>
  <si>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</si>
  <si>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</si>
  <si>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</si>
  <si>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</si>
  <si>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</si>
  <si>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</si>
  <si>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</si>
  <si>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</si>
  <si>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</si>
  <si>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</si>
  <si>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</si>
  <si>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</si>
  <si>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</si>
  <si>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</si>
  <si>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</si>
  <si>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</si>
  <si>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</si>
  <si>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</si>
  <si>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</si>
  <si>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</si>
  <si>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</si>
  <si>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</si>
  <si>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</si>
  <si>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</si>
  <si>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</si>
  <si>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</si>
  <si>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</si>
  <si>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</si>
  <si>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</si>
  <si>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</si>
  <si>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</si>
  <si>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</si>
  <si>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</si>
  <si>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</si>
  <si>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</si>
  <si>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</si>
  <si>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</si>
  <si>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</si>
  <si>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</si>
  <si>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</si>
  <si>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</si>
  <si>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</si>
  <si>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</si>
  <si>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</si>
  <si>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</si>
  <si>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</si>
  <si>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</si>
  <si>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</si>
  <si>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</si>
  <si>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</si>
  <si>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</si>
  <si>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</si>
  <si>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</si>
  <si>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</si>
  <si>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</si>
  <si>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</si>
  <si>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</si>
  <si>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</si>
  <si>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</si>
  <si>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</si>
  <si>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</si>
  <si>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</si>
  <si>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</si>
  <si>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</si>
  <si>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</si>
  <si>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</si>
  <si>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</si>
  <si>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</si>
  <si>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</si>
  <si>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</si>
  <si>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</si>
  <si>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</si>
  <si>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</si>
  <si>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</si>
  <si>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</si>
  <si>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</si>
  <si>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</si>
  <si>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</si>
  <si>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</si>
  <si>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</si>
  <si>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</si>
  <si>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</si>
  <si>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</si>
  <si>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</si>
  <si>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</si>
  <si>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</si>
  <si>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</si>
  <si>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</si>
  <si>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</si>
  <si>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</si>
  <si>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</si>
  <si>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</si>
  <si>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</si>
  <si>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</si>
  <si>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</si>
  <si>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</si>
  <si>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</si>
  <si>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</si>
  <si>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</si>
  <si>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</si>
  <si>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</si>
  <si>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</si>
  <si>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</si>
  <si>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</si>
  <si>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</si>
  <si>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</si>
  <si>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</si>
  <si>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</si>
  <si>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</si>
  <si>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</si>
  <si>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</si>
  <si>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</si>
  <si>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</si>
  <si>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</si>
  <si>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</si>
  <si>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</si>
  <si>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</si>
  <si>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</si>
  <si>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</si>
  <si>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</si>
  <si>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</si>
  <si>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</si>
  <si>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</si>
  <si>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</si>
  <si>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</si>
  <si>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</si>
  <si>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</si>
  <si>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</si>
  <si>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</si>
  <si>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</si>
  <si>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</si>
  <si>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</si>
  <si>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</si>
  <si>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</si>
  <si>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</si>
  <si>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</si>
  <si>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</si>
  <si>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</si>
  <si>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</si>
  <si>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</si>
  <si>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</si>
  <si>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</si>
  <si>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</si>
  <si>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</si>
  <si>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</si>
  <si>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</si>
  <si>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</si>
  <si>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</si>
  <si>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</si>
  <si>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</si>
  <si>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</si>
  <si>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</si>
  <si>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</si>
  <si>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</si>
  <si>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</si>
  <si>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</si>
  <si>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</si>
  <si>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</si>
  <si>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</si>
  <si>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</si>
  <si>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</si>
  <si>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</si>
  <si>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</si>
  <si>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</si>
  <si>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</si>
  <si>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</si>
  <si>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</si>
  <si>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</si>
  <si>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</si>
  <si>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</si>
  <si>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</si>
  <si>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</si>
  <si>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</si>
  <si>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</si>
  <si>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</si>
  <si>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</si>
  <si>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</si>
  <si>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</si>
  <si>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</si>
  <si>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</si>
  <si>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</si>
  <si>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</si>
  <si>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</si>
  <si>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</si>
  <si>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</si>
  <si>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</si>
  <si>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</si>
  <si>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</si>
  <si>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</si>
  <si>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</si>
  <si>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</si>
  <si>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</si>
  <si>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</si>
  <si>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</si>
  <si>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</si>
  <si>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</si>
  <si>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</si>
  <si>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</si>
  <si>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</si>
  <si>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</si>
  <si>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</si>
  <si>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</si>
  <si>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</si>
  <si>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</si>
  <si>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</si>
  <si>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</si>
  <si>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</si>
  <si>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</si>
  <si>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</si>
  <si>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</si>
  <si>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</si>
  <si>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</si>
  <si>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</si>
  <si>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</si>
  <si>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</si>
  <si>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</si>
  <si>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</si>
  <si>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</si>
  <si>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</si>
  <si>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</si>
  <si>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</si>
  <si>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</si>
  <si>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</si>
  <si>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</si>
  <si>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</si>
  <si>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</si>
  <si>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</si>
  <si>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</si>
  <si>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</si>
  <si>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</si>
  <si>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</si>
  <si>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</si>
  <si>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</si>
  <si>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</si>
  <si>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</si>
  <si>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</si>
  <si>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</si>
  <si>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</si>
  <si>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</si>
  <si>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</si>
  <si>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</si>
  <si>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</si>
  <si>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</si>
  <si>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</si>
  <si>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</si>
  <si>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</si>
  <si>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</si>
  <si>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</si>
  <si>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</si>
  <si>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</si>
  <si>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</si>
  <si>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</si>
  <si>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</si>
  <si>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</si>
  <si>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</si>
  <si>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</si>
  <si>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</si>
  <si>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</si>
  <si>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</si>
  <si>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</si>
  <si>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</si>
  <si>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</si>
  <si>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</si>
  <si>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</si>
  <si>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</si>
  <si>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</si>
  <si>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</si>
  <si>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</si>
  <si>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</si>
  <si>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</si>
  <si>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</si>
  <si>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</si>
  <si>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</si>
  <si>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</si>
  <si>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</si>
  <si>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</si>
  <si>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</si>
  <si>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</si>
  <si>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</si>
  <si>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</si>
  <si>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</si>
  <si>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</si>
  <si>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</si>
  <si>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</si>
  <si>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</si>
  <si>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</si>
  <si>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</si>
  <si>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</si>
  <si>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</si>
  <si>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</si>
  <si>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</si>
  <si>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</si>
  <si>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</si>
  <si>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</si>
  <si>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</si>
  <si>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</si>
  <si>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</si>
  <si>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</si>
  <si>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</si>
  <si>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</si>
  <si>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</si>
  <si>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</si>
  <si>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</si>
  <si>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</si>
  <si>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</si>
  <si>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</si>
  <si>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</si>
  <si>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</si>
  <si>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</si>
  <si>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</si>
  <si>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</si>
  <si>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</si>
  <si>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</si>
  <si>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</si>
  <si>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</si>
  <si>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</si>
  <si>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</si>
  <si>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</si>
  <si>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</si>
  <si>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</si>
  <si>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</si>
  <si>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</si>
  <si>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</si>
  <si>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</si>
  <si>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</si>
  <si>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</si>
  <si>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</si>
  <si>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</si>
  <si>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</si>
  <si>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</si>
  <si>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</si>
  <si>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</si>
  <si>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</si>
  <si>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</si>
  <si>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</si>
  <si>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</si>
  <si>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</si>
  <si>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</si>
  <si>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</si>
  <si>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</si>
  <si>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</si>
  <si>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</si>
  <si>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</si>
  <si>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</si>
  <si>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</si>
  <si>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</si>
  <si>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</si>
  <si>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</si>
  <si>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</si>
  <si>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</si>
  <si>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</si>
  <si>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</si>
  <si>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</si>
  <si>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</si>
  <si>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</si>
  <si>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</si>
  <si>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</si>
  <si>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</si>
  <si>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</si>
  <si>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</si>
  <si>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</si>
  <si>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</si>
  <si>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</si>
  <si>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</si>
  <si>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</si>
  <si>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</si>
  <si>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</si>
  <si>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</si>
  <si>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</si>
  <si>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</si>
  <si>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</si>
  <si>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</si>
  <si>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</si>
  <si>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</si>
  <si>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</si>
  <si>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</si>
  <si>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</si>
  <si>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</si>
  <si>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</si>
  <si>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</si>
  <si>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</si>
  <si>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</si>
  <si>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</si>
  <si>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</si>
  <si>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</si>
  <si>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</si>
  <si>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</si>
  <si>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</si>
  <si>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</si>
  <si>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</si>
  <si>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</si>
  <si>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</si>
  <si>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</si>
  <si>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</si>
  <si>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</si>
  <si>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</si>
  <si>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</si>
  <si>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</si>
  <si>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</si>
  <si>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</si>
  <si>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</si>
  <si>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</si>
  <si>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</si>
  <si>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</si>
  <si>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</si>
  <si>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</si>
  <si>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</si>
  <si>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</si>
  <si>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</si>
  <si>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</si>
  <si>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</si>
  <si>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</si>
  <si>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</si>
  <si>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</si>
  <si>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</si>
  <si>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</si>
  <si>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</si>
  <si>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</si>
  <si>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</si>
  <si>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</si>
  <si>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</si>
  <si>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</si>
  <si>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</si>
  <si>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</si>
  <si>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</si>
  <si>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</si>
  <si>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</si>
  <si>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</si>
  <si>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</si>
  <si>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</si>
  <si>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</si>
  <si>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</si>
  <si>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</si>
  <si>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</si>
  <si>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</si>
  <si>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</si>
  <si>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</si>
  <si>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</si>
  <si>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</si>
  <si>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</si>
  <si>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</si>
  <si>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</si>
  <si>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</si>
  <si>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</si>
  <si>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</si>
  <si>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</si>
  <si>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</si>
  <si>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</si>
  <si>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</si>
  <si>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</si>
  <si>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</si>
  <si>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</si>
  <si>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</si>
  <si>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</si>
  <si>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</si>
  <si>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</si>
  <si>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</si>
  <si>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</si>
  <si>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</si>
  <si>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</si>
  <si>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</si>
  <si>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</si>
  <si>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</si>
  <si>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</si>
  <si>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</si>
  <si>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</si>
  <si>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</si>
  <si>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</si>
  <si>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</si>
  <si>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</si>
  <si>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</si>
  <si>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</si>
  <si>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</si>
  <si>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</si>
  <si>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</si>
  <si>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</si>
  <si>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</si>
  <si>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</si>
  <si>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</si>
  <si>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</si>
  <si>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</si>
  <si>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</si>
  <si>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</si>
  <si>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</si>
  <si>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</si>
  <si>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</si>
  <si>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</si>
  <si>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</si>
  <si>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</si>
  <si>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</si>
  <si>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</si>
  <si>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</si>
  <si>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</si>
  <si>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</si>
  <si>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</si>
  <si>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</si>
  <si>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</si>
  <si>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</si>
  <si>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</si>
  <si>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</si>
  <si>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</si>
  <si>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</si>
  <si>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</si>
  <si>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</si>
  <si>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</si>
  <si>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</si>
  <si>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</si>
  <si>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</si>
  <si>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</si>
  <si>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</si>
  <si>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</si>
  <si>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</si>
  <si>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</si>
  <si>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</si>
  <si>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</si>
  <si>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</si>
  <si>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</si>
  <si>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</si>
  <si>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</si>
  <si>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</si>
  <si>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</si>
  <si>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</si>
  <si>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</si>
  <si>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</si>
  <si>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</si>
  <si>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</si>
  <si>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</si>
  <si>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</si>
  <si>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</si>
  <si>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</si>
  <si>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</si>
  <si>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</si>
  <si>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</si>
  <si>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</si>
  <si>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</si>
  <si>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</si>
  <si>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</si>
  <si>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</si>
  <si>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</si>
  <si>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</si>
  <si>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</si>
  <si>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</si>
  <si>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</si>
  <si>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</si>
  <si>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</si>
  <si>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</si>
  <si>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</si>
  <si>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</si>
  <si>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</si>
  <si>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</si>
  <si>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</si>
  <si>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</si>
  <si>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</si>
  <si>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</si>
  <si>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</si>
  <si>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</si>
  <si>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</si>
  <si>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</si>
  <si>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</si>
  <si>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</si>
  <si>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</si>
  <si>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</si>
  <si>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</si>
  <si>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</si>
  <si>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</si>
  <si>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</si>
  <si>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</si>
  <si>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</si>
  <si>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</si>
  <si>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</si>
  <si>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</si>
  <si>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</si>
  <si>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</si>
  <si>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</si>
  <si>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</si>
  <si>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</si>
  <si>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</si>
  <si>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</si>
  <si>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</si>
  <si>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</si>
  <si>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</si>
  <si>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</si>
  <si>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</si>
  <si>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</si>
  <si>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</si>
  <si>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</si>
  <si>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</si>
  <si>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</si>
  <si>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</si>
  <si>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</si>
  <si>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</si>
  <si>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</si>
  <si>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</si>
  <si>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</si>
  <si>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</si>
  <si>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</si>
  <si>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</si>
  <si>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</si>
  <si>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</si>
  <si>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</si>
  <si>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</si>
  <si>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</si>
  <si>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</si>
  <si>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</si>
  <si>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</si>
  <si>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</si>
  <si>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</si>
  <si>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</si>
  <si>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</si>
  <si>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</si>
  <si>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</si>
  <si>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</si>
  <si>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</si>
  <si>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</si>
  <si>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</si>
  <si>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</si>
  <si>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</si>
  <si>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</si>
  <si>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</si>
  <si>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</si>
  <si>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</si>
  <si>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</si>
  <si>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</si>
  <si>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</si>
  <si>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</si>
  <si>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</si>
  <si>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</si>
  <si>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</si>
  <si>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</si>
  <si>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</si>
  <si>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</si>
  <si>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</si>
  <si>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</si>
  <si>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</si>
  <si>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</si>
  <si>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</si>
  <si>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</si>
  <si>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</si>
  <si>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</si>
  <si>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</si>
  <si>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</si>
  <si>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</si>
  <si>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</si>
  <si>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</si>
  <si>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</si>
  <si>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</si>
  <si>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</si>
  <si>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</si>
  <si>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</si>
  <si>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</si>
  <si>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</si>
  <si>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</si>
  <si>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</si>
  <si>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</si>
  <si>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</si>
  <si>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</si>
  <si>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</si>
  <si>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</si>
  <si>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</si>
  <si>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</si>
  <si>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</si>
  <si>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</si>
  <si>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</si>
  <si>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</si>
  <si>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</si>
  <si>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</si>
  <si>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</si>
  <si>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</si>
  <si>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</si>
  <si>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</si>
  <si>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</si>
  <si>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</si>
  <si>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</si>
  <si>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</si>
  <si>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</si>
  <si>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</si>
  <si>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</si>
  <si>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</si>
  <si>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</si>
  <si>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</si>
  <si>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</si>
  <si>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</si>
  <si>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</si>
  <si>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</si>
  <si>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</si>
  <si>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</si>
  <si>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</si>
  <si>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</si>
  <si>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</si>
  <si>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</si>
  <si>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</si>
  <si>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</si>
  <si>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</si>
  <si>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</si>
  <si>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</si>
  <si>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</si>
  <si>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</si>
  <si>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</si>
  <si>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</si>
  <si>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</si>
  <si>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</si>
  <si>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</si>
  <si>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</si>
  <si>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</si>
  <si>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</si>
  <si>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</si>
  <si>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</si>
  <si>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</si>
  <si>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</si>
  <si>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</si>
  <si>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</si>
  <si>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</si>
  <si>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</si>
  <si>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</si>
  <si>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</si>
  <si>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</si>
  <si>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</si>
  <si>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</si>
  <si>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</si>
  <si>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</si>
  <si>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</si>
  <si>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</si>
  <si>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</si>
  <si>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</si>
  <si>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</si>
  <si>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</si>
  <si>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</si>
  <si>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</si>
  <si>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</si>
  <si>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</si>
  <si>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</si>
  <si>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</si>
  <si>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</si>
  <si>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</si>
  <si>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</si>
  <si>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</si>
  <si>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</si>
  <si>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</si>
  <si>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</si>
  <si>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</si>
  <si>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</si>
  <si>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</si>
  <si>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</si>
  <si>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</si>
  <si>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</si>
  <si>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</si>
  <si>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</si>
  <si>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</si>
  <si>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</si>
  <si>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</si>
  <si>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</si>
  <si>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</si>
  <si>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</si>
  <si>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</si>
  <si>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</si>
  <si>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</si>
  <si>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</si>
  <si>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</si>
  <si>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</si>
  <si>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</si>
  <si>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</si>
  <si>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</si>
  <si>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</si>
  <si>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</si>
  <si>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</si>
  <si>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</si>
  <si>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</si>
  <si>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</si>
  <si>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</si>
  <si>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</si>
  <si>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</si>
  <si>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</si>
  <si>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</si>
  <si>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</si>
  <si>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</si>
  <si>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</si>
  <si>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</si>
  <si>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</si>
  <si>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</si>
  <si>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</si>
  <si>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</si>
  <si>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</si>
  <si>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</si>
  <si>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</si>
  <si>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</si>
  <si>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</si>
  <si>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</si>
  <si>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</si>
  <si>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</si>
  <si>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</si>
  <si>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</si>
  <si>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</si>
  <si>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</si>
  <si>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</si>
  <si>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</si>
  <si>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</si>
  <si>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</si>
  <si>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</si>
  <si>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</si>
  <si>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</si>
  <si>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</si>
  <si>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</si>
  <si>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</si>
  <si>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</si>
  <si>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</si>
  <si>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</si>
  <si>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</si>
  <si>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</si>
  <si>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</si>
  <si>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</si>
  <si>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</si>
  <si>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</si>
  <si>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</si>
  <si>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</si>
  <si>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</si>
  <si>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</si>
  <si>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</si>
  <si>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</si>
  <si>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</si>
  <si>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</si>
  <si>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</si>
  <si>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</si>
  <si>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</si>
  <si>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</si>
  <si>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</si>
  <si>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</si>
  <si>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</si>
  <si>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</si>
  <si>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</si>
  <si>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</si>
  <si>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</si>
  <si>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</si>
  <si>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</si>
  <si>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</si>
  <si>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</si>
  <si>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</si>
  <si>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</si>
  <si>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</si>
  <si>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</si>
  <si>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</si>
  <si>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</si>
  <si>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</si>
  <si>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</si>
  <si>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</si>
  <si>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</si>
  <si>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</si>
  <si>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</si>
  <si>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</si>
  <si>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</si>
  <si>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</si>
  <si>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</si>
  <si>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</si>
  <si>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</si>
  <si>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</si>
  <si>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</si>
  <si>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</si>
  <si>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</si>
  <si>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</si>
  <si>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</si>
  <si>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</si>
  <si>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</si>
  <si>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</si>
  <si>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</si>
  <si>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</si>
  <si>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</si>
  <si>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</si>
  <si>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</si>
  <si>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</si>
  <si>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</si>
  <si>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</si>
  <si>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</si>
  <si>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</si>
  <si>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</si>
  <si>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</si>
  <si>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</si>
  <si>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</si>
  <si>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</si>
  <si>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</si>
  <si>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</si>
  <si>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</si>
  <si>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</si>
  <si>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</si>
  <si>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</si>
  <si>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</si>
  <si>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</si>
  <si>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</si>
  <si>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</si>
  <si>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</si>
  <si>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</si>
  <si>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</si>
  <si>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</si>
  <si>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</si>
  <si>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</si>
  <si>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</si>
  <si>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</si>
  <si>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</si>
  <si>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</si>
  <si>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</si>
  <si>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</si>
  <si>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</si>
  <si>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</si>
  <si>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</si>
  <si>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</si>
  <si>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</si>
  <si>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</si>
  <si>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</si>
  <si>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</si>
  <si>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</si>
  <si>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</si>
  <si>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</si>
  <si>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</si>
  <si>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</si>
  <si>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</si>
  <si>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</si>
  <si>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</si>
  <si>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</si>
  <si>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</si>
  <si>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</si>
  <si>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</si>
  <si>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</si>
  <si>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</si>
  <si>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</si>
  <si>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</si>
  <si>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</si>
  <si>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</si>
  <si>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</si>
  <si>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</si>
  <si>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</si>
  <si>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</si>
  <si>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</si>
  <si>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</si>
  <si>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</si>
  <si>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</si>
  <si>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</si>
  <si>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</si>
  <si>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</si>
  <si>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</si>
  <si>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</si>
  <si>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</si>
  <si>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</si>
  <si>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</si>
  <si>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</si>
  <si>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</si>
  <si>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</si>
  <si>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</si>
  <si>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</si>
  <si>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</si>
  <si>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</si>
  <si>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</si>
  <si>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</si>
  <si>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</si>
  <si>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</si>
  <si>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</si>
  <si>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</si>
  <si>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</si>
  <si>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</si>
  <si>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</si>
  <si>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</si>
  <si>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</si>
  <si>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</si>
  <si>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</si>
  <si>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</si>
  <si>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</si>
  <si>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</si>
  <si>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</si>
  <si>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</si>
  <si>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</si>
  <si>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</si>
  <si>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</si>
  <si>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</si>
  <si>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</si>
  <si>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</si>
  <si>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</si>
  <si>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</si>
  <si>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</si>
  <si>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</si>
  <si>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</si>
  <si>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</si>
  <si>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</si>
  <si>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</si>
  <si>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</si>
  <si>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</si>
  <si>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</si>
  <si>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</si>
  <si>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</si>
  <si>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</si>
  <si>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</si>
  <si>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</si>
  <si>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</si>
  <si>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</si>
  <si>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</si>
  <si>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</si>
  <si>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</si>
  <si>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</si>
  <si>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</si>
  <si>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</si>
  <si>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</si>
  <si>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</si>
  <si>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</si>
  <si>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</si>
  <si>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</si>
  <si>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</si>
  <si>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</si>
  <si>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</si>
  <si>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</si>
  <si>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</si>
  <si>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</si>
  <si>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</si>
  <si>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</si>
  <si>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</si>
  <si>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</si>
  <si>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</si>
  <si>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</si>
  <si>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</si>
  <si>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</si>
  <si>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</si>
  <si>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</si>
  <si>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</si>
  <si>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</si>
  <si>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</si>
  <si>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</si>
  <si>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</si>
  <si>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</si>
  <si>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</si>
  <si>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</si>
  <si>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</si>
  <si>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</si>
  <si>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</si>
  <si>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</si>
  <si>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</si>
  <si>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</si>
  <si>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</si>
  <si>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</si>
  <si>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</si>
  <si>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</si>
  <si>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</si>
  <si>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</si>
  <si>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</si>
  <si>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</si>
  <si>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</si>
  <si>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</si>
  <si>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</si>
  <si>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</si>
  <si>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</si>
  <si>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</si>
  <si>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</si>
  <si>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</si>
  <si>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</si>
  <si>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</si>
  <si>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</si>
  <si>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</si>
  <si>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</si>
  <si>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</si>
  <si>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</si>
  <si>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</si>
  <si>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</si>
  <si>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</si>
  <si>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</si>
  <si>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</si>
  <si>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</si>
  <si>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</si>
  <si>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</si>
  <si>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</si>
  <si>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</si>
  <si>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</si>
  <si>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</si>
  <si>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</si>
  <si>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</si>
  <si>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</si>
  <si>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</si>
  <si>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</si>
  <si>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</si>
  <si>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</si>
  <si>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</si>
  <si>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</si>
  <si>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</si>
  <si>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</si>
  <si>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</si>
  <si>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</si>
  <si>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</si>
  <si>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</si>
  <si>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</si>
  <si>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</si>
  <si>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</si>
  <si>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</si>
  <si>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</si>
  <si>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</si>
  <si>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</si>
  <si>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</si>
  <si>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</si>
  <si>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</si>
  <si>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</si>
  <si>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</si>
  <si>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</si>
  <si>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</si>
  <si>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</si>
  <si>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</si>
  <si>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</si>
  <si>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</si>
  <si>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</si>
  <si>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</si>
  <si>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</si>
  <si>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</si>
  <si>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</si>
  <si>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</si>
  <si>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</si>
  <si>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</si>
  <si>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</si>
  <si>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</si>
  <si>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</si>
  <si>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</si>
  <si>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</si>
  <si>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</si>
  <si>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</si>
  <si>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</si>
  <si>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</si>
  <si>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</si>
  <si>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</si>
  <si>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</si>
  <si>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</si>
  <si>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</si>
  <si>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</si>
  <si>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</si>
  <si>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</si>
  <si>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</si>
  <si>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</si>
  <si>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</si>
  <si>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</si>
  <si>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</si>
  <si>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</si>
  <si>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</si>
  <si>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</si>
  <si>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</si>
  <si>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</si>
  <si>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</si>
  <si>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</si>
  <si>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</si>
  <si>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</si>
  <si>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</si>
  <si>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</si>
  <si>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</si>
  <si>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</si>
  <si>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</si>
  <si>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</si>
  <si>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</si>
  <si>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</si>
  <si>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</si>
  <si>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</si>
  <si>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</si>
  <si>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</si>
  <si>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</si>
  <si>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</si>
  <si>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</si>
  <si>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</si>
  <si>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</si>
  <si>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</si>
  <si>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</si>
  <si>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</si>
  <si>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</si>
  <si>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</si>
  <si>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</si>
  <si>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</si>
  <si>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</si>
  <si>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</si>
  <si>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</si>
  <si>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</si>
  <si>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</si>
  <si>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</si>
  <si>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</si>
  <si>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</si>
  <si>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</si>
  <si>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</si>
  <si>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</si>
  <si>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</si>
  <si>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</si>
  <si>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</si>
  <si>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</si>
  <si>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</si>
  <si>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</si>
  <si>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</si>
  <si>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</si>
  <si>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</si>
  <si>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</si>
  <si>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</si>
  <si>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</si>
  <si>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</si>
  <si>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</si>
  <si>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</si>
  <si>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</si>
  <si>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</si>
  <si>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</si>
  <si>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</si>
  <si>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</si>
  <si>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</si>
  <si>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</si>
  <si>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</si>
  <si>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</si>
  <si>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</si>
  <si>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</si>
  <si>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</si>
  <si>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</si>
  <si>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</si>
  <si>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</si>
  <si>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</si>
  <si>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</si>
  <si>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</si>
  <si>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</si>
  <si>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</si>
  <si>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</si>
  <si>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</si>
  <si>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</si>
  <si>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</si>
  <si>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</si>
  <si>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</si>
  <si>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</si>
  <si>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</si>
  <si>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</si>
  <si>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</si>
  <si>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</si>
  <si>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</si>
  <si>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</si>
  <si>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</si>
  <si>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</si>
  <si>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</si>
  <si>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</si>
  <si>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</si>
  <si>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</si>
  <si>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</si>
  <si>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</si>
  <si>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</si>
  <si>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</si>
  <si>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</si>
  <si>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</si>
  <si>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</si>
  <si>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</si>
  <si>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</si>
  <si>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</si>
  <si>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</si>
  <si>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</si>
  <si>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</si>
  <si>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</si>
  <si>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</si>
  <si>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</si>
  <si>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</si>
  <si>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</si>
  <si>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</si>
  <si>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</si>
  <si>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</si>
  <si>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</si>
  <si>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</si>
  <si>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</si>
  <si>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</si>
  <si>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</si>
  <si>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</si>
  <si>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</si>
  <si>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</si>
  <si>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</si>
  <si>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</si>
  <si>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</si>
  <si>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</si>
  <si>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</si>
  <si>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</si>
  <si>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</si>
  <si>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</si>
  <si>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</si>
  <si>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</si>
  <si>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</si>
  <si>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</si>
  <si>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</si>
  <si>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</si>
  <si>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</si>
  <si>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</si>
  <si>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</si>
  <si>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</si>
  <si>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</si>
  <si>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</si>
  <si>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</si>
  <si>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</si>
  <si>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</si>
  <si>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</si>
  <si>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</si>
  <si>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</si>
  <si>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</si>
  <si>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</si>
  <si>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</si>
  <si>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</si>
  <si>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</si>
  <si>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</si>
  <si>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</si>
  <si>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</si>
  <si>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</si>
  <si>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</si>
  <si>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</si>
  <si>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</si>
  <si>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</si>
  <si>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</si>
  <si>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</si>
  <si>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</si>
  <si>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</si>
  <si>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</si>
  <si>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</si>
  <si>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</si>
  <si>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</si>
  <si>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</si>
  <si>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</si>
  <si>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</si>
  <si>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</si>
  <si>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</si>
  <si>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</si>
  <si>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</si>
  <si>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</si>
  <si>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</si>
  <si>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</si>
  <si>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</si>
  <si>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</si>
  <si>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</si>
  <si>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</si>
  <si>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</si>
  <si>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</si>
  <si>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</si>
  <si>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</si>
  <si>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</si>
  <si>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</si>
  <si>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</si>
  <si>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</si>
  <si>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</si>
  <si>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</si>
  <si>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</si>
  <si>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</si>
  <si>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</si>
  <si>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</si>
  <si>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</si>
  <si>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</si>
  <si>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</si>
  <si>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</si>
  <si>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</si>
  <si>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</si>
  <si>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</si>
  <si>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</si>
  <si>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</si>
  <si>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</si>
  <si>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</si>
  <si>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</si>
  <si>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</si>
  <si>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</si>
  <si>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</si>
  <si>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</si>
  <si>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</si>
  <si>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</si>
  <si>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</si>
  <si>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</si>
  <si>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</si>
  <si>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</si>
  <si>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</si>
  <si>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</si>
  <si>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</si>
  <si>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</si>
  <si>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</si>
  <si>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</si>
  <si>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</si>
  <si>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</si>
  <si>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</si>
  <si>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</si>
  <si>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</si>
  <si>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</si>
  <si>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</si>
  <si>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</si>
  <si>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</si>
  <si>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</si>
  <si>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</si>
  <si>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</si>
  <si>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</si>
  <si>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</si>
  <si>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</si>
  <si>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</si>
  <si>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</si>
  <si>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</si>
  <si>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</si>
  <si>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</si>
  <si>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</si>
  <si>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</si>
  <si>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</si>
  <si>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</si>
  <si>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</si>
  <si>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</si>
  <si>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</si>
  <si>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</si>
  <si>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</si>
  <si>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</si>
  <si>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</si>
  <si>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</si>
  <si>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</si>
  <si>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</si>
  <si>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</si>
  <si>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</si>
  <si>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</si>
  <si>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</si>
  <si>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</si>
  <si>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</si>
  <si>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</si>
  <si>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</si>
  <si>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</si>
  <si>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</si>
  <si>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</si>
  <si>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</si>
  <si>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</si>
  <si>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</si>
  <si>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</si>
  <si>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</si>
  <si>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</si>
  <si>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</si>
  <si>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</si>
  <si>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</si>
  <si>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</si>
  <si>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</si>
  <si>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</si>
  <si>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</si>
  <si>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</si>
  <si>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</si>
  <si>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</si>
  <si>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</si>
  <si>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</si>
  <si>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</si>
  <si>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</si>
  <si>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</si>
  <si>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</si>
  <si>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</si>
  <si>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</si>
  <si>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</si>
  <si>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</si>
  <si>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</si>
  <si>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</si>
  <si>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</si>
  <si>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</si>
  <si>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</si>
  <si>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</si>
  <si>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</si>
  <si>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</si>
  <si>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</si>
  <si>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</si>
  <si>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</si>
  <si>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</si>
  <si>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</si>
  <si>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</si>
  <si>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</si>
  <si>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</si>
  <si>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</si>
  <si>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</si>
  <si>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</si>
  <si>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</si>
  <si>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</si>
  <si>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</si>
  <si>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</si>
  <si>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</si>
  <si>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</si>
  <si>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</si>
  <si>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</si>
  <si>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</si>
  <si>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</si>
  <si>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</si>
  <si>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</si>
  <si>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</si>
  <si>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</si>
  <si>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</si>
  <si>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</si>
  <si>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</si>
  <si>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</si>
  <si>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</si>
  <si>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</si>
  <si>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</si>
  <si>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</si>
  <si>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</si>
  <si>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</si>
  <si>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</si>
  <si>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</si>
  <si>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</si>
  <si>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</si>
  <si>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</si>
  <si>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</si>
  <si>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</si>
  <si>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</si>
  <si>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</si>
  <si>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</si>
  <si>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</si>
  <si>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</si>
  <si>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</si>
  <si>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</si>
  <si>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</si>
  <si>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</si>
  <si>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</si>
  <si>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</si>
  <si>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</si>
  <si>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</si>
  <si>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</si>
  <si>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</si>
  <si>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</si>
  <si>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</si>
  <si>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</si>
  <si>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</si>
  <si>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</si>
  <si>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</si>
  <si>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</si>
  <si>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</si>
  <si>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</si>
  <si>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</si>
  <si>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</si>
  <si>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</si>
  <si>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</si>
  <si>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</si>
  <si>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</si>
  <si>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</si>
  <si>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</si>
  <si>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</si>
  <si>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</si>
  <si>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</si>
  <si>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</si>
  <si>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</si>
  <si>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</si>
  <si>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</si>
  <si>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</si>
  <si>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</si>
  <si>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</si>
  <si>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</si>
  <si>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</si>
  <si>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</si>
  <si>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</si>
  <si>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</si>
  <si>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</si>
  <si>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</si>
  <si>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</si>
  <si>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</si>
  <si>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</si>
  <si>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</si>
  <si>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</si>
  <si>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</si>
  <si>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</si>
  <si>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</si>
  <si>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</si>
  <si>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</si>
  <si>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</si>
  <si>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</si>
  <si>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</si>
  <si>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</si>
  <si>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</si>
  <si>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</si>
  <si>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</si>
  <si>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</si>
  <si>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</si>
  <si>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</si>
  <si>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</si>
  <si>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</si>
  <si>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</si>
  <si>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</si>
  <si>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</si>
  <si>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</si>
  <si>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</si>
  <si>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</si>
  <si>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</si>
  <si>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</si>
  <si>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</si>
  <si>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</si>
  <si>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</si>
  <si>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</si>
  <si>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</si>
  <si>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</si>
  <si>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</si>
  <si>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</si>
  <si>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</si>
  <si>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</si>
  <si>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</si>
  <si>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</si>
  <si>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</si>
  <si>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</si>
  <si>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</si>
  <si>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</si>
  <si>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</si>
  <si>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</si>
  <si>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</si>
  <si>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</si>
  <si>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</si>
  <si>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</si>
  <si>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</si>
  <si>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</si>
  <si>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</si>
  <si>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</si>
  <si>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</si>
  <si>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</si>
  <si>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</si>
  <si>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</si>
  <si>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</si>
  <si>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</si>
  <si>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</si>
  <si>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</si>
  <si>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</si>
  <si>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</si>
  <si>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</si>
  <si>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</si>
  <si>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</si>
  <si>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</si>
  <si>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</si>
  <si>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</si>
  <si>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</si>
  <si>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</si>
  <si>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</si>
  <si>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</si>
  <si>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</si>
  <si>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</si>
  <si>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</si>
  <si>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</si>
  <si>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</si>
  <si>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</si>
  <si>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</si>
  <si>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</si>
  <si>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</si>
  <si>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</si>
  <si>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</si>
  <si>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</si>
  <si>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</si>
  <si>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</si>
  <si>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</si>
  <si>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</si>
  <si>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</si>
  <si>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</si>
  <si>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</si>
  <si>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</si>
  <si>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</si>
  <si>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</si>
  <si>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</si>
  <si>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</si>
  <si>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</si>
  <si>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</si>
  <si>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</si>
  <si>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</si>
  <si>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</si>
  <si>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</si>
  <si>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</si>
  <si>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</si>
  <si>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</si>
  <si>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</si>
  <si>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</si>
  <si>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</si>
  <si>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</si>
  <si>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</si>
  <si>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</si>
  <si>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</si>
  <si>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</si>
  <si>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</si>
  <si>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</si>
  <si>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</si>
  <si>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</si>
  <si>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</si>
  <si>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</si>
  <si>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</si>
  <si>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</si>
  <si>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</si>
  <si>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</si>
  <si>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</si>
  <si>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</si>
  <si>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</si>
  <si>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</si>
  <si>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</si>
  <si>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</si>
  <si>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</si>
  <si>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</si>
  <si>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</si>
  <si>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</si>
  <si>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</si>
  <si>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</si>
  <si>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</si>
  <si>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</si>
  <si>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</si>
  <si>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</si>
  <si>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</si>
  <si>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</si>
  <si>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</si>
  <si>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</si>
  <si>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</si>
  <si>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</si>
  <si>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</si>
  <si>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</si>
  <si>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</si>
  <si>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</si>
  <si>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</si>
  <si>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</si>
  <si>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</si>
  <si>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</si>
  <si>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</si>
  <si>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</si>
  <si>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</si>
  <si>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</si>
  <si>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</si>
  <si>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</si>
  <si>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</si>
  <si>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</si>
  <si>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</si>
  <si>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</si>
  <si>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</si>
  <si>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</si>
  <si>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</si>
  <si>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</si>
  <si>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</si>
  <si>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</si>
  <si>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</si>
  <si>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</si>
  <si>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</si>
  <si>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</si>
  <si>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</si>
  <si>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</si>
  <si>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</si>
  <si>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</si>
  <si>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</si>
  <si>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</si>
  <si>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</si>
  <si>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</si>
  <si>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</si>
  <si>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</si>
  <si>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</si>
  <si>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</si>
  <si>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</si>
  <si>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</si>
  <si>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</si>
  <si>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</si>
  <si>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</si>
  <si>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</si>
  <si>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</si>
  <si>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</si>
  <si>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</si>
  <si>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</si>
  <si>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</si>
  <si>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</si>
  <si>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</si>
  <si>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</si>
  <si>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</si>
  <si>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</si>
  <si>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</si>
  <si>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</si>
  <si>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</si>
  <si>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</si>
  <si>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</si>
  <si>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</si>
  <si>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</si>
  <si>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</si>
  <si>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</si>
  <si>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</si>
  <si>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</si>
  <si>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</si>
  <si>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</si>
  <si>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</si>
  <si>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</si>
  <si>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</si>
  <si>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</si>
  <si>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</si>
  <si>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</si>
  <si>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</si>
  <si>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</si>
  <si>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</si>
  <si>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</si>
  <si>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</si>
  <si>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</si>
  <si>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</si>
  <si>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</si>
  <si>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</si>
  <si>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</si>
  <si>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</si>
  <si>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</si>
  <si>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</si>
  <si>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</si>
  <si>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</si>
  <si>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</si>
  <si>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</si>
  <si>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</si>
  <si>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</si>
  <si>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</si>
  <si>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</si>
  <si>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</si>
  <si>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</si>
  <si>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</si>
  <si>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</si>
  <si>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</si>
  <si>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</si>
  <si>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</si>
  <si>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</si>
  <si>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</si>
  <si>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</si>
  <si>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</si>
  <si>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</si>
  <si>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</si>
  <si>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</si>
  <si>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</si>
  <si>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</si>
  <si>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</si>
  <si>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</si>
  <si>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</si>
  <si>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</si>
  <si>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</si>
  <si>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</si>
  <si>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</si>
  <si>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</si>
  <si>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</si>
  <si>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</si>
  <si>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</si>
  <si>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</si>
  <si>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</si>
  <si>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</si>
  <si>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</si>
  <si>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</si>
  <si>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</si>
  <si>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</si>
  <si>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</si>
  <si>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</si>
  <si>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</si>
  <si>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</si>
  <si>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</si>
  <si>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</si>
  <si>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</si>
  <si>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</si>
  <si>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</si>
  <si>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</si>
  <si>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</si>
  <si>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</si>
  <si>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</si>
  <si>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</si>
  <si>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</si>
  <si>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</si>
  <si>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</si>
  <si>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</si>
  <si>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</si>
  <si>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</si>
  <si>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</si>
  <si>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</si>
  <si>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</si>
  <si>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</si>
  <si>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</si>
  <si>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</si>
  <si>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</si>
  <si>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</si>
  <si>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</si>
  <si>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</si>
  <si>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</si>
  <si>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</si>
  <si>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</si>
  <si>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</si>
  <si>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</si>
  <si>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</si>
  <si>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</si>
  <si>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</si>
  <si>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</si>
  <si>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</si>
  <si>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</si>
  <si>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</si>
  <si>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</si>
  <si>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</si>
  <si>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</si>
  <si>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</si>
  <si>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</si>
  <si>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</si>
  <si>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</si>
  <si>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</si>
  <si>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</si>
  <si>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</si>
  <si>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</si>
  <si>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</si>
  <si>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</si>
  <si>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</si>
  <si>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</si>
  <si>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</si>
  <si>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</si>
  <si>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</si>
  <si>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</si>
  <si>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</si>
  <si>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</si>
  <si>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</si>
  <si>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</si>
  <si>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</si>
  <si>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</si>
  <si>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</si>
  <si>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</si>
  <si>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</si>
  <si>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</si>
  <si>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</si>
  <si>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</si>
  <si>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</si>
  <si>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</si>
  <si>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</si>
  <si>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</si>
  <si>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</si>
  <si>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</si>
  <si>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</si>
  <si>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</si>
  <si>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</si>
  <si>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</si>
  <si>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</si>
  <si>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</si>
  <si>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</si>
  <si>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</si>
  <si>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</si>
  <si>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</si>
  <si>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</si>
  <si>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</si>
  <si>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</si>
  <si>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</si>
  <si>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</si>
  <si>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</si>
  <si>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</si>
  <si>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</si>
  <si>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</si>
  <si>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</si>
  <si>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</si>
  <si>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</si>
  <si>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</si>
  <si>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</si>
  <si>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</si>
  <si>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</si>
  <si>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</si>
  <si>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</si>
  <si>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</si>
  <si>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</si>
  <si>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</si>
  <si>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</si>
  <si>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</si>
  <si>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</si>
  <si>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</si>
  <si>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</si>
  <si>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</si>
  <si>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</si>
  <si>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</si>
  <si>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</si>
  <si>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</si>
  <si>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</si>
  <si>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</si>
  <si>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</si>
  <si>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</si>
  <si>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</si>
  <si>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</si>
  <si>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</si>
  <si>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</si>
  <si>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</si>
  <si>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</si>
  <si>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</si>
  <si>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</si>
  <si>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</si>
  <si>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</si>
  <si>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</si>
  <si>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</si>
  <si>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</si>
  <si>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</si>
  <si>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</si>
  <si>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</si>
  <si>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</si>
  <si>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</si>
  <si>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</si>
  <si>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</si>
  <si>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</si>
  <si>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</si>
  <si>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</si>
  <si>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</si>
  <si>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</si>
  <si>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</si>
  <si>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</si>
  <si>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</si>
  <si>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</si>
  <si>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</si>
  <si>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</si>
  <si>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</si>
  <si>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</si>
  <si>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</si>
  <si>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</si>
  <si>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</si>
  <si>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</si>
  <si>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</si>
  <si>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</si>
  <si>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</si>
  <si>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</si>
  <si>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</si>
  <si>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</si>
  <si>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</si>
  <si>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</si>
  <si>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</si>
  <si>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</si>
  <si>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</si>
  <si>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</si>
  <si>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</si>
  <si>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</si>
  <si>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</si>
  <si>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</si>
  <si>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</si>
  <si>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</si>
  <si>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</si>
  <si>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</si>
  <si>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</si>
  <si>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</si>
  <si>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</si>
  <si>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</si>
  <si>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</si>
  <si>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</si>
  <si>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</si>
  <si>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</si>
  <si>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</si>
  <si>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</si>
  <si>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</si>
  <si>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</si>
  <si>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</si>
  <si>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</si>
  <si>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</si>
  <si>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</si>
  <si>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</si>
  <si>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</si>
  <si>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</si>
  <si>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</si>
  <si>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</si>
  <si>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</si>
  <si>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</si>
  <si>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</si>
  <si>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</si>
  <si>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</si>
  <si>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</si>
  <si>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</si>
  <si>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</si>
  <si>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</si>
  <si>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</si>
  <si>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</si>
  <si>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</si>
  <si>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</si>
  <si>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</si>
  <si>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</si>
  <si>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</si>
  <si>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</si>
  <si>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</si>
  <si>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</si>
  <si>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</si>
  <si>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</si>
  <si>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</si>
  <si>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</si>
  <si>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</si>
  <si>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</si>
  <si>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</si>
  <si>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</si>
  <si>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</si>
  <si>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</si>
  <si>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</si>
  <si>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</si>
  <si>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</si>
  <si>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</si>
  <si>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</si>
  <si>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</si>
  <si>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</si>
  <si>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</si>
  <si>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</si>
  <si>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</si>
  <si>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</si>
  <si>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</si>
  <si>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</si>
  <si>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</si>
  <si>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</si>
  <si>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</si>
  <si>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</si>
  <si>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</si>
  <si>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</si>
  <si>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</si>
  <si>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</si>
  <si>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</si>
  <si>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</si>
  <si>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</si>
  <si>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</si>
  <si>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</si>
  <si>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</si>
  <si>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</si>
  <si>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</si>
  <si>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</si>
  <si>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</si>
  <si>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</si>
  <si>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</si>
  <si>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</si>
  <si>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</si>
  <si>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</si>
  <si>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</si>
  <si>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</si>
  <si>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</si>
  <si>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</si>
  <si>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</si>
  <si>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</si>
  <si>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</si>
  <si>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</si>
  <si>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</si>
  <si>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</si>
  <si>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</si>
  <si>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</si>
  <si>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</si>
  <si>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</si>
  <si>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</si>
  <si>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</si>
  <si>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</si>
  <si>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</si>
  <si>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</si>
  <si>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</si>
  <si>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</si>
  <si>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</si>
  <si>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</si>
  <si>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</si>
  <si>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</si>
  <si>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</si>
  <si>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</si>
  <si>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</si>
  <si>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</si>
  <si>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</si>
  <si>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</si>
  <si>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</si>
  <si>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</si>
  <si>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</si>
  <si>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</si>
  <si>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</si>
  <si>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</si>
  <si>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</si>
  <si>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</si>
  <si>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</si>
  <si>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</si>
  <si>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</si>
  <si>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</si>
  <si>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</si>
  <si>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</si>
  <si>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</si>
  <si>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</si>
  <si>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</si>
  <si>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</si>
  <si>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</si>
  <si>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</si>
  <si>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</si>
  <si>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</si>
  <si>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</si>
  <si>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</si>
  <si>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</si>
  <si>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</si>
  <si>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</si>
  <si>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</si>
  <si>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</si>
  <si>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</si>
  <si>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</si>
  <si>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</si>
  <si>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</si>
  <si>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</si>
  <si>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</si>
  <si>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</si>
  <si>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</si>
  <si>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</si>
  <si>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</si>
  <si>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</si>
  <si>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</si>
  <si>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</si>
  <si>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</si>
  <si>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</si>
  <si>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</si>
  <si>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</si>
  <si>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</si>
  <si>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</si>
  <si>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</si>
  <si>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</si>
  <si>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</si>
  <si>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</si>
  <si>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</si>
  <si>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</si>
  <si>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</si>
  <si>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</si>
  <si>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</si>
  <si>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</si>
  <si>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</si>
  <si>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</si>
  <si>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</si>
  <si>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</si>
  <si>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</si>
  <si>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</si>
  <si>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</si>
  <si>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</si>
  <si>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</si>
  <si>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</si>
  <si>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</si>
  <si>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</si>
  <si>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</si>
  <si>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</si>
  <si>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</si>
  <si>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</si>
  <si>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</si>
  <si>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</si>
  <si>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</si>
  <si>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</si>
  <si>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</si>
  <si>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</si>
  <si>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</si>
  <si>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</si>
  <si>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</si>
  <si>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</si>
  <si>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</si>
  <si>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</si>
  <si>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</si>
  <si>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</si>
  <si>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</si>
  <si>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</si>
  <si>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</si>
  <si>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</si>
  <si>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</si>
  <si>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</si>
  <si>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</si>
  <si>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</si>
  <si>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</si>
  <si>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</si>
  <si>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</si>
  <si>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</si>
  <si>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</si>
  <si>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</si>
  <si>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</si>
  <si>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</si>
  <si>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</si>
  <si>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</si>
  <si>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</si>
  <si>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</si>
  <si>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</si>
  <si>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</si>
  <si>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</si>
  <si>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</si>
  <si>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</si>
  <si>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</si>
  <si>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</si>
  <si>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</si>
  <si>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</si>
  <si>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</si>
  <si>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</si>
  <si>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</si>
  <si>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</si>
  <si>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</si>
  <si>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</si>
  <si>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</si>
  <si>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</si>
  <si>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</si>
  <si>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</si>
  <si>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</si>
  <si>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</si>
  <si>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</si>
  <si>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</si>
  <si>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</si>
  <si>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</si>
  <si>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</si>
  <si>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</si>
  <si>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</si>
  <si>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</si>
  <si>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</si>
  <si>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</si>
  <si>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</si>
  <si>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</si>
  <si>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</si>
  <si>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</si>
  <si>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</si>
  <si>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</si>
  <si>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</si>
  <si>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</si>
  <si>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</si>
  <si>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</si>
  <si>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</si>
  <si>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</si>
  <si>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</si>
  <si>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</si>
  <si>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</si>
  <si>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</si>
  <si>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</si>
  <si>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</si>
  <si>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</si>
  <si>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</si>
  <si>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</si>
  <si>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</si>
  <si>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</si>
  <si>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</si>
  <si>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</si>
  <si>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</si>
  <si>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</si>
  <si>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</si>
  <si>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</si>
  <si>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</si>
  <si>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</si>
  <si>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</si>
  <si>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</si>
  <si>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</si>
  <si>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</si>
  <si>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</si>
  <si>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</si>
  <si>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</si>
  <si>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</si>
  <si>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</si>
  <si>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</si>
  <si>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</si>
  <si>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</si>
  <si>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</si>
  <si>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</si>
  <si>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</si>
  <si>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</si>
  <si>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</si>
  <si>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</si>
  <si>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</si>
  <si>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</si>
  <si>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</si>
  <si>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</si>
  <si>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</si>
  <si>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</si>
  <si>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</si>
  <si>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</si>
  <si>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</si>
  <si>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</si>
  <si>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</si>
  <si>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</si>
  <si>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</si>
  <si>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</si>
  <si>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</si>
  <si>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</si>
  <si>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</si>
  <si>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</si>
  <si>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</si>
  <si>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</si>
  <si>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</si>
  <si>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</si>
  <si>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</si>
  <si>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</si>
  <si>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</si>
  <si>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</si>
  <si>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</si>
  <si>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</si>
  <si>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</si>
  <si>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</si>
  <si>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</si>
  <si>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</si>
  <si>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</si>
  <si>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</si>
  <si>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</si>
  <si>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</si>
  <si>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</si>
  <si>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</si>
  <si>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</si>
  <si>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</si>
  <si>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</si>
  <si>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</si>
  <si>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</si>
  <si>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</si>
  <si>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</si>
  <si>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</si>
  <si>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</si>
  <si>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</si>
  <si>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</si>
  <si>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</si>
  <si>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</si>
  <si>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</si>
  <si>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</si>
  <si>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</si>
  <si>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</si>
  <si>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</si>
  <si>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</si>
  <si>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</si>
  <si>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</si>
  <si>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</si>
  <si>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</si>
  <si>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</si>
  <si>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</si>
  <si>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</si>
  <si>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</si>
  <si>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</si>
  <si>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</si>
  <si>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</si>
  <si>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</si>
  <si>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</si>
  <si>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</si>
  <si>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</si>
  <si>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</si>
  <si>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</si>
  <si>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</si>
  <si>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</si>
  <si>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</si>
  <si>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</si>
  <si>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</si>
  <si>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</si>
  <si>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</si>
  <si>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</si>
  <si>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</si>
  <si>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</si>
  <si>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</si>
  <si>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</si>
  <si>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</si>
  <si>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</si>
  <si>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</si>
  <si>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</si>
  <si>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</si>
  <si>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</si>
  <si>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</si>
  <si>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</si>
  <si>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</si>
  <si>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</si>
  <si>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</si>
  <si>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</si>
  <si>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</si>
  <si>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</si>
  <si>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</si>
  <si>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</si>
  <si>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</si>
  <si>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</si>
  <si>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</si>
  <si>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</si>
  <si>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</si>
  <si>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</si>
  <si>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</si>
  <si>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</si>
  <si>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</si>
  <si>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</si>
  <si>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</si>
  <si>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</si>
  <si>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</si>
  <si>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</si>
  <si>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</si>
  <si>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</si>
  <si>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</si>
  <si>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</si>
  <si>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</si>
  <si>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</si>
  <si>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</si>
  <si>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</si>
  <si>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</si>
  <si>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</si>
  <si>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</si>
  <si>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</si>
  <si>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</si>
  <si>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</si>
  <si>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</si>
  <si>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</si>
  <si>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</si>
  <si>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</si>
  <si>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</si>
  <si>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</si>
  <si>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</si>
  <si>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</si>
  <si>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</si>
  <si>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</si>
  <si>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</si>
  <si>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</si>
  <si>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</si>
  <si>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</si>
  <si>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</si>
  <si>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</si>
  <si>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</si>
  <si>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</si>
  <si>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</si>
  <si>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</si>
  <si>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</si>
  <si>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</si>
  <si>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</si>
  <si>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</si>
  <si>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</si>
  <si>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</si>
  <si>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</si>
  <si>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</si>
  <si>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</si>
  <si>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</si>
  <si>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</si>
  <si>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</si>
  <si>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</si>
  <si>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</si>
  <si>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</si>
  <si>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</si>
  <si>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</si>
  <si>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</si>
  <si>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</si>
  <si>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</si>
  <si>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</si>
  <si>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</si>
  <si>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</si>
  <si>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</si>
  <si>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</si>
  <si>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</si>
  <si>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</si>
  <si>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</si>
  <si>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</si>
  <si>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</si>
  <si>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</si>
  <si>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</si>
  <si>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</si>
  <si>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</si>
  <si>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</si>
  <si>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</si>
  <si>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</si>
  <si>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</si>
  <si>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</si>
  <si>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</si>
  <si>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</si>
  <si>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</si>
  <si>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</si>
  <si>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</si>
  <si>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</si>
  <si>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</si>
  <si>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</si>
  <si>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</si>
  <si>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</si>
  <si>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</si>
  <si>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</si>
  <si>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</si>
  <si>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</si>
  <si>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</si>
  <si>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</si>
  <si>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</si>
  <si>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</si>
  <si>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</si>
  <si>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</si>
  <si>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</si>
  <si>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</si>
  <si>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</si>
  <si>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</si>
  <si>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</si>
  <si>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</si>
  <si>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</si>
  <si>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</si>
  <si>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</si>
  <si>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</si>
  <si>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</si>
  <si>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</si>
  <si>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</si>
  <si>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</si>
  <si>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</si>
  <si>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</si>
  <si>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</si>
  <si>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</si>
  <si>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</si>
  <si>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</si>
  <si>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</si>
  <si>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</si>
  <si>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</si>
  <si>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</si>
  <si>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</si>
  <si>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</si>
  <si>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</si>
  <si>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</si>
  <si>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</si>
  <si>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</si>
  <si>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</si>
  <si>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</si>
  <si>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</si>
  <si>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</si>
  <si>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</si>
  <si>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</si>
  <si>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</si>
  <si>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</si>
  <si>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</si>
  <si>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</si>
  <si>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</si>
  <si>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</si>
  <si>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</si>
  <si>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</si>
  <si>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</si>
  <si>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</si>
  <si>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</si>
  <si>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</si>
  <si>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</si>
  <si>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</si>
  <si>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</si>
  <si>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</si>
  <si>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</si>
  <si>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</si>
  <si>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</si>
  <si>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</si>
  <si>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</si>
  <si>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</si>
  <si>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</si>
  <si>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</si>
  <si>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</si>
  <si>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</si>
  <si>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</si>
  <si>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</si>
  <si>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</si>
  <si>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</si>
  <si>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</si>
  <si>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</si>
  <si>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</si>
  <si>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</si>
  <si>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</si>
  <si>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</si>
  <si>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</si>
  <si>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</si>
  <si>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</si>
  <si>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</si>
  <si>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</si>
  <si>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</si>
  <si>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</si>
  <si>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</si>
  <si>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</si>
  <si>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</si>
  <si>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</si>
  <si>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</si>
  <si>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</si>
  <si>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</si>
  <si>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</si>
  <si>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</si>
  <si>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</si>
  <si>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</si>
  <si>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</si>
  <si>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</si>
  <si>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</si>
  <si>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</si>
  <si>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</si>
  <si>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</si>
  <si>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</si>
  <si>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</si>
  <si>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</si>
  <si>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</si>
  <si>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</si>
  <si>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</si>
  <si>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</si>
  <si>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</si>
  <si>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</si>
  <si>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</si>
  <si>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</si>
  <si>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</si>
  <si>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</si>
  <si>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</si>
  <si>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</si>
  <si>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</si>
  <si>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</si>
  <si>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</si>
  <si>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</si>
  <si>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</si>
  <si>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</si>
  <si>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</si>
  <si>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</si>
  <si>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</si>
  <si>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</si>
  <si>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</si>
  <si>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</si>
  <si>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</si>
  <si>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</si>
  <si>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</si>
  <si>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</si>
  <si>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</si>
  <si>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</si>
  <si>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</si>
  <si>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</si>
  <si>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</si>
  <si>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</si>
  <si>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</si>
  <si>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</si>
  <si>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</si>
  <si>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</si>
  <si>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</si>
  <si>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</si>
  <si>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</si>
  <si>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</si>
  <si>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</si>
  <si>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</si>
  <si>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</si>
  <si>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</si>
  <si>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</si>
  <si>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</si>
  <si>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</si>
  <si>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</si>
  <si>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</si>
  <si>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</si>
  <si>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</si>
  <si>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</si>
  <si>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</si>
  <si>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</si>
  <si>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</si>
  <si>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</si>
  <si>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</si>
  <si>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</si>
  <si>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</si>
  <si>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</si>
  <si>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</si>
  <si>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</si>
  <si>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</si>
  <si>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</si>
  <si>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</si>
  <si>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</si>
  <si>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</si>
  <si>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</si>
  <si>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</si>
  <si>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</si>
  <si>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</si>
  <si>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</si>
  <si>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</si>
  <si>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</si>
  <si>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</si>
  <si>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</si>
  <si>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</si>
  <si>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</si>
  <si>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</si>
  <si>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</si>
  <si>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</si>
  <si>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</si>
  <si>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</si>
  <si>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</si>
  <si>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</si>
  <si>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</si>
  <si>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</si>
  <si>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</si>
  <si>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</si>
  <si>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</si>
  <si>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</si>
  <si>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</si>
  <si>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</si>
  <si>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</si>
  <si>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</si>
  <si>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</si>
  <si>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</si>
  <si>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</si>
  <si>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</si>
  <si>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</si>
  <si>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</si>
  <si>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</si>
  <si>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</si>
  <si>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</si>
  <si>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</si>
  <si>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</si>
  <si>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</si>
  <si>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</si>
  <si>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</si>
  <si>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</si>
  <si>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</si>
  <si>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</si>
  <si>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</si>
  <si>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</si>
  <si>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</si>
  <si>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</si>
  <si>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</si>
  <si>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</si>
  <si>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</si>
  <si>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</si>
  <si>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</si>
  <si>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</si>
  <si>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</si>
  <si>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</si>
  <si>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</si>
  <si>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</si>
  <si>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</si>
  <si>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</si>
  <si>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</si>
  <si>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</si>
  <si>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</si>
  <si>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</si>
  <si>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</si>
  <si>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</si>
  <si>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</si>
  <si>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</si>
  <si>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</si>
  <si>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</si>
  <si>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</si>
  <si>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</si>
  <si>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</si>
  <si>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</si>
  <si>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</si>
  <si>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</si>
  <si>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</si>
  <si>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</si>
  <si>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</si>
  <si>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</si>
  <si>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</si>
  <si>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</si>
  <si>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</si>
  <si>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</si>
  <si>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</si>
  <si>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</si>
  <si>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</si>
  <si>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</si>
  <si>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</si>
  <si>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</si>
  <si>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</si>
  <si>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</si>
  <si>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</si>
  <si>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</si>
  <si>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</si>
  <si>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</si>
  <si>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</si>
  <si>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</si>
  <si>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</si>
  <si>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</si>
  <si>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</si>
  <si>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</si>
  <si>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</si>
  <si>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</si>
  <si>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</si>
  <si>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</si>
  <si>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</si>
  <si>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</si>
  <si>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</si>
  <si>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</si>
  <si>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</si>
  <si>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</si>
  <si>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</si>
  <si>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</si>
  <si>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</si>
  <si>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</si>
  <si>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</si>
  <si>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</si>
  <si>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</si>
  <si>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</si>
  <si>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</si>
  <si>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</si>
  <si>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</si>
  <si>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</si>
  <si>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</si>
  <si>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</si>
  <si>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</si>
  <si>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</si>
  <si>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</si>
  <si>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</si>
  <si>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</si>
  <si>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</si>
  <si>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</si>
  <si>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</si>
  <si>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</si>
  <si>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</si>
  <si>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</si>
  <si>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</si>
  <si>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</si>
  <si>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</si>
  <si>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</si>
  <si>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</si>
  <si>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</si>
  <si>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</si>
  <si>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</si>
  <si>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</si>
  <si>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</si>
  <si>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</si>
  <si>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</si>
  <si>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</si>
  <si>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</si>
  <si>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</si>
  <si>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</si>
  <si>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</si>
  <si>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</si>
  <si>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</si>
  <si>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</si>
  <si>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</si>
  <si>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</si>
  <si>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</si>
  <si>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</si>
  <si>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</si>
  <si>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</si>
  <si>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</si>
  <si>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</si>
  <si>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</si>
  <si>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</si>
  <si>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</si>
  <si>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</si>
  <si>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</si>
  <si>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</si>
  <si>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</si>
  <si>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</si>
  <si>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</si>
  <si>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</si>
  <si>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</si>
  <si>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</si>
  <si>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</si>
  <si>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</si>
  <si>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</si>
  <si>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</si>
  <si>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</si>
  <si>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</si>
  <si>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</si>
  <si>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</si>
  <si>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</si>
  <si>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</si>
  <si>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</si>
  <si>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</si>
  <si>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</si>
  <si>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</si>
  <si>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</si>
  <si>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</si>
  <si>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</si>
  <si>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</si>
  <si>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</si>
  <si>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</si>
  <si>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</si>
  <si>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</si>
  <si>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</si>
  <si>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</si>
  <si>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</si>
  <si>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</si>
  <si>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</si>
  <si>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</si>
  <si>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</si>
  <si>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</si>
  <si>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</si>
  <si>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</si>
  <si>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</si>
  <si>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</si>
  <si>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</si>
  <si>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</si>
  <si>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</si>
  <si>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</si>
  <si>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</si>
  <si>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</si>
  <si>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</si>
  <si>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</si>
  <si>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</si>
  <si>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</si>
  <si>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</si>
  <si>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</si>
  <si>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</si>
  <si>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</si>
  <si>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</si>
  <si>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</si>
  <si>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</si>
  <si>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</si>
  <si>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</si>
  <si>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</si>
  <si>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</si>
  <si>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</si>
  <si>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</si>
  <si>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</si>
  <si>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</si>
  <si>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</si>
  <si>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</si>
  <si>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</si>
  <si>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</si>
  <si>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</si>
  <si>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</si>
  <si>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</si>
  <si>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</si>
  <si>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</si>
  <si>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</si>
  <si>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</si>
  <si>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</si>
  <si>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</si>
  <si>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</si>
  <si>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</si>
  <si>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</si>
  <si>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</si>
  <si>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</si>
  <si>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</si>
  <si>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</si>
  <si>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</si>
  <si>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</si>
  <si>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</si>
  <si>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</si>
  <si>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</si>
  <si>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</si>
  <si>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</si>
  <si>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</si>
  <si>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</si>
  <si>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</si>
  <si>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</si>
  <si>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</si>
  <si>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</si>
  <si>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</si>
  <si>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</si>
  <si>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</si>
  <si>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</si>
  <si>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</si>
  <si>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</si>
  <si>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</si>
  <si>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</si>
  <si>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</si>
  <si>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</si>
  <si>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</si>
  <si>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</si>
  <si>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</si>
  <si>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</si>
  <si>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</si>
  <si>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</si>
  <si>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</si>
  <si>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</si>
  <si>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</si>
  <si>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</si>
  <si>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</si>
  <si>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</si>
  <si>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</si>
  <si>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</si>
  <si>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</si>
  <si>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</si>
  <si>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</si>
  <si>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</si>
  <si>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</si>
  <si>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</si>
  <si>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</si>
  <si>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</si>
  <si>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</si>
  <si>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</si>
  <si>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</si>
  <si>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</si>
  <si>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</si>
  <si>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</si>
  <si>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</si>
  <si>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</si>
  <si>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</si>
  <si>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</si>
  <si>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</si>
  <si>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</si>
  <si>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</si>
  <si>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</si>
  <si>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</si>
  <si>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</si>
  <si>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</si>
  <si>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</si>
  <si>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</si>
  <si>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</si>
  <si>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</si>
  <si>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</si>
  <si>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</si>
  <si>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</si>
  <si>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</si>
  <si>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</si>
  <si>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</si>
  <si>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</si>
  <si>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</si>
  <si>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</si>
  <si>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</si>
  <si>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</si>
  <si>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</si>
  <si>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</si>
  <si>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</si>
  <si>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</si>
  <si>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</si>
  <si>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</si>
  <si>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</si>
  <si>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</si>
  <si>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</si>
  <si>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</si>
  <si>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</si>
  <si>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</si>
  <si>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</si>
  <si>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</si>
  <si>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</si>
  <si>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</si>
  <si>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</si>
  <si>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</si>
  <si>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</si>
  <si>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</si>
  <si>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</si>
  <si>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</si>
  <si>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</si>
  <si>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</si>
  <si>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</si>
  <si>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</si>
  <si>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</si>
  <si>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</si>
  <si>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</si>
  <si>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</si>
  <si>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</si>
  <si>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</si>
  <si>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</si>
  <si>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</si>
  <si>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</si>
  <si>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</si>
  <si>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</si>
  <si>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</si>
  <si>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</si>
  <si>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</si>
  <si>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</si>
  <si>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</si>
  <si>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</si>
  <si>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</si>
  <si>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</si>
  <si>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</si>
  <si>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</si>
  <si>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</si>
  <si>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</si>
  <si>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</si>
  <si>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</si>
  <si>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</si>
  <si>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</si>
  <si>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</si>
  <si>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</si>
  <si>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</si>
  <si>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</si>
  <si>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</si>
  <si>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</si>
  <si>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</si>
  <si>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</si>
  <si>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</si>
  <si>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</si>
  <si>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</si>
  <si>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</si>
  <si>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</si>
  <si>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</si>
  <si>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</si>
  <si>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</si>
  <si>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</si>
  <si>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</si>
  <si>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</si>
  <si>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</si>
  <si>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</si>
  <si>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</si>
  <si>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</si>
  <si>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</si>
  <si>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</si>
  <si>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</si>
  <si>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</si>
  <si>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</si>
  <si>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</si>
  <si>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</si>
  <si>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</si>
  <si>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</si>
  <si>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</si>
  <si>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</si>
  <si>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</si>
  <si>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</si>
  <si>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</si>
  <si>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</si>
  <si>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</si>
  <si>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</si>
  <si>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</si>
  <si>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</si>
  <si>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</si>
  <si>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</si>
  <si>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</si>
  <si>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</si>
  <si>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</si>
  <si>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</si>
  <si>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</si>
  <si>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</si>
  <si>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</si>
  <si>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</si>
  <si>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</si>
  <si>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</si>
  <si>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</si>
  <si>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</si>
  <si>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</si>
  <si>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</si>
  <si>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</si>
  <si>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</si>
  <si>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</si>
  <si>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</si>
  <si>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</si>
  <si>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</si>
  <si>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</si>
  <si>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</si>
  <si>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</si>
  <si>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</si>
  <si>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</si>
  <si>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</si>
  <si>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</si>
  <si>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</si>
  <si>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</si>
  <si>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</si>
  <si>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</si>
  <si>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</si>
  <si>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</si>
  <si>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</si>
  <si>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</si>
  <si>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</si>
  <si>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</si>
  <si>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</si>
  <si>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</si>
  <si>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</si>
  <si>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</si>
  <si>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</si>
  <si>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</si>
  <si>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</si>
  <si>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</si>
  <si>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</si>
  <si>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</si>
  <si>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</si>
  <si>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</si>
  <si>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</si>
  <si>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</si>
  <si>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</si>
  <si>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</si>
  <si>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</si>
  <si>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</si>
  <si>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</si>
  <si>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</si>
  <si>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</si>
  <si>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</si>
  <si>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</si>
  <si>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</si>
  <si>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</si>
  <si>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</si>
  <si>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</si>
  <si>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</si>
  <si>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</si>
  <si>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</si>
  <si>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</si>
  <si>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</si>
  <si>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</si>
  <si>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</si>
  <si>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</si>
  <si>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</si>
  <si>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</si>
  <si>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</si>
  <si>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</si>
  <si>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</si>
  <si>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</si>
  <si>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</si>
  <si>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</si>
  <si>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</si>
  <si>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</si>
  <si>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</si>
  <si>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</si>
  <si>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</si>
  <si>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</si>
  <si>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</si>
  <si>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</si>
  <si>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</si>
  <si>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</si>
  <si>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</si>
  <si>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</si>
  <si>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</si>
  <si>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</si>
  <si>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</si>
  <si>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</si>
  <si>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</si>
  <si>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</si>
  <si>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</si>
  <si>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</si>
  <si>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</si>
  <si>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</si>
  <si>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</si>
  <si>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</si>
  <si>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</si>
  <si>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</si>
  <si>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</si>
  <si>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</si>
  <si>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</si>
  <si>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</si>
  <si>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</si>
  <si>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</si>
  <si>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</si>
  <si>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</si>
  <si>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</si>
  <si>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</si>
  <si>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</si>
  <si>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</si>
  <si>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</si>
  <si>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</si>
  <si>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</si>
  <si>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</si>
  <si>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</si>
  <si>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</si>
  <si>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</si>
  <si>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</si>
  <si>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</si>
  <si>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</si>
  <si>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</si>
  <si>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</si>
  <si>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</si>
  <si>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</si>
  <si>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</si>
  <si>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</si>
  <si>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</si>
  <si>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</si>
  <si>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</si>
  <si>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</si>
  <si>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</si>
  <si>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</si>
  <si>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</si>
  <si>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</si>
  <si>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</si>
  <si>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</si>
  <si>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</si>
  <si>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</si>
  <si>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</si>
  <si>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</si>
  <si>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</si>
  <si>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</si>
  <si>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</si>
  <si>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</si>
  <si>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</si>
  <si>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</si>
  <si>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</si>
  <si>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</si>
  <si>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</si>
  <si>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</si>
  <si>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</si>
  <si>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</si>
  <si>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</si>
  <si>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</si>
  <si>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</si>
  <si>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</si>
  <si>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</si>
  <si>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</si>
  <si>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</si>
  <si>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</si>
  <si>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</si>
  <si>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</si>
  <si>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</si>
  <si>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</si>
  <si>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</si>
  <si>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</si>
  <si>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</si>
  <si>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</si>
  <si>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</si>
  <si>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</si>
  <si>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</si>
  <si>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</si>
  <si>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</si>
  <si>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</si>
  <si>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</si>
  <si>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</si>
  <si>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</si>
  <si>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</si>
  <si>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</si>
  <si>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</si>
  <si>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</si>
  <si>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</si>
  <si>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</si>
  <si>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</si>
  <si>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</si>
  <si>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</si>
  <si>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</si>
  <si>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</si>
  <si>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</si>
  <si>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</si>
  <si>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</si>
  <si>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</si>
  <si>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</si>
  <si>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</si>
  <si>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</si>
  <si>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</si>
  <si>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</si>
  <si>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</si>
  <si>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</si>
  <si>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</si>
  <si>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</si>
  <si>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</si>
  <si>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</si>
  <si>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</si>
  <si>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</si>
  <si>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</si>
  <si>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</si>
  <si>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</si>
  <si>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</si>
  <si>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</si>
  <si>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</si>
  <si>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</si>
  <si>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</si>
  <si>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</si>
  <si>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</si>
  <si>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</si>
  <si>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</si>
  <si>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</si>
  <si>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</si>
  <si>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</si>
  <si>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</si>
  <si>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</si>
  <si>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</si>
  <si>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</si>
  <si>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</si>
  <si>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</si>
  <si>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</si>
  <si>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</si>
  <si>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</si>
  <si>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</si>
  <si>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</si>
  <si>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</si>
  <si>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</si>
  <si>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</si>
  <si>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</si>
  <si>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</si>
  <si>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</si>
  <si>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</si>
  <si>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</si>
  <si>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</si>
  <si>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</si>
  <si>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</si>
  <si>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</si>
  <si>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</si>
  <si>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</si>
  <si>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</si>
  <si>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</si>
  <si>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</si>
  <si>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</si>
  <si>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</si>
  <si>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</si>
  <si>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</si>
  <si>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</si>
  <si>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</si>
  <si>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</si>
  <si>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</si>
  <si>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</si>
  <si>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</si>
  <si>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</si>
  <si>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</si>
  <si>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</si>
  <si>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</si>
  <si>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</si>
  <si>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</si>
  <si>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</si>
  <si>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</si>
  <si>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</si>
  <si>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</si>
  <si>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</si>
  <si>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</si>
  <si>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</si>
  <si>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</si>
  <si>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</si>
  <si>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</si>
  <si>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</si>
  <si>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</si>
  <si>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</si>
  <si>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</si>
  <si>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</si>
  <si>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</si>
  <si>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</si>
  <si>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</si>
  <si>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</si>
  <si>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</si>
  <si>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</si>
  <si>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</si>
  <si>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</si>
  <si>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</si>
  <si>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</si>
  <si>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</si>
  <si>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</si>
  <si>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</si>
  <si>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</si>
  <si>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</si>
  <si>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</si>
  <si>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</si>
  <si>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</si>
  <si>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</si>
  <si>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</si>
  <si>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</si>
  <si>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</si>
  <si>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</si>
  <si>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</si>
  <si>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</si>
  <si>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</si>
  <si>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</si>
  <si>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</si>
  <si>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</si>
  <si>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</si>
  <si>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</si>
  <si>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</si>
  <si>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</si>
  <si>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</si>
  <si>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</si>
  <si>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</si>
  <si>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</si>
  <si>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</si>
  <si>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</si>
  <si>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</si>
  <si>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</si>
  <si>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</si>
  <si>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</si>
  <si>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</si>
  <si>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</si>
  <si>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</si>
  <si>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</si>
  <si>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</si>
  <si>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</si>
  <si>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</si>
  <si>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</si>
  <si>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</si>
  <si>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</si>
  <si>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</si>
  <si>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</si>
  <si>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</si>
  <si>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</si>
  <si>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</si>
  <si>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</si>
  <si>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</si>
  <si>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</si>
  <si>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</si>
  <si>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</si>
  <si>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</si>
  <si>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</si>
  <si>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</si>
  <si>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</si>
  <si>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</si>
  <si>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</si>
  <si>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</si>
  <si>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</si>
  <si>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</si>
  <si>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</si>
  <si>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</si>
  <si>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</si>
  <si>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</si>
  <si>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</si>
  <si>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</si>
  <si>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</si>
  <si>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</si>
  <si>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</si>
  <si>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</si>
  <si>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</si>
  <si>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</si>
  <si>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</si>
  <si>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</si>
  <si>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</si>
  <si>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</si>
  <si>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</si>
  <si>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</si>
  <si>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</si>
  <si>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</si>
  <si>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</si>
  <si>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</si>
  <si>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</si>
  <si>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</si>
  <si>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</si>
  <si>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</si>
  <si>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</si>
  <si>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</si>
  <si>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</si>
  <si>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</si>
  <si>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</si>
  <si>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</si>
  <si>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</si>
  <si>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</si>
  <si>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</si>
  <si>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</si>
  <si>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</si>
  <si>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</si>
  <si>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</si>
  <si>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</si>
  <si>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</si>
  <si>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</si>
  <si>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</si>
  <si>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</si>
  <si>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</si>
  <si>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</si>
  <si>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</si>
  <si>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</si>
  <si>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</si>
  <si>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</si>
  <si>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</si>
  <si>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</si>
  <si>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</si>
  <si>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</si>
  <si>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</si>
  <si>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</si>
  <si>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</si>
  <si>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</si>
  <si>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</si>
  <si>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</si>
  <si>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</si>
  <si>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</si>
  <si>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</si>
  <si>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</si>
  <si>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</si>
  <si>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</si>
  <si>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</si>
  <si>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</si>
  <si>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</si>
  <si>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</si>
  <si>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</si>
  <si>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</si>
  <si>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</si>
  <si>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</si>
  <si>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</si>
  <si>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</si>
  <si>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</si>
  <si>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</si>
  <si>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</si>
  <si>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</si>
  <si>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</si>
  <si>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</si>
  <si>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</si>
  <si>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</si>
  <si>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</si>
  <si>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</si>
  <si>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</si>
  <si>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</si>
  <si>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</si>
  <si>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</si>
  <si>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</si>
  <si>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</si>
  <si>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</si>
  <si>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</si>
  <si>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</si>
  <si>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</si>
  <si>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</si>
  <si>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</si>
  <si>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</si>
  <si>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</si>
  <si>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</si>
  <si>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</si>
  <si>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</si>
  <si>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</si>
  <si>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</si>
  <si>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</si>
  <si>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</si>
  <si>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</si>
  <si>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</si>
  <si>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</si>
  <si>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</si>
  <si>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</si>
  <si>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</si>
  <si>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</si>
  <si>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</si>
  <si>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</si>
  <si>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</si>
  <si>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</si>
  <si>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</si>
  <si>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</si>
  <si>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</si>
  <si>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</si>
  <si>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</si>
  <si>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</si>
  <si>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</si>
  <si>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</si>
  <si>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</si>
  <si>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</si>
  <si>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</si>
  <si>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</si>
  <si>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</si>
  <si>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</si>
  <si>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</si>
  <si>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</si>
  <si>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</si>
  <si>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</si>
  <si>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</si>
  <si>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</si>
  <si>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</si>
  <si>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</si>
  <si>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</si>
  <si>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</si>
  <si>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</si>
  <si>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</si>
  <si>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</si>
  <si>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</si>
  <si>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</si>
  <si>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</si>
  <si>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</si>
  <si>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</si>
  <si>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</si>
  <si>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</si>
  <si>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</si>
  <si>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</si>
  <si>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</si>
  <si>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</si>
  <si>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</si>
  <si>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</si>
  <si>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</si>
  <si>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</si>
  <si>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</si>
  <si>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</si>
  <si>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</si>
  <si>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</si>
  <si>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</si>
  <si>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</si>
  <si>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</si>
  <si>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</si>
  <si>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</si>
  <si>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</si>
  <si>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</si>
  <si>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</si>
  <si>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</si>
  <si>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</si>
  <si>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</si>
  <si>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</si>
  <si>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</si>
  <si>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</si>
  <si>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</si>
  <si>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</si>
  <si>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</si>
  <si>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</si>
  <si>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</si>
  <si>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</si>
  <si>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</si>
  <si>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</si>
  <si>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</si>
  <si>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</si>
  <si>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</si>
  <si>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</si>
  <si>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</si>
  <si>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</si>
  <si>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</si>
  <si>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</si>
  <si>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</si>
  <si>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</si>
  <si>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</si>
  <si>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</si>
  <si>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</si>
  <si>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</si>
  <si>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</si>
  <si>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</si>
  <si>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</si>
  <si>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</si>
  <si>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</si>
  <si>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</si>
  <si>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</si>
  <si>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</si>
  <si>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</si>
  <si>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</si>
  <si>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</si>
  <si>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</si>
  <si>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</si>
  <si>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</si>
  <si>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</si>
  <si>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</si>
  <si>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</si>
  <si>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</si>
  <si>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</si>
  <si>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</si>
  <si>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</si>
  <si>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</si>
  <si>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</si>
  <si>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</si>
  <si>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</si>
  <si>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</si>
  <si>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</si>
  <si>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</si>
  <si>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</si>
  <si>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</si>
  <si>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</si>
  <si>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</si>
  <si>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</si>
  <si>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</si>
  <si>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</si>
  <si>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</si>
  <si>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</si>
  <si>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</si>
  <si>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</si>
  <si>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</si>
  <si>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</si>
  <si>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</si>
  <si>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</si>
  <si>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</si>
  <si>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</si>
  <si>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</si>
  <si>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</si>
  <si>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</si>
  <si>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</si>
  <si>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</si>
  <si>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</si>
  <si>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</si>
  <si>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</si>
  <si>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</si>
  <si>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</si>
  <si>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</si>
  <si>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</si>
  <si>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</si>
  <si>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</si>
  <si>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</si>
  <si>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</si>
  <si>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</si>
  <si>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</si>
  <si>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</si>
  <si>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</si>
  <si>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</si>
  <si>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</si>
  <si>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</si>
  <si>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</si>
  <si>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</si>
  <si>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</si>
  <si>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</si>
  <si>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</si>
  <si>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</si>
  <si>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</si>
  <si>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</si>
  <si>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</si>
  <si>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</si>
  <si>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</si>
  <si>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</si>
  <si>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</si>
  <si>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</si>
  <si>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</si>
  <si>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</si>
  <si>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</si>
  <si>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</si>
  <si>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</si>
  <si>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</si>
  <si>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</si>
  <si>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</si>
  <si>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</si>
  <si>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</si>
  <si>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</si>
  <si>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</si>
  <si>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</si>
  <si>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</si>
  <si>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</si>
  <si>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</si>
  <si>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</si>
  <si>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</si>
  <si>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</si>
  <si>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</si>
  <si>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</si>
  <si>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</si>
  <si>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</si>
  <si>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</si>
  <si>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</si>
  <si>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</si>
  <si>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</si>
  <si>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</si>
  <si>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</si>
  <si>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</si>
  <si>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</si>
  <si>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</si>
  <si>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</si>
  <si>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</si>
  <si>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</si>
  <si>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</si>
  <si>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</si>
  <si>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</si>
  <si>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</si>
  <si>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</si>
  <si>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</si>
  <si>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</si>
  <si>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</si>
  <si>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</si>
  <si>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</si>
  <si>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</si>
  <si>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</si>
  <si>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</si>
  <si>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</si>
  <si>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</si>
  <si>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</si>
  <si>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</si>
  <si>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</si>
  <si>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</si>
  <si>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</si>
  <si>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</si>
  <si>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</si>
  <si>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</si>
  <si>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</si>
  <si>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</si>
  <si>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</si>
  <si>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</si>
  <si>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</si>
  <si>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</si>
  <si>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</si>
  <si>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</si>
  <si>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</si>
  <si>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</si>
  <si>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</si>
  <si>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</si>
  <si>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</si>
  <si>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</si>
  <si>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</si>
  <si>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</si>
  <si>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</si>
  <si>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</si>
  <si>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</si>
  <si>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</si>
  <si>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</si>
  <si>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</si>
  <si>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</si>
  <si>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</si>
  <si>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</si>
  <si>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</si>
  <si>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</si>
  <si>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</si>
  <si>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</si>
  <si>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</si>
  <si>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</si>
  <si>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</si>
  <si>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</si>
  <si>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</si>
  <si>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</si>
  <si>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</si>
  <si>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</si>
  <si>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</si>
  <si>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</si>
  <si>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</si>
  <si>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</si>
  <si>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</si>
  <si>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</si>
  <si>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</si>
  <si>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</si>
  <si>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</si>
  <si>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</si>
  <si>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</si>
  <si>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</si>
  <si>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</si>
  <si>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</si>
  <si>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</si>
  <si>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</si>
  <si>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</si>
  <si>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</si>
  <si>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</si>
  <si>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</si>
  <si>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</si>
  <si>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</si>
  <si>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</si>
  <si>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</si>
  <si>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</si>
  <si>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</si>
  <si>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</si>
  <si>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</si>
  <si>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</si>
  <si>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</si>
  <si>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</si>
  <si>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</si>
  <si>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</si>
  <si>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</si>
  <si>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</si>
  <si>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</si>
  <si>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</si>
  <si>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</si>
  <si>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</si>
  <si>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</si>
  <si>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</si>
  <si>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</si>
  <si>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</si>
  <si>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</si>
  <si>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</si>
  <si>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</si>
  <si>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</si>
  <si>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</si>
  <si>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</si>
  <si>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</si>
  <si>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</si>
  <si>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</si>
  <si>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</si>
  <si>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</si>
  <si>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</si>
  <si>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</si>
  <si>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</si>
  <si>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</si>
  <si>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</si>
  <si>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</si>
  <si>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</si>
  <si>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</si>
  <si>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</si>
  <si>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</si>
  <si>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</si>
  <si>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</si>
  <si>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</si>
  <si>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</si>
  <si>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</si>
  <si>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</si>
  <si>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</si>
  <si>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</si>
  <si>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</si>
  <si>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</si>
  <si>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</si>
  <si>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</si>
  <si>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</si>
  <si>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</si>
  <si>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</si>
  <si>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</si>
  <si>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</si>
  <si>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</si>
  <si>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</si>
  <si>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</si>
  <si>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</si>
  <si>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</si>
  <si>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</si>
  <si>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</si>
  <si>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</si>
  <si>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</si>
  <si>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</si>
  <si>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</si>
  <si>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</si>
  <si>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</si>
  <si>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</si>
  <si>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</si>
  <si>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</si>
  <si>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</si>
  <si>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</si>
  <si>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</si>
  <si>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</si>
  <si>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</si>
  <si>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</si>
  <si>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</si>
  <si>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</si>
  <si>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</si>
  <si>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</si>
  <si>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</si>
  <si>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</si>
  <si>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</si>
  <si>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</si>
  <si>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</si>
  <si>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</si>
  <si>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</si>
  <si>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</si>
  <si>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</si>
  <si>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</si>
  <si>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</si>
  <si>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</si>
  <si>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</si>
  <si>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</si>
  <si>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</si>
  <si>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</si>
  <si>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</si>
  <si>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</si>
  <si>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</si>
  <si>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</si>
  <si>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</si>
  <si>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</si>
  <si>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</si>
  <si>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</si>
  <si>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</si>
  <si>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</si>
  <si>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</si>
  <si>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</si>
  <si>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</si>
  <si>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</si>
  <si>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</si>
  <si>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</si>
  <si>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</si>
  <si>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</si>
  <si>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</si>
  <si>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</si>
  <si>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</si>
  <si>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</si>
  <si>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</si>
  <si>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</si>
  <si>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</si>
  <si>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</si>
  <si>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</si>
  <si>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</si>
  <si>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</si>
  <si>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</si>
  <si>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</si>
  <si>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</si>
  <si>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</si>
  <si>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</si>
  <si>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</si>
  <si>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</si>
  <si>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</si>
  <si>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</si>
  <si>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</si>
  <si>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</si>
  <si>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</si>
  <si>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</si>
  <si>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</si>
  <si>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</si>
  <si>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</si>
  <si>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</si>
  <si>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</si>
  <si>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</si>
  <si>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</si>
  <si>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</si>
  <si>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</si>
  <si>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</si>
  <si>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</si>
  <si>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</si>
  <si>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</si>
  <si>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</si>
  <si>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</si>
  <si>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</si>
  <si>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</si>
  <si>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</si>
  <si>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</si>
  <si>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</si>
  <si>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</si>
  <si>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</si>
  <si>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</si>
  <si>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</si>
  <si>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</si>
  <si>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</si>
  <si>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</si>
  <si>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</si>
  <si>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</si>
  <si>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</si>
  <si>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</si>
  <si>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</si>
  <si>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</si>
  <si>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</si>
  <si>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</si>
  <si>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</si>
  <si>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</si>
  <si>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</si>
  <si>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</si>
  <si>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</si>
  <si>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</si>
  <si>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</si>
  <si>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</si>
  <si>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</si>
  <si>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</si>
  <si>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</si>
  <si>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</si>
  <si>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</si>
  <si>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</si>
  <si>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</si>
  <si>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</si>
  <si>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</si>
  <si>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</si>
  <si>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</si>
  <si>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</si>
  <si>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</si>
  <si>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</si>
  <si>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</si>
  <si>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</si>
  <si>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</si>
  <si>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</si>
  <si>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</si>
  <si>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</si>
  <si>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</si>
  <si>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</si>
  <si>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</si>
  <si>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</si>
  <si>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</si>
  <si>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</si>
  <si>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</si>
  <si>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</si>
  <si>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</si>
  <si>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</si>
  <si>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</si>
  <si>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</si>
  <si>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</si>
  <si>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</si>
  <si>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</si>
  <si>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</si>
  <si>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</si>
  <si>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</si>
  <si>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</si>
  <si>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</si>
  <si>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</si>
  <si>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</si>
  <si>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</si>
  <si>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</si>
  <si>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</si>
  <si>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</si>
  <si>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</si>
  <si>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</si>
  <si>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</si>
  <si>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</si>
  <si>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</si>
  <si>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</si>
  <si>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</si>
  <si>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</si>
  <si>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</si>
  <si>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</si>
  <si>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</si>
  <si>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</si>
  <si>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</si>
  <si>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</si>
  <si>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</si>
  <si>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</si>
  <si>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</si>
  <si>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</si>
  <si>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</si>
  <si>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</si>
  <si>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</si>
  <si>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</si>
  <si>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</si>
  <si>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</si>
  <si>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</si>
  <si>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</si>
  <si>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</si>
  <si>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</si>
  <si>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</si>
  <si>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</si>
  <si>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</si>
  <si>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</si>
  <si>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</si>
  <si>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</si>
  <si>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</si>
  <si>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</si>
  <si>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</si>
  <si>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</si>
  <si>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</si>
  <si>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</si>
  <si>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</si>
  <si>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</si>
  <si>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</si>
  <si>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</si>
  <si>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</si>
  <si>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</si>
  <si>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</si>
  <si>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</si>
  <si>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</si>
  <si>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</si>
  <si>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</si>
  <si>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</si>
  <si>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</si>
  <si>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</si>
  <si>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</si>
  <si>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</si>
  <si>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</si>
  <si>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</si>
  <si>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</si>
  <si>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</si>
  <si>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</si>
  <si>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</si>
  <si>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</si>
  <si>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</si>
  <si>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</si>
  <si>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</si>
  <si>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</si>
  <si>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</si>
  <si>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</si>
  <si>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</si>
  <si>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</si>
  <si>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</si>
  <si>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</si>
  <si>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</si>
  <si>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</si>
  <si>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</si>
  <si>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</si>
  <si>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</si>
  <si>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</si>
  <si>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</si>
  <si>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</si>
  <si>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</si>
  <si>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</si>
  <si>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</si>
  <si>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</si>
  <si>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</si>
  <si>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</si>
  <si>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</si>
  <si>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</si>
  <si>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</si>
  <si>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</si>
  <si>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</si>
  <si>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</si>
  <si>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</si>
  <si>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</si>
  <si>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</si>
  <si>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</si>
  <si>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</si>
  <si>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</si>
  <si>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</si>
  <si>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</si>
  <si>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</si>
  <si>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</si>
  <si>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</si>
  <si>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</si>
  <si>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</si>
  <si>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</si>
  <si>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</si>
  <si>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</si>
  <si>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</si>
  <si>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</si>
  <si>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</si>
  <si>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</si>
  <si>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</si>
  <si>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</si>
  <si>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</si>
  <si>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</si>
  <si>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</si>
  <si>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</si>
  <si>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</si>
  <si>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</si>
  <si>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</si>
  <si>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</si>
  <si>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</si>
  <si>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</si>
  <si>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</si>
  <si>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</si>
  <si>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</si>
  <si>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</si>
  <si>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</si>
  <si>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</si>
  <si>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</si>
  <si>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</si>
  <si>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</si>
  <si>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</si>
  <si>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</si>
  <si>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</si>
  <si>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</si>
  <si>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</si>
  <si>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</si>
  <si>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</si>
  <si>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</si>
  <si>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</si>
  <si>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</si>
  <si>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</si>
  <si>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</si>
  <si>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</si>
  <si>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</si>
  <si>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</si>
  <si>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</si>
  <si>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</si>
  <si>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</si>
  <si>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</si>
  <si>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</si>
  <si>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</si>
  <si>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</si>
  <si>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</si>
  <si>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</si>
  <si>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</si>
  <si>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</si>
  <si>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</si>
  <si>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</si>
  <si>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</si>
  <si>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</si>
  <si>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</si>
  <si>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</si>
  <si>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</si>
  <si>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</si>
  <si>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</si>
  <si>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</si>
  <si>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</si>
  <si>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</si>
  <si>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</si>
  <si>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</si>
  <si>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</si>
  <si>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</si>
  <si>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</si>
  <si>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</si>
  <si>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</si>
  <si>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</si>
  <si>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</si>
  <si>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</si>
  <si>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</si>
  <si>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</si>
  <si>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</si>
  <si>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</si>
  <si>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</si>
  <si>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</si>
  <si>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</si>
  <si>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</si>
  <si>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</si>
  <si>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</si>
  <si>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</si>
  <si>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</si>
  <si>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</si>
  <si>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</si>
  <si>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</si>
  <si>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</si>
  <si>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</si>
  <si>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</si>
  <si>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</si>
  <si>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</si>
  <si>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</si>
  <si>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</si>
  <si>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</si>
  <si>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</si>
  <si>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</si>
  <si>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</si>
  <si>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</si>
  <si>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</si>
  <si>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</si>
  <si>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</si>
  <si>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</si>
  <si>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</si>
  <si>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</si>
  <si>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</si>
  <si>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</si>
  <si>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</si>
  <si>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</si>
  <si>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</si>
  <si>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</si>
  <si>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</si>
  <si>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</si>
  <si>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</si>
  <si>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</si>
  <si>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</si>
  <si>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</si>
  <si>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</si>
  <si>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</si>
  <si>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</si>
  <si>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</si>
  <si>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</si>
  <si>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</si>
  <si>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</si>
  <si>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</si>
  <si>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</si>
  <si>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</si>
  <si>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</si>
  <si>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</si>
  <si>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</si>
  <si>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</si>
  <si>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</si>
  <si>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</si>
  <si>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</si>
  <si>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</si>
  <si>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</si>
  <si>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</si>
  <si>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</si>
  <si>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</si>
  <si>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</si>
  <si>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</si>
  <si>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</si>
  <si>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</si>
  <si>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</si>
  <si>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</si>
  <si>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</si>
  <si>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</si>
  <si>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</si>
  <si>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</si>
  <si>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</si>
  <si>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</si>
  <si>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</si>
  <si>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</si>
  <si>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</si>
  <si>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</si>
  <si>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</si>
  <si>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</si>
  <si>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</si>
  <si>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</si>
  <si>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</si>
  <si>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</si>
  <si>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</si>
  <si>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</si>
  <si>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</si>
  <si>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</si>
  <si>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</si>
  <si>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</si>
  <si>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</si>
  <si>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</si>
  <si>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</si>
  <si>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</si>
  <si>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</si>
  <si>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</si>
  <si>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</si>
  <si>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</si>
  <si>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</si>
  <si>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</si>
  <si>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</si>
  <si>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</si>
  <si>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</si>
  <si>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</si>
  <si>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</si>
  <si>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</si>
  <si>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</si>
  <si>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</si>
  <si>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</si>
  <si>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</si>
  <si>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</si>
  <si>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</si>
  <si>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</si>
  <si>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</si>
  <si>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</si>
  <si>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</si>
  <si>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</si>
  <si>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</si>
  <si>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</si>
  <si>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</si>
  <si>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</si>
  <si>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</si>
  <si>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</si>
  <si>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</si>
  <si>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</si>
  <si>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</si>
  <si>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</si>
  <si>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</si>
  <si>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</si>
  <si>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</si>
  <si>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</si>
  <si>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</si>
  <si>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</si>
  <si>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</si>
  <si>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</si>
  <si>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</si>
  <si>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</si>
  <si>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</si>
  <si>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</si>
  <si>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</si>
  <si>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</si>
  <si>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</si>
  <si>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</si>
  <si>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</si>
  <si>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</si>
  <si>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</si>
  <si>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</si>
  <si>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</si>
  <si>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</si>
  <si>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</si>
  <si>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</si>
  <si>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</si>
  <si>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</si>
  <si>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</si>
  <si>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</si>
  <si>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</si>
  <si>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</si>
  <si>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</si>
  <si>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</si>
  <si>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</si>
  <si>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</si>
  <si>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</si>
  <si>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</si>
  <si>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</si>
  <si>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</si>
  <si>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</si>
  <si>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</si>
  <si>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</si>
  <si>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</si>
  <si>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</si>
  <si>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</si>
  <si>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</si>
  <si>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</si>
  <si>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</si>
  <si>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</si>
  <si>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</si>
  <si>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</si>
  <si>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</si>
  <si>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</si>
  <si>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</si>
  <si>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</si>
  <si>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</si>
  <si>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</si>
  <si>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</si>
  <si>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</si>
  <si>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</si>
  <si>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</si>
  <si>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</si>
  <si>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</si>
  <si>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</si>
  <si>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</si>
  <si>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</si>
  <si>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</si>
  <si>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</si>
  <si>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</si>
  <si>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</si>
  <si>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</si>
  <si>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</si>
  <si>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</si>
  <si>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</si>
  <si>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</si>
  <si>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</si>
  <si>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</si>
  <si>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</si>
  <si>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</si>
  <si>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</si>
  <si>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</si>
  <si>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</si>
  <si>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</si>
  <si>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</si>
  <si>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</si>
  <si>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</si>
  <si>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</si>
  <si>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</si>
  <si>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</si>
  <si>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</si>
  <si>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</si>
  <si>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</si>
  <si>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</si>
  <si>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</si>
  <si>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</si>
  <si>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</si>
  <si>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</si>
  <si>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</si>
  <si>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</si>
  <si>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</si>
  <si>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</si>
  <si>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</si>
  <si>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</si>
  <si>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</si>
  <si>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</si>
  <si>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</si>
  <si>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</si>
  <si>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</si>
  <si>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</si>
  <si>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</si>
  <si>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</si>
  <si>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</si>
  <si>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</si>
  <si>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</si>
  <si>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</si>
  <si>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</si>
  <si>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</si>
  <si>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</si>
  <si>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</si>
  <si>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</si>
  <si>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</si>
  <si>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</si>
  <si>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</si>
  <si>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</si>
  <si>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</si>
  <si>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</si>
  <si>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</si>
  <si>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</si>
  <si>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</si>
  <si>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</si>
  <si>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</si>
  <si>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</si>
  <si>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</si>
  <si>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</si>
  <si>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</si>
  <si>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</si>
  <si>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</si>
  <si>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</si>
  <si>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</si>
  <si>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</si>
  <si>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</si>
  <si>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</si>
  <si>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</si>
  <si>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</si>
  <si>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</si>
  <si>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</si>
  <si>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</si>
  <si>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</si>
  <si>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</si>
  <si>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</si>
  <si>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</si>
  <si>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</si>
  <si>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</si>
  <si>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</si>
  <si>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</si>
  <si>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</si>
  <si>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</si>
  <si>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</si>
  <si>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</si>
  <si>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</si>
  <si>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</si>
  <si>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</si>
  <si>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</si>
  <si>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</si>
  <si>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</si>
  <si>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</si>
  <si>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</si>
  <si>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</si>
  <si>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</si>
  <si>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</si>
  <si>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</si>
  <si>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</si>
  <si>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</si>
  <si>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</si>
  <si>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</si>
  <si>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</si>
  <si>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</si>
  <si>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</si>
  <si>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</si>
  <si>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</si>
  <si>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</si>
  <si>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</si>
  <si>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</si>
  <si>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</si>
  <si>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</si>
  <si>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</si>
  <si>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</si>
  <si>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</si>
  <si>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</si>
  <si>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</si>
  <si>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</si>
  <si>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</si>
  <si>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</si>
  <si>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</si>
  <si>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</si>
  <si>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</si>
  <si>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</si>
  <si>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</si>
  <si>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</si>
  <si>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</si>
  <si>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</si>
  <si>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</si>
  <si>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</si>
  <si>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</si>
  <si>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</si>
  <si>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</si>
  <si>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</si>
  <si>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</si>
  <si>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</si>
  <si>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</si>
  <si>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</si>
  <si>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</si>
  <si>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</si>
  <si>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</si>
  <si>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</si>
  <si>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</si>
  <si>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</si>
  <si>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</si>
  <si>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</si>
  <si>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</si>
  <si>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</si>
  <si>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</si>
  <si>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</si>
  <si>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</si>
  <si>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</si>
  <si>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</si>
  <si>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</si>
  <si>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</si>
  <si>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</si>
  <si>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</si>
  <si>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</si>
  <si>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</si>
  <si>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</si>
  <si>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</si>
  <si>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</si>
  <si>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</si>
  <si>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</si>
  <si>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</si>
  <si>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</si>
  <si>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</si>
  <si>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</si>
  <si>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</si>
  <si>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</si>
  <si>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</si>
  <si>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</si>
  <si>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</si>
  <si>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</si>
  <si>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</si>
  <si>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</si>
  <si>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</si>
  <si>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</si>
  <si>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</si>
  <si>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</si>
  <si>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</si>
  <si>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</si>
  <si>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</si>
  <si>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</si>
  <si>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</si>
  <si>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</si>
  <si>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</si>
  <si>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</si>
  <si>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</si>
  <si>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</si>
  <si>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</si>
  <si>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</si>
  <si>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</si>
  <si>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</si>
  <si>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</si>
  <si>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</si>
  <si>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</si>
  <si>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</si>
  <si>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</si>
  <si>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</si>
  <si>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</si>
  <si>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</si>
  <si>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</si>
  <si>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</si>
  <si>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</si>
  <si>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</si>
  <si>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</si>
  <si>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</si>
  <si>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</si>
  <si>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</si>
  <si>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</si>
  <si>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</si>
  <si>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</si>
  <si>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</si>
  <si>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</si>
  <si>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</si>
  <si>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</si>
  <si>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</si>
  <si>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</si>
  <si>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</si>
  <si>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</si>
  <si>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</si>
  <si>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</si>
  <si>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</si>
  <si>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</si>
  <si>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</si>
  <si>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</si>
  <si>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</si>
  <si>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</si>
  <si>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</si>
  <si>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</si>
  <si>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</si>
  <si>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</si>
  <si>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</si>
  <si>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</si>
  <si>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</si>
  <si>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</si>
  <si>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</si>
  <si>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</si>
  <si>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</si>
  <si>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</si>
  <si>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</si>
  <si>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</si>
  <si>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</si>
  <si>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</si>
  <si>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</si>
  <si>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</si>
  <si>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</si>
  <si>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</si>
  <si>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</si>
  <si>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</si>
  <si>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</si>
  <si>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</si>
  <si>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</si>
  <si>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</si>
  <si>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</si>
  <si>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</si>
  <si>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</si>
  <si>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</si>
  <si>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</si>
  <si>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</si>
  <si>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</si>
  <si>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</si>
  <si>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</si>
  <si>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</si>
  <si>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</si>
  <si>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</si>
  <si>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</si>
  <si>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</si>
  <si>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</si>
  <si>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</si>
  <si>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</si>
  <si>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</si>
  <si>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</si>
  <si>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</si>
  <si>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</si>
  <si>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</si>
  <si>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</si>
  <si>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</si>
  <si>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</si>
  <si>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</si>
  <si>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</si>
  <si>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</si>
  <si>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</si>
  <si>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</si>
  <si>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</si>
  <si>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</si>
  <si>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</si>
  <si>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</si>
  <si>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</si>
  <si>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</si>
  <si>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</si>
  <si>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</si>
  <si>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</si>
  <si>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</si>
  <si>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</si>
  <si>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</si>
  <si>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</si>
  <si>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</si>
  <si>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</si>
  <si>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</si>
  <si>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</si>
  <si>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</si>
  <si>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</si>
  <si>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</si>
  <si>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</si>
  <si>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</si>
  <si>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</si>
  <si>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</si>
  <si>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</si>
  <si>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</si>
  <si>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</si>
  <si>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</si>
  <si>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</si>
  <si>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</si>
  <si>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</si>
  <si>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</si>
  <si>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</si>
  <si>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</si>
  <si>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</si>
  <si>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</si>
  <si>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</si>
  <si>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</si>
  <si>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</si>
  <si>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</si>
  <si>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</si>
  <si>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</si>
  <si>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</si>
  <si>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</si>
  <si>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</si>
  <si>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</si>
  <si>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</si>
  <si>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</si>
  <si>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</si>
  <si>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</si>
  <si>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</si>
  <si>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</si>
  <si>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</si>
  <si>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</si>
  <si>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</si>
  <si>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</si>
  <si>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</si>
  <si>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</si>
  <si>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</si>
  <si>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</si>
  <si>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</si>
  <si>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</si>
  <si>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</si>
  <si>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</si>
  <si>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</si>
  <si>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</si>
  <si>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</si>
  <si>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</si>
  <si>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</si>
  <si>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</si>
  <si>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</si>
  <si>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</si>
  <si>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</si>
  <si>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</si>
  <si>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</si>
  <si>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</si>
  <si>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</si>
  <si>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</si>
  <si>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</si>
  <si>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</si>
  <si>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</si>
  <si>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</si>
  <si>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</si>
  <si>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</si>
  <si>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</si>
  <si>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</si>
  <si>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</si>
  <si>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</si>
  <si>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</si>
  <si>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</si>
  <si>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</si>
  <si>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</si>
  <si>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</si>
  <si>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</si>
  <si>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</si>
  <si>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</si>
  <si>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</si>
  <si>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</si>
  <si>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</si>
  <si>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</si>
  <si>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</si>
  <si>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</si>
  <si>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</si>
  <si>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</si>
  <si>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</si>
  <si>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</si>
  <si>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</si>
  <si>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</si>
  <si>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</si>
  <si>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</si>
  <si>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</si>
  <si>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</si>
  <si>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</si>
  <si>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</si>
  <si>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</si>
  <si>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</si>
  <si>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</si>
  <si>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</si>
  <si>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</si>
  <si>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</si>
  <si>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</si>
  <si>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</si>
  <si>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</si>
  <si>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</si>
  <si>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</si>
  <si>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</si>
  <si>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</si>
  <si>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</si>
  <si>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</si>
  <si>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</si>
  <si>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</si>
  <si>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</si>
  <si>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</si>
  <si>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</si>
  <si>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</si>
  <si>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</si>
  <si>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</si>
  <si>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</si>
  <si>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</si>
  <si>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</si>
  <si>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</si>
  <si>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</si>
  <si>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</si>
  <si>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</si>
  <si>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</si>
  <si>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</si>
  <si>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</si>
  <si>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</si>
  <si>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</si>
  <si>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</si>
  <si>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</si>
  <si>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</si>
  <si>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</si>
  <si>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</si>
  <si>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</si>
  <si>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</si>
  <si>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</si>
  <si>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</si>
  <si>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</si>
  <si>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</si>
  <si>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</si>
  <si>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</si>
  <si>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</si>
  <si>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</si>
  <si>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</si>
  <si>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</si>
  <si>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</si>
  <si>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</si>
  <si>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</si>
  <si>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</si>
  <si>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</si>
  <si>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</si>
  <si>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</si>
  <si>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</si>
  <si>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</si>
  <si>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</si>
  <si>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</si>
  <si>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</si>
  <si>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</si>
  <si>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</si>
  <si>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</si>
  <si>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</si>
  <si>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</si>
  <si>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</si>
  <si>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</si>
  <si>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</si>
  <si>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</si>
  <si>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</si>
  <si>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</si>
  <si>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</si>
  <si>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</si>
  <si>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</si>
  <si>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</si>
  <si>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</si>
  <si>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</si>
  <si>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</si>
  <si>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</si>
  <si>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</si>
  <si>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</si>
  <si>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</si>
  <si>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</si>
  <si>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</si>
  <si>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</si>
  <si>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</si>
  <si>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</si>
  <si>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</si>
  <si>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</si>
  <si>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</si>
  <si>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</si>
  <si>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</si>
  <si>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</si>
  <si>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</si>
  <si>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</si>
  <si>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</si>
  <si>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</si>
  <si>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</si>
  <si>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</si>
  <si>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</si>
  <si>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</si>
  <si>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</si>
  <si>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</si>
  <si>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</si>
  <si>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</si>
  <si>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</si>
  <si>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</si>
  <si>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</si>
  <si>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</si>
  <si>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</si>
  <si>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</si>
  <si>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</si>
  <si>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</si>
  <si>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</si>
  <si>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</si>
  <si>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</si>
  <si>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</si>
  <si>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</si>
  <si>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</si>
  <si>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</si>
  <si>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</si>
  <si>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</si>
  <si>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</si>
  <si>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</si>
  <si>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</si>
  <si>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</si>
  <si>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</si>
  <si>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</si>
  <si>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</si>
  <si>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</si>
  <si>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</si>
  <si>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</si>
  <si>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</si>
  <si>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</si>
  <si>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</si>
  <si>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</si>
  <si>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</si>
  <si>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</si>
  <si>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</si>
  <si>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</si>
  <si>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</si>
  <si>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</si>
  <si>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</si>
  <si>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</si>
  <si>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</si>
  <si>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</si>
  <si>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</si>
  <si>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</si>
  <si>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</si>
  <si>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</si>
  <si>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</si>
  <si>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</si>
  <si>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</si>
  <si>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</si>
  <si>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</si>
  <si>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</si>
  <si>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</si>
  <si>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</si>
  <si>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</si>
  <si>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</si>
  <si>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</si>
  <si>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</si>
  <si>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</si>
  <si>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</si>
  <si>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</si>
  <si>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</si>
  <si>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</si>
  <si>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</si>
  <si>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</si>
  <si>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</si>
  <si>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</si>
  <si>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</si>
  <si>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</si>
  <si>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</si>
  <si>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</si>
  <si>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</si>
  <si>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</si>
  <si>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</si>
  <si>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</si>
  <si>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</si>
  <si>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</si>
  <si>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</si>
  <si>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</si>
  <si>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</si>
  <si>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</si>
  <si>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</si>
  <si>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</si>
  <si>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</si>
  <si>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</si>
  <si>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</si>
  <si>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</si>
  <si>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</si>
  <si>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</si>
  <si>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</si>
  <si>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</si>
  <si>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</si>
  <si>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</si>
  <si>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</si>
  <si>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</si>
  <si>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</si>
  <si>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</si>
  <si>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</si>
  <si>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</si>
  <si>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</si>
  <si>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</si>
  <si>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</si>
  <si>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</si>
  <si>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</si>
  <si>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</si>
  <si>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</si>
  <si>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</si>
  <si>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</si>
  <si>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</si>
  <si>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</si>
  <si>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</si>
  <si>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</si>
  <si>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</si>
  <si>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</si>
  <si>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</si>
  <si>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</si>
  <si>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</si>
  <si>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</si>
  <si>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</si>
  <si>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</si>
  <si>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</si>
  <si>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</si>
  <si>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</si>
  <si>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</si>
  <si>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</si>
  <si>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</si>
  <si>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</si>
  <si>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</si>
  <si>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</si>
  <si>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</si>
  <si>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</si>
  <si>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</si>
  <si>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</si>
  <si>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</si>
  <si>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</si>
  <si>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</si>
  <si>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</si>
  <si>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</si>
  <si>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</si>
  <si>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</si>
  <si>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</si>
  <si>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</si>
  <si>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</si>
  <si>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</si>
  <si>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</si>
  <si>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</si>
  <si>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</si>
  <si>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</si>
  <si>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</si>
  <si>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</si>
  <si>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</si>
  <si>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</si>
  <si>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</si>
  <si>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</si>
  <si>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</si>
  <si>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</si>
  <si>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</si>
  <si>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</si>
  <si>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</si>
  <si>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</si>
  <si>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</si>
  <si>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</si>
  <si>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</si>
  <si>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</si>
  <si>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</si>
  <si>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</si>
  <si>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</si>
  <si>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</si>
  <si>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</si>
  <si>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</si>
  <si>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</si>
  <si>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</si>
  <si>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</si>
  <si>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</si>
  <si>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</si>
  <si>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</si>
  <si>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</si>
  <si>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</si>
  <si>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</si>
  <si>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</si>
  <si>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</si>
  <si>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</si>
  <si>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</si>
  <si>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</si>
  <si>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</si>
  <si>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</si>
  <si>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</si>
  <si>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</si>
  <si>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</si>
  <si>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</si>
  <si>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</si>
  <si>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</si>
  <si>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</si>
  <si>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</si>
  <si>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</si>
  <si>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</si>
  <si>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</si>
  <si>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</si>
  <si>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</si>
  <si>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</si>
  <si>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</si>
  <si>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</si>
  <si>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</si>
  <si>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</si>
  <si>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</si>
  <si>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</si>
  <si>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</si>
  <si>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</si>
  <si>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</si>
  <si>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</si>
  <si>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</si>
  <si>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</si>
  <si>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</si>
  <si>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</si>
  <si>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</si>
  <si>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</si>
  <si>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</si>
  <si>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</si>
  <si>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</si>
  <si>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</si>
  <si>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</si>
  <si>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</si>
  <si>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</si>
  <si>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</si>
  <si>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</si>
  <si>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</si>
  <si>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</si>
  <si>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</si>
  <si>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</si>
  <si>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</si>
  <si>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</si>
  <si>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</si>
  <si>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</si>
  <si>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</si>
  <si>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</si>
  <si>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</si>
  <si>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</si>
  <si>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</si>
  <si>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</si>
  <si>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</si>
  <si>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</si>
  <si>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</si>
  <si>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</si>
  <si>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</si>
  <si>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</si>
  <si>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</si>
  <si>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</si>
  <si>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</si>
  <si>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</si>
  <si>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</si>
  <si>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</si>
  <si>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</si>
  <si>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</si>
  <si>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</si>
  <si>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</si>
  <si>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</si>
  <si>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</si>
  <si>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</si>
  <si>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</si>
  <si>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</si>
  <si>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</si>
  <si>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</si>
  <si>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</si>
  <si>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</si>
  <si>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</si>
  <si>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</si>
  <si>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</si>
  <si>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</si>
  <si>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</si>
  <si>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</si>
  <si>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</si>
  <si>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</si>
  <si>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</si>
  <si>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</si>
  <si>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</si>
  <si>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</si>
  <si>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</si>
  <si>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</si>
  <si>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</si>
  <si>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</si>
  <si>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</si>
  <si>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</si>
  <si>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</si>
  <si>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</si>
  <si>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</si>
  <si>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</si>
  <si>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</si>
  <si>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</si>
  <si>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</si>
  <si>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</si>
  <si>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</si>
  <si>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</si>
  <si>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</si>
  <si>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</si>
  <si>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</si>
  <si>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</si>
  <si>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</si>
  <si>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</si>
  <si>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</si>
  <si>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</si>
  <si>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</si>
  <si>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</si>
  <si>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</si>
  <si>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</si>
  <si>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</si>
  <si>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</si>
  <si>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</si>
  <si>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</si>
  <si>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</si>
  <si>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</si>
  <si>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</si>
  <si>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</si>
  <si>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</si>
  <si>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</si>
  <si>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</si>
  <si>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</si>
  <si>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</si>
  <si>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</si>
  <si>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</si>
  <si>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</si>
  <si>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</si>
  <si>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</si>
  <si>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</si>
  <si>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</si>
  <si>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</si>
  <si>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</si>
  <si>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</si>
  <si>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</si>
  <si>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</si>
  <si>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</si>
  <si>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</si>
  <si>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</si>
  <si>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</si>
  <si>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</si>
  <si>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</si>
  <si>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</si>
  <si>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</si>
  <si>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</si>
  <si>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</si>
  <si>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</si>
  <si>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</si>
  <si>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</si>
  <si>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</si>
  <si>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</si>
  <si>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</si>
  <si>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</si>
  <si>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</si>
  <si>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</si>
  <si>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</si>
  <si>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</si>
  <si>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</si>
  <si>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</si>
  <si>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</si>
  <si>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</si>
  <si>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</si>
  <si>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</si>
  <si>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</si>
  <si>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</si>
  <si>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</si>
  <si>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</si>
  <si>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</si>
  <si>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</si>
  <si>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</si>
  <si>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</si>
  <si>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</si>
  <si>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</si>
  <si>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</si>
  <si>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</si>
  <si>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</si>
  <si>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</si>
  <si>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</si>
  <si>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</si>
  <si>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</si>
  <si>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</si>
  <si>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</si>
  <si>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</si>
  <si>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</si>
  <si>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</si>
  <si>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</si>
  <si>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</si>
  <si>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</si>
  <si>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</si>
  <si>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</si>
  <si>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</si>
  <si>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</si>
  <si>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</si>
  <si>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</si>
  <si>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</si>
  <si>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</si>
  <si>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</si>
  <si>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</si>
  <si>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</si>
  <si>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</si>
  <si>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</si>
  <si>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</si>
  <si>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</si>
  <si>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</si>
  <si>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</si>
  <si>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</si>
  <si>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</si>
  <si>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</si>
  <si>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</si>
  <si>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</si>
  <si>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</si>
  <si>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</si>
  <si>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</si>
  <si>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</si>
  <si>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</si>
  <si>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</si>
  <si>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</si>
  <si>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</si>
  <si>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</si>
  <si>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</si>
  <si>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</si>
  <si>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</si>
  <si>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</si>
  <si>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</si>
  <si>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</si>
  <si>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</si>
  <si>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</si>
  <si>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</si>
  <si>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</si>
  <si>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</si>
  <si>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</si>
  <si>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</si>
  <si>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</si>
  <si>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</si>
  <si>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</si>
  <si>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</si>
  <si>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</si>
  <si>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</si>
  <si>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</si>
  <si>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</si>
  <si>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</si>
  <si>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</si>
  <si>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</si>
  <si>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</si>
  <si>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</si>
  <si>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</si>
  <si>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</si>
  <si>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</si>
  <si>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</si>
  <si>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</si>
  <si>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</si>
  <si>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</si>
  <si>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</si>
  <si>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</si>
  <si>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</si>
  <si>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</si>
  <si>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</si>
  <si>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</si>
  <si>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</si>
  <si>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</si>
  <si>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</si>
  <si>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</si>
  <si>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</si>
  <si>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</si>
  <si>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</si>
  <si>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</si>
  <si>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</si>
  <si>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</si>
  <si>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</si>
  <si>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</si>
  <si>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</si>
  <si>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</si>
  <si>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</si>
  <si>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</si>
  <si>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</si>
  <si>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</si>
  <si>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</si>
  <si>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</si>
  <si>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</si>
  <si>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</si>
  <si>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</si>
  <si>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</si>
  <si>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</si>
  <si>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</si>
  <si>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</si>
  <si>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</si>
  <si>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</si>
  <si>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</si>
  <si>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</si>
  <si>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</si>
  <si>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</si>
  <si>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</si>
  <si>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</si>
  <si>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</si>
  <si>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</si>
  <si>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</si>
  <si>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</si>
  <si>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</si>
  <si>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</si>
  <si>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</si>
  <si>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</si>
  <si>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</si>
  <si>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</si>
  <si>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</si>
  <si>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</si>
  <si>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</si>
  <si>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</si>
  <si>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</si>
  <si>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</si>
  <si>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</si>
  <si>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</si>
  <si>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</si>
  <si>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</si>
  <si>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</si>
  <si>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</si>
  <si>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</si>
  <si>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</si>
  <si>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</si>
  <si>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</si>
  <si>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</si>
  <si>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</si>
  <si>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</si>
  <si>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</si>
  <si>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</si>
  <si>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</si>
  <si>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</si>
  <si>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</si>
  <si>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</si>
  <si>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</si>
  <si>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</si>
  <si>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</si>
  <si>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</si>
  <si>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</si>
  <si>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</si>
  <si>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</si>
  <si>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</si>
  <si>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</si>
  <si>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</si>
  <si>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</si>
  <si>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</si>
  <si>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</si>
  <si>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</si>
  <si>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</si>
  <si>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</si>
  <si>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</si>
  <si>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</si>
  <si>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</si>
  <si>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</si>
  <si>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</si>
  <si>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</si>
  <si>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</si>
  <si>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</si>
  <si>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</si>
  <si>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</si>
  <si>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</si>
  <si>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</si>
  <si>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</si>
  <si>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</si>
  <si>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</si>
  <si>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</si>
  <si>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</si>
  <si>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</si>
  <si>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</si>
  <si>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</si>
  <si>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</si>
  <si>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</si>
  <si>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</si>
  <si>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</si>
  <si>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</si>
  <si>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</si>
  <si>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</si>
  <si>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</si>
  <si>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</si>
  <si>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</si>
  <si>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</si>
  <si>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</si>
  <si>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</si>
  <si>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</si>
  <si>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</si>
  <si>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</si>
  <si>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</si>
  <si>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</si>
  <si>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</si>
  <si>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</si>
  <si>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</si>
  <si>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</si>
  <si>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</si>
  <si>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</si>
  <si>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</si>
  <si>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</si>
  <si>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</si>
  <si>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</si>
  <si>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</si>
  <si>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</si>
  <si>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</si>
  <si>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</si>
  <si>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</si>
  <si>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</si>
  <si>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</si>
  <si>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</si>
  <si>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</si>
  <si>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</si>
  <si>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</si>
  <si>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</si>
  <si>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</si>
  <si>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</si>
  <si>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</si>
  <si>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</si>
  <si>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</si>
  <si>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</si>
  <si>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</si>
  <si>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</si>
  <si>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</si>
  <si>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</si>
  <si>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</si>
  <si>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</si>
  <si>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</si>
  <si>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</si>
  <si>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</si>
  <si>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</si>
  <si>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</si>
  <si>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</si>
  <si>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</si>
  <si>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</si>
  <si>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</si>
  <si>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</si>
  <si>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</si>
  <si>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</si>
  <si>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</si>
  <si>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</si>
  <si>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</si>
  <si>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</si>
  <si>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</si>
  <si>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</si>
  <si>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</si>
  <si>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</si>
  <si>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</si>
  <si>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</si>
  <si>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</si>
  <si>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</si>
  <si>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</si>
  <si>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</si>
  <si>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</si>
  <si>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</si>
  <si>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</si>
  <si>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</si>
  <si>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</si>
  <si>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</si>
  <si>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</si>
  <si>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</si>
  <si>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</si>
  <si>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</si>
  <si>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</si>
  <si>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</si>
  <si>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</si>
  <si>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</si>
  <si>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</si>
  <si>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</si>
  <si>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</si>
  <si>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</si>
  <si>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</si>
  <si>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</si>
  <si>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</si>
  <si>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</si>
  <si>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</si>
  <si>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</si>
  <si>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</si>
  <si>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</si>
  <si>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</si>
  <si>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</si>
  <si>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</si>
  <si>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</si>
  <si>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</si>
  <si>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</si>
  <si>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</si>
  <si>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</si>
  <si>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</si>
  <si>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</si>
  <si>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</si>
  <si>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</si>
  <si>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</si>
  <si>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</si>
  <si>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</si>
  <si>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</si>
  <si>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</si>
  <si>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</si>
  <si>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</si>
  <si>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</si>
  <si>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</si>
  <si>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</si>
  <si>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</si>
  <si>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</si>
  <si>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</si>
  <si>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</si>
  <si>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</si>
  <si>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</si>
  <si>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</si>
  <si>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</si>
  <si>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</si>
  <si>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</si>
  <si>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</si>
  <si>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</si>
  <si>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</si>
  <si>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</si>
  <si>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</si>
  <si>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</si>
  <si>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</si>
  <si>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</si>
  <si>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</si>
  <si>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</si>
  <si>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</si>
  <si>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</si>
  <si>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</si>
  <si>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</si>
  <si>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</si>
  <si>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</si>
  <si>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</si>
  <si>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</si>
  <si>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</si>
  <si>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</si>
  <si>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</si>
  <si>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</si>
  <si>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</si>
  <si>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</si>
  <si>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</si>
  <si>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</si>
  <si>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</si>
  <si>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</si>
  <si>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</si>
  <si>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</si>
  <si>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</si>
  <si>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</si>
  <si>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</si>
  <si>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</si>
  <si>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</si>
  <si>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</si>
  <si>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</si>
  <si>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</si>
  <si>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</si>
  <si>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</si>
  <si>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</si>
  <si>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</si>
  <si>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</si>
  <si>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</si>
  <si>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</si>
  <si>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</si>
  <si>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</si>
  <si>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</si>
  <si>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</si>
  <si>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</si>
  <si>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</si>
  <si>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</si>
  <si>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</si>
  <si>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</si>
  <si>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</si>
  <si>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</si>
  <si>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</si>
  <si>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</si>
  <si>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</si>
  <si>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</si>
  <si>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</si>
  <si>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</si>
  <si>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</si>
  <si>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</si>
  <si>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</si>
  <si>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</si>
  <si>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</si>
  <si>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</si>
  <si>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</si>
  <si>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</si>
  <si>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</si>
  <si>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</si>
  <si>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</si>
  <si>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</si>
  <si>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</si>
  <si>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</si>
  <si>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</si>
  <si>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</si>
  <si>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</si>
  <si>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</si>
  <si>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</si>
  <si>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</si>
  <si>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</si>
  <si>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</si>
  <si>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</si>
  <si>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</si>
  <si>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</si>
  <si>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</si>
  <si>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</si>
  <si>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</si>
  <si>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</si>
  <si>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</si>
  <si>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</si>
  <si>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</si>
  <si>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</si>
  <si>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</si>
  <si>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</si>
  <si>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</si>
  <si>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</si>
  <si>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</si>
  <si>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</si>
  <si>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</si>
  <si>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</si>
  <si>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</si>
  <si>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</si>
  <si>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</si>
  <si>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</si>
  <si>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</si>
  <si>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</si>
  <si>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</si>
  <si>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</si>
  <si>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</si>
  <si>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</si>
  <si>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</si>
  <si>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</si>
  <si>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</si>
  <si>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</si>
  <si>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</si>
  <si>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</si>
  <si>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</si>
  <si>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</si>
  <si>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</si>
  <si>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</si>
  <si>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</si>
  <si>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</si>
  <si>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</si>
  <si>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</si>
  <si>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</si>
  <si>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</si>
  <si>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</si>
  <si>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</si>
  <si>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</si>
  <si>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</si>
  <si>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</si>
  <si>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</si>
  <si>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</si>
  <si>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</si>
  <si>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</si>
  <si>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</si>
  <si>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</si>
  <si>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</si>
  <si>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</si>
  <si>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</si>
  <si>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</si>
  <si>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</si>
  <si>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</si>
  <si>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</si>
  <si>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</si>
  <si>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</si>
  <si>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</si>
  <si>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</si>
  <si>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</si>
  <si>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</si>
  <si>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</si>
  <si>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</si>
  <si>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</si>
  <si>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</si>
  <si>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</si>
  <si>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</si>
  <si>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</si>
  <si>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</si>
  <si>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</si>
  <si>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</si>
  <si>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</si>
  <si>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</si>
  <si>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</si>
  <si>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</si>
  <si>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</si>
  <si>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</si>
  <si>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</si>
  <si>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</si>
  <si>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</si>
  <si>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</si>
  <si>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</si>
  <si>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</si>
  <si>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</si>
  <si>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</si>
  <si>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</si>
  <si>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</si>
  <si>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</si>
  <si>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</si>
  <si>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</si>
  <si>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</si>
  <si>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</si>
  <si>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</si>
  <si>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</si>
  <si>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</si>
  <si>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</si>
  <si>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</si>
  <si>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</si>
  <si>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</si>
  <si>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</si>
  <si>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</si>
  <si>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</si>
  <si>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</si>
  <si>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</si>
  <si>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</si>
  <si>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</si>
  <si>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</si>
  <si>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</si>
  <si>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</si>
  <si>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</si>
  <si>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</si>
  <si>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</si>
  <si>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</si>
  <si>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</si>
  <si>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</si>
  <si>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</si>
  <si>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</si>
  <si>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</si>
  <si>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</si>
  <si>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</si>
  <si>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</si>
  <si>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</si>
  <si>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</si>
  <si>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</si>
  <si>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</si>
  <si>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</si>
  <si>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</si>
  <si>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</si>
  <si>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</si>
  <si>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</si>
  <si>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</si>
  <si>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</si>
  <si>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</si>
  <si>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</si>
  <si>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</si>
  <si>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</si>
  <si>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</si>
  <si>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</si>
  <si>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</si>
  <si>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</si>
  <si>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</si>
  <si>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</si>
  <si>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</si>
  <si>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</si>
  <si>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</si>
  <si>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</si>
  <si>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</si>
  <si>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</si>
  <si>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</si>
  <si>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</si>
  <si>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</si>
  <si>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</si>
  <si>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</si>
  <si>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</si>
  <si>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</si>
  <si>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</si>
  <si>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</si>
  <si>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</si>
  <si>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</si>
  <si>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</si>
  <si>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</si>
  <si>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</si>
  <si>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</si>
  <si>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</si>
  <si>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</si>
  <si>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</si>
  <si>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</si>
  <si>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</si>
  <si>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</si>
  <si>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</si>
  <si>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</si>
  <si>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</si>
  <si>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</si>
  <si>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</si>
  <si>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</si>
  <si>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</si>
  <si>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</si>
  <si>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</si>
  <si>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</si>
  <si>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</si>
  <si>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</si>
  <si>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</si>
  <si>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</si>
  <si>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</si>
  <si>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</si>
  <si>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</si>
  <si>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</si>
  <si>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</si>
  <si>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</si>
  <si>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</si>
  <si>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</si>
  <si>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</si>
  <si>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</si>
  <si>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</si>
  <si>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</si>
  <si>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</si>
  <si>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</si>
  <si>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</si>
  <si>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</si>
  <si>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</si>
  <si>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</si>
  <si>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</si>
  <si>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</si>
  <si>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</si>
  <si>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</si>
  <si>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</si>
  <si>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</si>
  <si>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</si>
  <si>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</si>
  <si>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</si>
  <si>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</si>
  <si>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</si>
  <si>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</si>
  <si>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</si>
  <si>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</si>
  <si>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</si>
  <si>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</si>
  <si>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</si>
  <si>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</si>
  <si>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</si>
  <si>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</si>
  <si>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</si>
  <si>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</si>
  <si>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</si>
  <si>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</si>
  <si>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</si>
  <si>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</si>
  <si>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</si>
  <si>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</si>
  <si>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</si>
  <si>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</si>
  <si>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</si>
  <si>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</si>
  <si>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</si>
  <si>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</si>
  <si>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</si>
  <si>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</si>
  <si>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</si>
  <si>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</si>
  <si>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</si>
  <si>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</si>
  <si>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</si>
  <si>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</si>
  <si>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</si>
  <si>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</si>
  <si>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</si>
  <si>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</si>
  <si>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</si>
  <si>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</si>
  <si>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</si>
  <si>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</si>
  <si>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</si>
  <si>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</si>
  <si>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</si>
  <si>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</si>
  <si>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</si>
  <si>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</si>
  <si>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</si>
  <si>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</si>
  <si>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</si>
  <si>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</si>
  <si>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</si>
  <si>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</si>
  <si>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</si>
  <si>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</si>
  <si>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</si>
  <si>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</si>
  <si>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</si>
  <si>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</si>
  <si>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</si>
  <si>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</si>
  <si>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</si>
  <si>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</si>
  <si>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</si>
  <si>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</si>
  <si>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</si>
  <si>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</si>
  <si>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</si>
  <si>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</si>
  <si>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</si>
  <si>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</si>
  <si>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</si>
  <si>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</si>
  <si>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</si>
  <si>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</si>
  <si>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</si>
  <si>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</si>
  <si>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</si>
  <si>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</si>
  <si>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</si>
  <si>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</si>
  <si>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</si>
  <si>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</si>
  <si>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</si>
  <si>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</si>
  <si>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</si>
  <si>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</si>
  <si>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</si>
  <si>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</si>
  <si>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</si>
  <si>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</si>
  <si>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</si>
  <si>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</si>
  <si>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</si>
  <si>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</si>
  <si>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</si>
  <si>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</si>
  <si>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</si>
  <si>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</si>
  <si>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</si>
  <si>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</si>
  <si>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</si>
  <si>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</si>
  <si>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</si>
  <si>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</si>
  <si>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</si>
  <si>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</si>
  <si>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</si>
  <si>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</si>
  <si>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</si>
  <si>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</si>
  <si>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</si>
  <si>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</si>
  <si>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</si>
  <si>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</si>
  <si>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</si>
  <si>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</si>
  <si>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</si>
  <si>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</si>
  <si>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</si>
  <si>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</si>
  <si>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</si>
  <si>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</si>
  <si>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</si>
  <si>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</si>
  <si>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</si>
  <si>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</si>
  <si>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</si>
  <si>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</si>
  <si>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</si>
  <si>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</si>
  <si>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</si>
  <si>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</si>
  <si>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</si>
  <si>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</si>
  <si>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</si>
  <si>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</si>
  <si>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</si>
  <si>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</si>
  <si>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</si>
  <si>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</si>
  <si>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</si>
  <si>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</si>
  <si>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</si>
  <si>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</si>
  <si>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</si>
  <si>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</si>
  <si>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</si>
  <si>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</si>
  <si>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</si>
  <si>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</si>
  <si>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</si>
  <si>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</si>
  <si>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</si>
  <si>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</si>
  <si>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</si>
  <si>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</si>
  <si>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</si>
  <si>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</si>
  <si>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</si>
  <si>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</si>
  <si>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</si>
  <si>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</si>
  <si>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</si>
  <si>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</si>
  <si>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</si>
  <si>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</si>
  <si>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</si>
  <si>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</si>
  <si>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</si>
  <si>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</si>
  <si>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</si>
  <si>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</si>
  <si>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</si>
  <si>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</si>
  <si>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</si>
  <si>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</si>
  <si>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</si>
  <si>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</si>
  <si>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</si>
  <si>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</si>
  <si>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</si>
  <si>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</si>
  <si>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</si>
  <si>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</si>
  <si>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</si>
  <si>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</si>
  <si>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</si>
  <si>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</si>
  <si>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</si>
  <si>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</si>
  <si>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</si>
  <si>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</si>
  <si>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</si>
  <si>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</si>
  <si>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</si>
  <si>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</si>
  <si>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</si>
  <si>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</si>
  <si>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</si>
  <si>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</si>
  <si>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</si>
  <si>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</si>
  <si>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</si>
  <si>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</si>
  <si>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</si>
  <si>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</si>
  <si>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</si>
  <si>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</si>
  <si>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</si>
  <si>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</si>
  <si>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</si>
  <si>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</si>
  <si>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</si>
  <si>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</si>
  <si>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</si>
  <si>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</si>
  <si>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</si>
  <si>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</si>
  <si>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</si>
  <si>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</si>
  <si>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</si>
  <si>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</si>
  <si>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</si>
  <si>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</si>
  <si>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</si>
  <si>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</si>
  <si>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</si>
  <si>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</si>
  <si>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</si>
  <si>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</si>
  <si>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</si>
  <si>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</si>
  <si>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</si>
  <si>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</si>
  <si>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</si>
  <si>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</si>
  <si>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</si>
  <si>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</si>
  <si>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</si>
  <si>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</si>
  <si>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</si>
  <si>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</si>
  <si>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</si>
  <si>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</si>
  <si>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</si>
  <si>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</si>
  <si>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</si>
  <si>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</si>
  <si>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</si>
  <si>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</si>
  <si>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</si>
  <si>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</si>
  <si>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</si>
  <si>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</si>
  <si>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</si>
  <si>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</si>
  <si>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</si>
  <si>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</si>
  <si>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</si>
  <si>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</si>
  <si>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</si>
  <si>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</si>
  <si>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</si>
  <si>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</si>
  <si>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</si>
  <si>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</si>
  <si>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</si>
  <si>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</si>
  <si>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</si>
  <si>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</si>
  <si>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</si>
  <si>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</si>
  <si>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</si>
  <si>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</si>
  <si>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</si>
  <si>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</si>
  <si>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</si>
  <si>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</si>
  <si>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</si>
  <si>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</si>
  <si>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</si>
  <si>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</si>
  <si>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</si>
  <si>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</si>
  <si>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</si>
  <si>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</si>
  <si>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</si>
  <si>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</si>
  <si>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</si>
  <si>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</si>
  <si>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</si>
  <si>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</si>
  <si>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</si>
  <si>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</si>
  <si>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</si>
  <si>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</si>
  <si>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</si>
  <si>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</si>
  <si>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</si>
  <si>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</si>
  <si>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</si>
  <si>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</si>
  <si>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</si>
  <si>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</si>
  <si>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</si>
  <si>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</si>
  <si>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</si>
  <si>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</si>
  <si>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</si>
  <si>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</si>
  <si>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</si>
  <si>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</si>
  <si>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</si>
  <si>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</si>
  <si>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</si>
  <si>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</si>
  <si>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</si>
  <si>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</si>
  <si>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</si>
  <si>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</si>
  <si>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</si>
  <si>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</si>
  <si>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</si>
  <si>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</si>
  <si>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</si>
  <si>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</si>
  <si>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</si>
  <si>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</si>
  <si>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</si>
  <si>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</si>
  <si>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</si>
  <si>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</si>
  <si>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</si>
  <si>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</si>
  <si>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</si>
  <si>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</si>
  <si>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</si>
  <si>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</si>
  <si>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</si>
  <si>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</si>
  <si>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</si>
  <si>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</si>
  <si>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</si>
  <si>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</si>
  <si>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</si>
  <si>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</si>
  <si>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</si>
  <si>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</si>
  <si>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</si>
  <si>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</si>
  <si>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</si>
  <si>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</si>
  <si>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</si>
  <si>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</si>
  <si>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</si>
  <si>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</si>
  <si>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</si>
  <si>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</si>
  <si>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</si>
  <si>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</si>
  <si>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</si>
  <si>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</si>
  <si>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</si>
  <si>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</si>
  <si>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</si>
  <si>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</si>
  <si>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</si>
  <si>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</si>
  <si>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</si>
  <si>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</si>
  <si>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</si>
  <si>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</si>
  <si>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</si>
  <si>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</si>
  <si>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</si>
  <si>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</si>
  <si>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</si>
  <si>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</si>
  <si>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</si>
  <si>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</si>
  <si>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</si>
  <si>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</si>
  <si>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</si>
  <si>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</si>
  <si>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</si>
  <si>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</si>
  <si>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</si>
  <si>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</si>
  <si>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</si>
  <si>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</si>
  <si>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</si>
  <si>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</si>
  <si>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</si>
  <si>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</si>
  <si>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</si>
  <si>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</si>
  <si>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</si>
  <si>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</si>
  <si>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</si>
  <si>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</si>
  <si>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</si>
  <si>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</si>
  <si>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</si>
  <si>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</si>
  <si>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</si>
  <si>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</si>
  <si>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</si>
  <si>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</si>
  <si>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</si>
  <si>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</si>
  <si>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</si>
  <si>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</si>
  <si>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</si>
  <si>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</si>
  <si>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</si>
  <si>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</si>
  <si>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</si>
  <si>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</si>
  <si>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</si>
  <si>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</si>
  <si>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</si>
  <si>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</si>
  <si>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</si>
  <si>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</si>
  <si>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</si>
  <si>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</si>
  <si>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</si>
  <si>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</si>
  <si>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</si>
  <si>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</si>
  <si>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</si>
  <si>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</si>
  <si>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</si>
  <si>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</si>
  <si>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</si>
  <si>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</si>
  <si>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</si>
  <si>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</si>
  <si>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</si>
  <si>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</si>
  <si>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</si>
  <si>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</si>
  <si>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</si>
  <si>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</si>
  <si>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</si>
  <si>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</si>
  <si>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</si>
  <si>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</si>
  <si>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</si>
  <si>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</si>
  <si>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</si>
  <si>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</si>
  <si>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</si>
  <si>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</si>
  <si>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</si>
  <si>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</si>
  <si>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</si>
  <si>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</si>
  <si>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</si>
  <si>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</si>
  <si>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</si>
  <si>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</si>
  <si>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</si>
  <si>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</si>
  <si>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</si>
  <si>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</si>
  <si>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</si>
  <si>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</si>
  <si>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</si>
  <si>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</si>
  <si>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</si>
  <si>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</si>
  <si>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</si>
  <si>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</si>
  <si>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</si>
  <si>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</si>
  <si>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</si>
  <si>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</si>
  <si>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</si>
  <si>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</si>
  <si>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</si>
  <si>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</si>
  <si>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</si>
  <si>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</si>
  <si>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</si>
  <si>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</si>
  <si>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</si>
  <si>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</si>
  <si>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</si>
  <si>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</si>
  <si>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</si>
  <si>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</si>
  <si>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</si>
  <si>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</si>
  <si>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</si>
  <si>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</si>
  <si>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</si>
  <si>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</si>
  <si>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</si>
  <si>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</si>
  <si>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</si>
  <si>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</si>
  <si>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</si>
  <si>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</si>
  <si>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</si>
  <si>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</si>
  <si>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</si>
  <si>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</si>
  <si>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</si>
  <si>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</si>
  <si>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</si>
  <si>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</si>
  <si>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</si>
  <si>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</si>
  <si>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</si>
  <si>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</si>
  <si>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</si>
  <si>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</si>
  <si>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</si>
  <si>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</si>
  <si>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</si>
  <si>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</si>
  <si>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</si>
  <si>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</si>
  <si>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</si>
  <si>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</si>
  <si>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</si>
  <si>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</si>
  <si>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</si>
  <si>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</si>
  <si>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</si>
  <si>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</si>
  <si>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</si>
  <si>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</si>
  <si>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</si>
  <si>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</si>
  <si>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</si>
  <si>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</si>
  <si>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</si>
  <si>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</si>
  <si>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</si>
  <si>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</si>
  <si>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</si>
  <si>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</si>
  <si>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</si>
  <si>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</si>
  <si>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</si>
  <si>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</si>
  <si>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</si>
  <si>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</si>
  <si>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</si>
  <si>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</si>
  <si>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</si>
  <si>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</si>
  <si>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</si>
  <si>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</si>
  <si>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</si>
  <si>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</si>
  <si>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</si>
  <si>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</si>
  <si>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</si>
  <si>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</si>
  <si>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</si>
  <si>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</si>
  <si>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</si>
  <si>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</si>
  <si>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</si>
  <si>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</si>
  <si>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</si>
  <si>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</si>
  <si>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</si>
  <si>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</si>
  <si>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</si>
  <si>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</si>
  <si>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</si>
  <si>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</si>
  <si>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</si>
  <si>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</si>
  <si>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</si>
  <si>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</si>
  <si>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</si>
  <si>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</si>
  <si>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</si>
  <si>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</si>
  <si>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</si>
  <si>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</si>
  <si>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</si>
  <si>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</si>
  <si>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</si>
  <si>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</si>
  <si>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</si>
  <si>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</si>
  <si>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</si>
  <si>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</si>
  <si>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</si>
  <si>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</si>
  <si>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</si>
  <si>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</si>
  <si>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</si>
  <si>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</si>
  <si>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</si>
  <si>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</si>
  <si>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</si>
  <si>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</si>
  <si>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</si>
  <si>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</si>
  <si>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</si>
  <si>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</si>
  <si>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</si>
  <si>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</si>
  <si>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</si>
  <si>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</si>
  <si>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</si>
  <si>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</si>
  <si>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</si>
  <si>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</si>
  <si>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</si>
  <si>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</si>
  <si>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</si>
  <si>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</si>
  <si>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</si>
  <si>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</si>
  <si>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</si>
  <si>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</si>
  <si>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</si>
  <si>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</si>
  <si>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</si>
  <si>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</si>
  <si>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</si>
  <si>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</si>
  <si>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</si>
  <si>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</si>
  <si>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</si>
  <si>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</si>
  <si>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</si>
  <si>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</si>
  <si>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</si>
  <si>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</si>
  <si>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</si>
  <si>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</si>
  <si>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</si>
  <si>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</si>
  <si>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</si>
  <si>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</si>
  <si>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</si>
  <si>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</si>
  <si>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</si>
  <si>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</si>
  <si>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</si>
  <si>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</si>
  <si>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</si>
  <si>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</si>
  <si>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</si>
  <si>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</si>
  <si>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</si>
  <si>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</si>
  <si>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</si>
  <si>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</si>
  <si>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</si>
  <si>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</si>
  <si>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</si>
  <si>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</si>
  <si>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</si>
  <si>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</si>
  <si>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</si>
  <si>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</si>
  <si>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</si>
  <si>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</si>
  <si>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</si>
  <si>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</si>
  <si>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</si>
  <si>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</si>
  <si>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</si>
  <si>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</si>
  <si>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</si>
  <si>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</si>
  <si>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</si>
  <si>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</si>
  <si>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</si>
  <si>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</si>
  <si>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</si>
  <si>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</si>
  <si>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</si>
  <si>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</si>
  <si>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</si>
  <si>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</si>
  <si>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</si>
  <si>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</si>
  <si>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</si>
  <si>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</si>
  <si>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</si>
  <si>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</si>
  <si>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</si>
  <si>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</si>
  <si>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</si>
  <si>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</si>
  <si>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</si>
  <si>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</si>
  <si>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</si>
  <si>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</si>
  <si>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</si>
  <si>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</si>
  <si>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</si>
  <si>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</si>
  <si>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</si>
  <si>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</si>
  <si>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</si>
  <si>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</si>
  <si>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</si>
  <si>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</si>
  <si>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</si>
  <si>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</si>
  <si>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</si>
  <si>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</si>
  <si>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</si>
  <si>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</si>
  <si>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</si>
  <si>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</si>
  <si>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</si>
  <si>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</si>
  <si>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</si>
  <si>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</si>
  <si>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</si>
  <si>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</si>
  <si>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</si>
  <si>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</si>
  <si>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</si>
  <si>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</si>
  <si>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</si>
  <si>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</si>
  <si>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</si>
  <si>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</si>
  <si>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</si>
  <si>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</si>
  <si>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</si>
  <si>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</si>
  <si>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</si>
  <si>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</si>
  <si>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</si>
  <si>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</si>
  <si>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</si>
  <si>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</si>
  <si>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</si>
  <si>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</si>
  <si>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</si>
  <si>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</si>
  <si>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</si>
  <si>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</si>
  <si>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</si>
  <si>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</si>
  <si>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</si>
  <si>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</si>
  <si>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</si>
  <si>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</si>
  <si>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</si>
  <si>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</si>
  <si>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</si>
  <si>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</si>
  <si>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</si>
  <si>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</si>
  <si>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</si>
  <si>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</si>
  <si>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</si>
  <si>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</si>
  <si>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</si>
  <si>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</si>
  <si>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</si>
  <si>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</si>
  <si>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</si>
  <si>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</si>
  <si>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</si>
  <si>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</si>
  <si>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</si>
  <si>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</si>
  <si>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</si>
  <si>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</si>
  <si>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</si>
  <si>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</si>
  <si>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</si>
  <si>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</si>
  <si>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</si>
  <si>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</si>
  <si>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</si>
  <si>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</si>
  <si>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</si>
  <si>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</si>
  <si>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</si>
  <si>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</si>
  <si>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</si>
  <si>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</si>
  <si>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</si>
  <si>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</si>
  <si>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</si>
  <si>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</si>
  <si>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</si>
  <si>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</si>
  <si>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</si>
  <si>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</si>
  <si>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</si>
  <si>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</si>
  <si>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</si>
  <si>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</si>
  <si>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</si>
  <si>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</si>
  <si>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</si>
  <si>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</si>
  <si>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</si>
  <si>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</si>
  <si>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</si>
  <si>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</si>
  <si>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</si>
  <si>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</si>
  <si>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</si>
  <si>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</si>
  <si>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</si>
  <si>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</si>
  <si>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</si>
  <si>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</si>
  <si>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</si>
  <si>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</si>
  <si>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</si>
  <si>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</si>
  <si>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</si>
  <si>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</si>
  <si>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</si>
  <si>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</si>
  <si>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</si>
  <si>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</si>
  <si>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</si>
  <si>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</si>
  <si>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</si>
  <si>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</si>
  <si>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</si>
  <si>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</si>
  <si>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</si>
  <si>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</si>
  <si>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</si>
  <si>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</si>
  <si>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</si>
  <si>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</si>
  <si>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</si>
  <si>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</si>
  <si>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</si>
  <si>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</si>
  <si>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</si>
  <si>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</si>
  <si>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</si>
  <si>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</si>
  <si>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</si>
  <si>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</si>
  <si>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</si>
  <si>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</si>
  <si>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</si>
  <si>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</si>
  <si>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</si>
  <si>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</si>
  <si>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</si>
  <si>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</si>
  <si>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</si>
  <si>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</si>
  <si>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</si>
  <si>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</si>
  <si>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</si>
  <si>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</si>
  <si>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</si>
  <si>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</si>
  <si>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</si>
  <si>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</si>
  <si>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</si>
  <si>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</si>
  <si>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</si>
  <si>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</si>
  <si>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</si>
  <si>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</si>
  <si>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</si>
  <si>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</si>
  <si>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</si>
  <si>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</si>
  <si>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</si>
  <si>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</si>
  <si>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</si>
  <si>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</si>
  <si>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</si>
  <si>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</si>
  <si>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</si>
  <si>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</si>
  <si>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</si>
  <si>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</si>
  <si>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</si>
  <si>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</si>
  <si>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</si>
  <si>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</si>
  <si>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</si>
  <si>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</si>
  <si>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</si>
  <si>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</si>
  <si>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</si>
  <si>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</si>
  <si>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</si>
  <si>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</si>
  <si>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</si>
  <si>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</si>
  <si>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</si>
  <si>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</si>
  <si>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</si>
  <si>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</si>
  <si>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</si>
  <si>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</si>
  <si>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</si>
  <si>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</si>
  <si>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</si>
  <si>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</si>
  <si>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</si>
  <si>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</si>
  <si>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</si>
  <si>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</si>
  <si>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</si>
  <si>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</si>
  <si>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</si>
  <si>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</si>
  <si>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</si>
  <si>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</si>
  <si>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</si>
  <si>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</si>
  <si>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</si>
  <si>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</si>
  <si>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</si>
  <si>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</si>
  <si>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</si>
  <si>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</si>
  <si>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</si>
  <si>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</si>
  <si>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</si>
  <si>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</si>
  <si>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</si>
  <si>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</si>
  <si>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</si>
  <si>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</si>
  <si>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</si>
  <si>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</si>
  <si>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</si>
  <si>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</si>
  <si>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</si>
  <si>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</si>
  <si>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</si>
  <si>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</si>
  <si>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</si>
  <si>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</si>
  <si>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</si>
  <si>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</si>
  <si>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</si>
  <si>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</si>
  <si>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</si>
  <si>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</si>
  <si>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</si>
  <si>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</si>
  <si>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</si>
  <si>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</si>
  <si>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</si>
  <si>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</si>
  <si>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</si>
  <si>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</si>
  <si>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</si>
  <si>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</si>
  <si>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</si>
  <si>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</si>
  <si>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</si>
  <si>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</si>
  <si>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</si>
  <si>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</si>
  <si>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</si>
  <si>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</si>
  <si>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</si>
  <si>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</si>
  <si>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</si>
  <si>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</si>
  <si>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</si>
  <si>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</si>
  <si>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</si>
  <si>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</si>
  <si>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</si>
  <si>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</si>
  <si>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</si>
  <si>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</si>
  <si>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</si>
  <si>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</si>
  <si>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</si>
  <si>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</si>
  <si>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</si>
  <si>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</si>
  <si>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</si>
  <si>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</si>
  <si>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</si>
  <si>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</si>
  <si>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</si>
  <si>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</si>
  <si>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</si>
  <si>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</si>
  <si>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</si>
  <si>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</si>
  <si>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</si>
  <si>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</si>
  <si>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</si>
  <si>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</si>
  <si>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</si>
  <si>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</si>
  <si>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</si>
  <si>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</si>
  <si>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</si>
  <si>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</si>
  <si>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</si>
  <si>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</si>
  <si>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</si>
  <si>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</si>
  <si>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</si>
  <si>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</si>
  <si>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</si>
  <si>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</si>
  <si>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</si>
  <si>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</si>
  <si>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</si>
  <si>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</si>
  <si>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</si>
  <si>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</si>
  <si>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</si>
  <si>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</si>
  <si>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</si>
  <si>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</si>
  <si>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</si>
  <si>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</si>
  <si>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</si>
  <si>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</si>
  <si>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</si>
  <si>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</si>
  <si>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</si>
  <si>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</si>
  <si>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</si>
  <si>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</si>
  <si>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</si>
  <si>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</si>
  <si>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</si>
  <si>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</si>
  <si>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</si>
  <si>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</si>
  <si>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</si>
  <si>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</si>
  <si>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</si>
  <si>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</si>
  <si>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</si>
  <si>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</si>
  <si>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</si>
  <si>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</si>
  <si>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</si>
  <si>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</si>
  <si>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</si>
  <si>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</si>
  <si>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</si>
  <si>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</si>
  <si>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</si>
  <si>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</si>
  <si>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</si>
  <si>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</si>
  <si>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</si>
  <si>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</si>
  <si>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</si>
  <si>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</si>
  <si>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</si>
  <si>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</si>
  <si>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</si>
  <si>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</si>
  <si>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</si>
  <si>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</si>
  <si>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</si>
  <si>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</si>
  <si>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</si>
  <si>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</si>
  <si>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</si>
  <si>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</si>
  <si>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</si>
  <si>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</si>
  <si>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</si>
  <si>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</si>
  <si>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</si>
  <si>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</si>
  <si>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</si>
  <si>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</si>
  <si>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</si>
  <si>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</si>
  <si>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</si>
  <si>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</si>
  <si>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</si>
  <si>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</si>
  <si>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</si>
  <si>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</si>
  <si>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</si>
  <si>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</si>
  <si>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</si>
  <si>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</si>
  <si>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</si>
  <si>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</si>
  <si>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</si>
  <si>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</si>
  <si>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</si>
  <si>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</si>
  <si>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</si>
  <si>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</si>
  <si>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</si>
  <si>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</si>
  <si>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</si>
  <si>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</si>
  <si>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</si>
  <si>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</si>
  <si>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</si>
  <si>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</si>
  <si>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</si>
  <si>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</si>
  <si>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</si>
  <si>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</si>
  <si>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</si>
  <si>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</si>
  <si>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</si>
  <si>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</si>
  <si>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</si>
  <si>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</si>
  <si>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</si>
  <si>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</si>
  <si>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</si>
  <si>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</si>
  <si>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</si>
  <si>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</si>
  <si>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</si>
  <si>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</si>
  <si>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</si>
  <si>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</si>
  <si>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</si>
  <si>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</si>
  <si>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</si>
  <si>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</si>
  <si>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</si>
  <si>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</si>
  <si>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</si>
  <si>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</si>
  <si>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</si>
  <si>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</si>
  <si>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</si>
  <si>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</si>
  <si>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</si>
  <si>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</si>
  <si>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</si>
  <si>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</si>
  <si>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</si>
  <si>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</si>
  <si>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</si>
  <si>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</si>
  <si>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</si>
  <si>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</si>
  <si>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</si>
  <si>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</si>
  <si>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</si>
  <si>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</si>
  <si>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</si>
  <si>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</si>
  <si>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</si>
  <si>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</si>
  <si>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</si>
  <si>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</si>
  <si>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</si>
  <si>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</si>
  <si>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</si>
  <si>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</si>
  <si>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</si>
  <si>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</si>
  <si>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</si>
  <si>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</si>
  <si>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</si>
  <si>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</si>
  <si>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</si>
  <si>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</si>
  <si>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</si>
  <si>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</si>
  <si>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</si>
  <si>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</si>
  <si>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</si>
  <si>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</si>
  <si>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</si>
  <si>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</si>
  <si>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</si>
  <si>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</si>
  <si>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</si>
  <si>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</si>
  <si>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</si>
  <si>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</si>
  <si>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</si>
  <si>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</si>
  <si>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</si>
  <si>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</si>
  <si>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</si>
  <si>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</si>
  <si>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</si>
  <si>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</si>
  <si>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</si>
  <si>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</si>
  <si>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</si>
  <si>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</si>
  <si>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</si>
  <si>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</si>
  <si>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</si>
  <si>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</si>
  <si>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</si>
  <si>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</si>
  <si>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</si>
  <si>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</si>
  <si>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</si>
  <si>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</si>
  <si>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</si>
  <si>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</si>
  <si>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</si>
  <si>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</si>
  <si>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</si>
  <si>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</si>
  <si>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</si>
  <si>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</si>
  <si>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</si>
  <si>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</si>
  <si>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</si>
  <si>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</si>
  <si>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</si>
  <si>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</si>
  <si>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</si>
  <si>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</si>
  <si>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</si>
  <si>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</si>
  <si>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</si>
  <si>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</si>
  <si>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</si>
  <si>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</si>
  <si>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</si>
  <si>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</si>
  <si>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</si>
  <si>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</si>
  <si>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</si>
  <si>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</si>
  <si>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</si>
  <si>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</si>
  <si>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</si>
  <si>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</si>
  <si>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</si>
  <si>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</si>
  <si>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</si>
  <si>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</si>
  <si>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</si>
  <si>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</si>
  <si>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</si>
  <si>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</si>
  <si>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</si>
  <si>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</si>
  <si>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</si>
  <si>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</si>
  <si>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</si>
  <si>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</si>
  <si>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</si>
  <si>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</si>
  <si>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</si>
  <si>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</si>
  <si>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</si>
  <si>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</si>
  <si>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</si>
  <si>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</si>
  <si>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</si>
  <si>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</si>
  <si>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</si>
  <si>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</si>
  <si>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</si>
  <si>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</si>
  <si>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</si>
  <si>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</si>
  <si>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</si>
  <si>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</si>
  <si>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</si>
  <si>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</si>
  <si>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</si>
  <si>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</si>
  <si>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</si>
  <si>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</si>
  <si>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</si>
  <si>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</si>
  <si>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</si>
  <si>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</si>
  <si>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</si>
  <si>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</si>
  <si>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</si>
  <si>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</si>
  <si>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</si>
  <si>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</si>
  <si>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</si>
  <si>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</si>
  <si>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</si>
  <si>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</si>
  <si>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</si>
  <si>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</si>
  <si>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</si>
  <si>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</si>
  <si>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</si>
  <si>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</si>
  <si>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</si>
  <si>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</si>
  <si>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</si>
  <si>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</si>
  <si>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</si>
  <si>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</si>
  <si>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</si>
  <si>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</si>
  <si>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</si>
  <si>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</si>
  <si>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</si>
  <si>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</si>
  <si>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</si>
  <si>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</si>
  <si>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</si>
  <si>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</si>
  <si>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</si>
  <si>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</si>
  <si>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</si>
  <si>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</si>
  <si>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</si>
  <si>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</si>
  <si>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</si>
  <si>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</si>
  <si>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</si>
  <si>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</si>
  <si>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</si>
  <si>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</si>
  <si>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</si>
  <si>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</si>
  <si>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</si>
  <si>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</si>
  <si>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</si>
  <si>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</si>
  <si>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</si>
  <si>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</si>
  <si>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</si>
  <si>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</si>
  <si>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</si>
  <si>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</si>
  <si>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</si>
  <si>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</si>
  <si>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</si>
  <si>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</si>
  <si>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</si>
  <si>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</si>
  <si>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</si>
  <si>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</si>
  <si>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</si>
  <si>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</si>
  <si>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</si>
  <si>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</si>
  <si>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</si>
  <si>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</si>
  <si>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</si>
  <si>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</si>
  <si>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</si>
  <si>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</si>
  <si>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</si>
  <si>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</si>
  <si>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</si>
  <si>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</si>
  <si>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</si>
  <si>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</si>
  <si>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</si>
  <si>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</si>
  <si>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</si>
  <si>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</si>
  <si>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</si>
  <si>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</si>
  <si>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</si>
  <si>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</si>
  <si>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</si>
  <si>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</si>
  <si>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</si>
  <si>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</si>
  <si>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</si>
  <si>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</si>
  <si>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</si>
  <si>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</si>
  <si>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</si>
  <si>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</si>
  <si>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</si>
  <si>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</si>
  <si>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</si>
  <si>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</si>
  <si>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</si>
  <si>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</si>
  <si>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</si>
  <si>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</si>
  <si>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</si>
  <si>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</si>
  <si>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</si>
  <si>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</si>
  <si>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</si>
  <si>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</si>
  <si>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</si>
  <si>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</si>
  <si>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</si>
  <si>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</si>
  <si>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</si>
  <si>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</si>
  <si>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</si>
  <si>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</si>
  <si>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</si>
  <si>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</si>
  <si>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</si>
  <si>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</si>
  <si>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</si>
  <si>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</si>
  <si>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</si>
  <si>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</si>
  <si>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</si>
  <si>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</si>
  <si>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</si>
  <si>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</si>
  <si>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</si>
  <si>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</si>
  <si>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</si>
  <si>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</si>
  <si>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</si>
  <si>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</si>
  <si>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</si>
  <si>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</si>
  <si>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</si>
  <si>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</si>
  <si>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</si>
  <si>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</si>
  <si>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</si>
  <si>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</si>
  <si>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</si>
  <si>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</si>
  <si>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</si>
  <si>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</si>
  <si>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</si>
  <si>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</si>
  <si>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</si>
  <si>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</si>
  <si>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</si>
  <si>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</si>
  <si>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</si>
  <si>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</si>
  <si>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</si>
  <si>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</si>
  <si>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</si>
  <si>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</si>
  <si>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</si>
  <si>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</si>
  <si>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</si>
  <si>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</si>
  <si>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</si>
  <si>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</si>
  <si>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</si>
  <si>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</si>
  <si>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</si>
  <si>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</si>
  <si>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</si>
  <si>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</si>
  <si>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</si>
  <si>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</si>
  <si>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</si>
  <si>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</si>
  <si>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</si>
  <si>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</si>
  <si>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</si>
  <si>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</si>
  <si>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</si>
  <si>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</si>
  <si>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</si>
  <si>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</si>
  <si>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</si>
  <si>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</si>
  <si>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</si>
  <si>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</si>
  <si>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</si>
  <si>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</si>
  <si>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</si>
  <si>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</si>
  <si>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</si>
  <si>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</si>
  <si>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</si>
  <si>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</si>
  <si>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</si>
  <si>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</si>
  <si>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</si>
  <si>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</si>
  <si>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</si>
  <si>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</si>
  <si>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</si>
  <si>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</si>
  <si>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</si>
  <si>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</si>
  <si>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</si>
  <si>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</si>
  <si>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</si>
  <si>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</si>
  <si>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</si>
  <si>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</si>
  <si>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</si>
  <si>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</si>
  <si>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</si>
  <si>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</si>
  <si>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</si>
  <si>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</si>
  <si>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</si>
  <si>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</si>
  <si>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</si>
  <si>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</si>
  <si>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</si>
  <si>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</si>
  <si>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</si>
  <si>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</si>
  <si>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</si>
  <si>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</si>
  <si>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</si>
  <si>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</si>
  <si>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</si>
  <si>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</si>
  <si>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</si>
  <si>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</si>
  <si>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</si>
  <si>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</si>
  <si>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</si>
  <si>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</si>
  <si>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</si>
  <si>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</si>
  <si>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</si>
  <si>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</si>
  <si>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</si>
  <si>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</si>
  <si>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</si>
  <si>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</si>
  <si>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</si>
  <si>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</si>
  <si>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</si>
  <si>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</si>
  <si>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</si>
  <si>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</si>
  <si>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</si>
  <si>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</si>
  <si>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</si>
  <si>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</si>
  <si>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</si>
  <si>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</si>
  <si>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</si>
  <si>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</si>
  <si>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</si>
  <si>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</si>
  <si>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</si>
  <si>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</si>
  <si>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</si>
  <si>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</si>
  <si>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</si>
  <si>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</si>
  <si>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</si>
  <si>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</si>
  <si>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</si>
  <si>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</si>
  <si>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</si>
  <si>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</si>
  <si>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</si>
  <si>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</si>
  <si>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</si>
  <si>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</si>
  <si>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</si>
  <si>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</si>
  <si>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</si>
  <si>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</si>
  <si>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</si>
  <si>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</si>
  <si>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</si>
  <si>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</si>
  <si>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</si>
  <si>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</si>
  <si>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</si>
  <si>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</si>
  <si>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</si>
  <si>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</si>
  <si>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</si>
  <si>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</si>
  <si>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</si>
  <si>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</si>
  <si>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</si>
  <si>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</si>
  <si>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</si>
  <si>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</si>
  <si>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</si>
  <si>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</si>
  <si>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</si>
  <si>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</si>
  <si>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</si>
  <si>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</si>
  <si>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</si>
  <si>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</si>
  <si>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</si>
  <si>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</si>
  <si>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</si>
  <si>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</si>
  <si>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</si>
  <si>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</si>
  <si>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</si>
  <si>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</si>
  <si>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</si>
  <si>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</si>
  <si>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</si>
  <si>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</si>
  <si>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</si>
  <si>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</si>
  <si>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</si>
  <si>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</si>
  <si>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</si>
  <si>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</si>
  <si>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</si>
  <si>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</si>
  <si>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</si>
  <si>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</si>
  <si>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</si>
  <si>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</si>
  <si>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</si>
  <si>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</si>
  <si>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</si>
  <si>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</si>
  <si>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</si>
  <si>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</si>
  <si>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</si>
  <si>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</si>
  <si>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</si>
  <si>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</si>
  <si>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</si>
  <si>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</si>
  <si>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</si>
  <si>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</si>
  <si>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</si>
  <si>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</si>
  <si>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</si>
  <si>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</si>
  <si>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</si>
  <si>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</si>
  <si>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</si>
  <si>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</si>
  <si>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</si>
  <si>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</si>
  <si>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</si>
  <si>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</si>
  <si>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</si>
  <si>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</si>
  <si>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</si>
  <si>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</si>
  <si>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</si>
  <si>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</si>
  <si>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</si>
  <si>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</si>
  <si>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</si>
  <si>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</si>
  <si>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</si>
  <si>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</si>
  <si>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</si>
  <si>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</si>
  <si>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</si>
  <si>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</si>
  <si>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</si>
  <si>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</si>
  <si>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</si>
  <si>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</si>
  <si>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</si>
  <si>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</si>
  <si>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</si>
  <si>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</si>
  <si>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</si>
  <si>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</si>
  <si>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</si>
  <si>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</si>
  <si>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</si>
  <si>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</si>
  <si>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</si>
  <si>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</si>
  <si>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</si>
  <si>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</si>
  <si>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</si>
  <si>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</si>
  <si>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</si>
  <si>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</si>
  <si>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</si>
  <si>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</si>
  <si>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</si>
  <si>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</si>
  <si>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</si>
  <si>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</si>
  <si>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</si>
  <si>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</si>
  <si>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</si>
  <si>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</si>
  <si>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</si>
  <si>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</si>
  <si>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</si>
  <si>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</si>
  <si>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</si>
  <si>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</si>
  <si>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</si>
  <si>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</si>
  <si>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</si>
  <si>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</si>
  <si>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</si>
  <si>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</si>
  <si>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</si>
  <si>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</si>
  <si>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</si>
  <si>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</si>
  <si>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</si>
  <si>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</si>
  <si>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</si>
  <si>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</si>
  <si>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</si>
  <si>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</si>
  <si>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</si>
  <si>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</si>
  <si>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</si>
  <si>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</si>
  <si>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</si>
  <si>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</si>
  <si>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</si>
  <si>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</si>
  <si>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</si>
  <si>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</si>
  <si>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</si>
  <si>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</si>
  <si>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</si>
  <si>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</si>
  <si>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</si>
  <si>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</si>
  <si>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</si>
  <si>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</si>
  <si>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</si>
  <si>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</si>
  <si>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</si>
  <si>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</si>
  <si>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</si>
  <si>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</si>
  <si>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</si>
  <si>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</si>
  <si>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</si>
  <si>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</si>
  <si>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</si>
  <si>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</si>
  <si>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</si>
  <si>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</si>
  <si>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</si>
  <si>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</si>
  <si>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</si>
  <si>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</si>
  <si>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</si>
  <si>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</si>
  <si>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</si>
  <si>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</si>
  <si>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</si>
  <si>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</si>
  <si>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</si>
  <si>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</si>
  <si>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</si>
  <si>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</si>
  <si>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</si>
  <si>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</si>
  <si>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</si>
  <si>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</si>
  <si>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</si>
  <si>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</si>
  <si>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</si>
  <si>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</si>
  <si>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</si>
  <si>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</si>
  <si>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</si>
  <si>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</si>
  <si>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</si>
  <si>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</si>
  <si>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</si>
  <si>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</si>
  <si>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</si>
  <si>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</si>
  <si>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</si>
  <si>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</si>
  <si>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</si>
  <si>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</si>
  <si>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</si>
  <si>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</si>
  <si>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</si>
  <si>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</si>
  <si>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The Hitchhiker’s Guide to the Family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</si>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</sst>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2B2B2B"/>
      <name val="Calibri"/>
      <family val="2"/>
    </font>
    <font>
      <sz val="11"/>
      <color rgb="FF2B2B2B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0" fontId="0" fillId="0" borderId="0" xfId="0" applyNumberFormat="1"/>
    <xf numFmtId="0" fontId="0" fillId="2" borderId="0" xfId="2" applyNumberFormat="1" applyFont="1" applyFill="1"/>
    <xf numFmtId="0" fontId="1" fillId="2" borderId="0" xfId="2" applyNumberFormat="1" applyFont="1" applyFill="1" applyAlignment="1">
      <alignment horizontal="center"/>
    </xf>
    <xf numFmtId="0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1" applyNumberFormat="1" applyFont="1" applyAlignment="1">
      <alignment wrapText="1"/>
    </xf>
    <xf numFmtId="0" fontId="0" fillId="0" borderId="0" xfId="0" applyAlignment="1">
      <alignment vertical="center" wrapText="1"/>
    </xf>
    <xf numFmtId="165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3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Parent</a:t>
            </a:r>
            <a:r>
              <a:rPr lang="zh-CN" altLang="en-US" baseline="0"/>
              <a:t> </a:t>
            </a:r>
            <a:r>
              <a:rPr lang="en-US" altLang="zh-CN" baseline="0"/>
              <a:t>Category</a:t>
            </a:r>
            <a:r>
              <a:rPr lang="zh-CN" altLang="en-US" baseline="0"/>
              <a:t> </a:t>
            </a:r>
            <a:r>
              <a:rPr lang="en-US" altLang="zh-CN" baseline="0"/>
              <a:t>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EF-C549-B6F1-B141FD24D40A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EF-C549-B6F1-B141FD24D40A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EF-C549-B6F1-B141FD24D40A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'Parent 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EF-C549-B6F1-B141FD24D4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78817488"/>
        <c:axId val="1378676608"/>
      </c:barChart>
      <c:catAx>
        <c:axId val="137881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676608"/>
        <c:crosses val="autoZero"/>
        <c:auto val="1"/>
        <c:lblAlgn val="ctr"/>
        <c:lblOffset val="100"/>
        <c:noMultiLvlLbl val="0"/>
      </c:catAx>
      <c:valAx>
        <c:axId val="137867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81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Subcategory</a:t>
            </a:r>
            <a:r>
              <a:rPr lang="zh-CN" altLang="en-US"/>
              <a:t> </a:t>
            </a:r>
            <a:r>
              <a:rPr lang="en-US" altLang="zh-CN"/>
              <a:t>Statistics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79-6347-AB59-D3732FF36EA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A79-6347-AB59-D3732FF36EA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A79-6347-AB59-D3732FF36E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04211408"/>
        <c:axId val="1404327856"/>
      </c:barChart>
      <c:catAx>
        <c:axId val="140421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327856"/>
        <c:crosses val="autoZero"/>
        <c:auto val="1"/>
        <c:lblAlgn val="ctr"/>
        <c:lblOffset val="100"/>
        <c:noMultiLvlLbl val="0"/>
      </c:catAx>
      <c:valAx>
        <c:axId val="140432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421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70C0"/>
            </a:solidFill>
            <a:round/>
          </a:ln>
          <a:effectLst/>
        </c:spPr>
        <c:marker>
          <c:symbol val="circle"/>
          <c:size val="5"/>
          <c:spPr>
            <a:solidFill>
              <a:srgbClr val="0070C0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tx2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bg2">
                <a:lumMod val="50000"/>
              </a:schemeClr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51-3745-88C3-C80C267E63C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50000"/>
                </a:schemeClr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051-3745-88C3-C80C267E63C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70C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051-3745-88C3-C80C267E63C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051-3745-88C3-C80C267E63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22684032"/>
        <c:axId val="1422685664"/>
      </c:lineChart>
      <c:catAx>
        <c:axId val="1422684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85664"/>
        <c:crosses val="autoZero"/>
        <c:auto val="1"/>
        <c:lblAlgn val="ctr"/>
        <c:lblOffset val="100"/>
        <c:noMultiLvlLbl val="0"/>
      </c:catAx>
      <c:valAx>
        <c:axId val="1422685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684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Outcomes</a:t>
            </a:r>
            <a:r>
              <a:rPr lang="zh-CN" altLang="en-US" baseline="0"/>
              <a:t> </a:t>
            </a:r>
            <a:r>
              <a:rPr lang="en-US" altLang="zh-CN" baseline="0"/>
              <a:t>Based</a:t>
            </a:r>
            <a:r>
              <a:rPr lang="zh-CN" altLang="en-US" baseline="0"/>
              <a:t> </a:t>
            </a:r>
            <a:r>
              <a:rPr lang="en-US" altLang="zh-CN" baseline="0"/>
              <a:t>on</a:t>
            </a:r>
            <a:r>
              <a:rPr lang="zh-CN" altLang="en-US" baseline="0"/>
              <a:t> </a:t>
            </a:r>
            <a:r>
              <a:rPr lang="en-US" altLang="zh-CN" baseline="0"/>
              <a:t>Goals</a:t>
            </a:r>
          </a:p>
        </c:rich>
      </c:tx>
      <c:layout>
        <c:manualLayout>
          <c:xMode val="edge"/>
          <c:yMode val="edge"/>
          <c:x val="0.3781714963219861"/>
          <c:y val="2.84630002288245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BD-6D42-A3E0-ED70640C34C7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BD-6D42-A3E0-ED70640C34C7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BD-6D42-A3E0-ED70640C3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63782688"/>
        <c:axId val="984584480"/>
      </c:lineChart>
      <c:catAx>
        <c:axId val="146378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4584480"/>
        <c:crosses val="autoZero"/>
        <c:auto val="1"/>
        <c:lblAlgn val="ctr"/>
        <c:lblOffset val="100"/>
        <c:noMultiLvlLbl val="0"/>
      </c:catAx>
      <c:valAx>
        <c:axId val="98458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378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Chart Title</a:t>
            </a:r>
          </a:p>
        </cx:rich>
      </cx:tx>
    </cx:title>
    <cx:plotArea>
      <cx:plotAreaRegion>
        <cx:series layoutId="boxWhisker" uniqueId="{CEB0BDEB-D04D-134B-BA16-7DD922D25708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EDBD13C-01A6-7244-906C-C8B790E53805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DBA5402-3C93-7945-93C1-926D84C5C4A4}">
  <sheetPr/>
  <sheetViews>
    <sheetView zoomScale="9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374650</xdr:colOff>
      <xdr:row>5</xdr:row>
      <xdr:rowOff>12700</xdr:rowOff>
    </xdr:from>
    <xdr:to>
      <xdr:col>9</xdr:col>
      <xdr:colOff>311150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CFD0E-21C9-7D4E-B875-70E35D0F19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457200</xdr:colOff>
      <xdr:row>4</xdr:row>
      <xdr:rowOff>12700</xdr:rowOff>
    </xdr:from>
    <xdr:to>
      <xdr:col>11</xdr:col>
      <xdr:colOff>685800</xdr:colOff>
      <xdr:row>18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556E4-7344-7640-9FEA-0626234506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711200</xdr:colOff>
      <xdr:row>22</xdr:row>
      <xdr:rowOff>38100</xdr:rowOff>
    </xdr:from>
    <xdr:to>
      <xdr:col>7</xdr:col>
      <xdr:colOff>114300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796A8C-4B32-7A40-9092-F447B0734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778932</xdr:colOff>
      <xdr:row>14</xdr:row>
      <xdr:rowOff>127000</xdr:rowOff>
    </xdr:from>
    <xdr:to>
      <xdr:col>7</xdr:col>
      <xdr:colOff>355601</xdr:colOff>
      <xdr:row>40</xdr:row>
      <xdr:rowOff>135466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CF9C9-ADA6-1240-B4A1-7832FDE224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62737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C66DEE-BAB9-0442-BA49-856F6428446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AE7A06-DCC1-454F-B529-C4CA81AF3BF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737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Li" refreshedDate="43968.035382986112" createdVersion="6" refreshedVersion="6" minRefreshableVersion="3" recordCount="4114" xr:uid="{752F18BD-0EA3-FE49-8BEF-20ACF7C9A21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lody Li" refreshedDate="43968.067404398149" createdVersion="6" refreshedVersion="6" minRefreshableVersion="3" recordCount="4114" xr:uid="{C1877245-BAAD-0745-AACA-92D779194F1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CD485D-E27A-A743-9D32-B35CA58B37E9}" name="PivotTable1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14ABF9-AB7F-DC49-9E98-29448D49FCA7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517352-838B-3D46-ABB0-55C34EEC3A60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D1" zoomScaleNormal="100" workbookViewId="0">
      <selection activeCell="H3195" sqref="H319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style="12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0" customWidth="1"/>
    <col min="16" max="16" width="27.1640625" customWidth="1"/>
    <col min="17" max="17" width="41.1640625" customWidth="1"/>
    <col min="18" max="18" width="19" customWidth="1"/>
    <col min="19" max="19" width="21.83203125" style="18" customWidth="1"/>
    <col min="20" max="20" width="21.33203125" style="18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2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2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2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2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2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2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2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2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2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2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2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2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2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2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2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2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2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2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2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2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2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2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2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2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2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2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2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2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2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2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2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2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2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2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2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2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2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2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2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2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2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2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2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2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2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2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2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2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2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2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2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2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2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2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2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2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2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2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2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2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2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2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2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2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2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2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2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2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2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2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2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2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2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2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2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2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2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2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2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2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2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2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2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2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2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2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2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2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2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2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2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2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2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2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2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2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2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2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2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2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2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2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2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2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2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2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2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2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2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2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2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2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2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2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2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2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2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2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2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2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2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2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2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2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2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2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2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2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2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2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2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2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2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2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2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2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2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2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2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2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2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2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2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2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2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2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2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2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2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2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2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2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2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2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2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2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2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2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2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2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2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2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2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2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2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2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2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2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2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2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2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2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2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2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2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2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2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2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2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2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2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2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2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2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2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2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2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2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2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2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2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2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2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2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2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2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2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2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2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2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2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2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2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2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2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2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2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2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2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2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2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2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2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2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2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2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2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2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2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2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2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2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2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2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2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2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2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2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2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2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2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2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2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2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2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2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2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2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2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2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2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2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2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2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2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2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2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2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2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2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2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2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2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2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2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2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2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2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2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2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2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2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2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2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2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2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2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2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2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2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2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2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2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2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2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2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2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2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2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2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2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2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2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2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2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2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2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2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2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2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2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2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2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2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2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2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2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2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2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2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2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2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2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2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2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2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2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2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2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2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2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2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2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2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2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2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2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2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2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2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2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2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2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2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2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2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2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2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2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2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2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2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2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2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2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2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2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2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2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2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2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2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2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2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2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2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2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2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2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2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2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2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2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2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2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2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2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2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2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2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2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2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2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2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2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2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2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2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2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2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2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2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2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2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2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2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2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2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2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2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2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2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2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2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2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2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2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2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2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2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2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2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2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2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2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2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2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2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2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2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2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2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2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2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2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2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2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2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2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2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2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2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2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2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2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2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2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2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2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2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2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2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2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2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2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2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2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2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2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2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2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2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2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2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2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2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2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2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2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2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2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2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2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2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2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2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2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2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2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2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2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2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2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2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2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2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2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2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2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2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2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2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2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2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2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2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2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2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2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2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2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2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2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2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2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2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2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2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2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2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2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2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2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2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2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2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2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2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2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2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2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2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2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2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2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2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2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2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2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2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2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2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2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2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2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2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2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2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2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2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2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2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2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2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2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2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2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2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2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2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2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2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2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2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2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2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2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2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2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2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2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2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2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2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2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2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2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2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2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2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2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2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2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2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2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2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2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2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2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2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2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2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2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2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2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2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2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2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2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2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2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2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2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2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2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2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2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2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2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2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2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2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2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2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2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2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2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2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2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2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2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2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2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2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2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2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2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2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2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2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2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2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2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2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2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2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2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2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2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2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2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2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2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2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2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2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2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2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2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2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2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2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2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2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2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2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2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2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2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2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2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2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2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2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2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2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2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2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2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2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2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2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2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2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2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2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2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2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2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2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2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2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2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2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2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2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2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2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2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2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2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2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2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2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2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2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2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2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2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2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2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2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2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2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2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2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2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2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2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2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2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2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2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2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2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2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2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2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2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2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2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2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2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2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2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2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2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2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2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2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2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2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2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2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2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2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2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2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2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2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2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2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2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2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2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2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2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2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2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2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2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2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2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2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2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2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2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2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2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2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2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2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2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2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2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2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2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2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2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2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2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2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2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2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2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2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2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2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2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2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2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2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2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2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2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2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2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2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2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2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2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2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2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2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2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2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2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2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2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2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2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2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2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2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2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2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2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2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2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2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2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2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2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2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2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2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2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2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2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2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2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2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2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2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2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2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2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2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2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2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2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2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2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2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2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2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2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2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2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2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2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2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2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2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2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2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2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2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2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2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2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2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2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2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2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2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2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2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2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2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2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2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2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2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2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2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2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2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2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2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2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2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2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2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2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2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2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2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2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2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2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2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2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2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2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2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2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2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2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2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2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2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2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2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2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2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2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2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2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2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2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2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2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2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2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2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2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2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2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2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2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2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2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2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2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2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2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2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2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2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2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2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2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2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2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2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2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2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2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2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2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2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2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2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2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2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2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2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2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2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2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2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2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2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2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2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2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2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2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2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2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2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2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2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2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2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2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2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2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2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2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2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2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2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2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2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2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2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2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2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2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2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2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2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2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2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2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2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2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2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2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2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2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2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2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2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2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2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2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2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2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2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2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2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2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2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2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2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2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2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2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2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2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2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2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2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2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2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2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2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2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2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2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2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2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2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2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2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2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2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2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2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2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2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2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2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2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2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2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2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2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2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2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2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2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2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2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2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2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2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2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2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2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2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2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2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2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2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2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2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2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2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2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2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2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2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2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2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2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2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2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2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2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2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2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2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2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2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2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2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2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2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2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2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2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2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2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2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2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2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2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2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2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2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2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2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2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2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2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2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2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2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2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2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2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2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2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2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2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2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2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2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2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2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2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2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2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2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2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2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2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2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2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2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2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2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2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2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2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2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2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2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2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2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2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2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2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2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2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2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2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2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2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2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2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2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2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2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2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2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2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2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2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2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2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2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2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2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2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2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2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2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2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2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2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2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2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2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2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2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2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2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2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2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2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2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2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2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2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2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2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2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2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2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2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2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2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2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2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2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2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2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2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2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2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2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2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2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2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2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2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2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2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2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2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2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2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2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2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2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2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2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2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2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2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2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2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2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2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2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2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2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2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2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2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2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2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2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2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2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2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2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2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2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2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2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2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2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2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2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2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2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2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2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2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2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2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2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2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2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2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2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2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2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2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2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2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2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2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2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2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2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2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2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2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2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2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2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2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2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2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2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2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2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2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2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2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2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2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2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2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2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2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2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2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2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2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2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2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2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2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2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2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2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2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2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2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2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2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2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2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2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2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2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2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2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2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2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2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2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2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2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2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2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2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2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2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2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2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2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2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2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2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2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2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2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2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2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2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2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2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2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2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2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2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2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2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2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2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2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2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2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2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2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2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2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2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2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2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2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2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2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2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2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2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2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2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2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2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2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2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2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2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2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2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2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2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2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2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2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2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2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2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2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2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2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2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2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2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2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2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2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2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2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2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2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2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2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2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2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2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2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2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2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2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2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2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2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2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2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2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2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2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2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2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2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2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2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2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2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2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2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2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2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2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2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2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2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2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2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2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2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2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2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2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2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2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2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2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2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2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2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2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2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2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2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2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2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2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2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2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2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2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2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2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2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2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2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2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2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2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2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2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2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2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2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2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2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2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2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2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2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2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2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2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2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2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2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2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2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2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2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2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2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2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2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2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2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2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2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2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2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2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2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2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2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2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2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2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2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2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2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2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2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2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2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2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2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2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2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2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2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2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2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2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2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2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2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2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2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2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2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2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2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2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2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2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2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2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2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2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2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2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2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2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2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2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2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2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2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2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2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2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2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2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2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2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2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2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2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2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2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2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2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2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2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2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2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2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2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2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2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2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2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2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2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2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2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2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2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2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2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2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2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2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2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2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2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2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2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2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2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2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2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2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2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2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2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2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2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2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2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2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2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2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2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2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2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2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2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2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2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2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2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2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2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2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2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2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2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2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2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2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2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2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2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2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2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2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2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2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2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2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2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2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2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2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2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2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2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2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2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2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2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2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2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2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2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2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2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2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2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2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2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2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2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2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2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2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2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2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2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2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2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2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2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2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2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2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2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2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2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2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2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2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2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2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2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2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2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2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2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2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2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2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2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2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2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2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2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2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2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2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2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2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2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2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2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2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2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2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2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2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2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2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2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2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2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2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2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2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2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2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2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2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2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2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2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2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2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2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2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2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2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2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2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2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2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2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2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2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2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2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2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2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2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2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2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2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2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2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2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2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2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2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2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2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2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2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2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2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2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2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2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2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2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2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2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2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2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2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2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2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2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2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2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2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2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2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2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2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2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2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2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2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2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2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2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2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2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2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2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2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2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2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2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2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2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2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2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2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2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2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2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2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2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2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2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2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2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2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2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2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2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2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2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2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2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2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2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2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2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2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2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2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2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2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2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2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2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2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2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2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2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2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2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2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2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2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2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2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2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2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2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2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2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2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2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2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2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2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2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2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2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2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2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2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2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2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2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2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2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2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2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2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2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2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2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2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2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2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2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2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2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2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2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2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2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2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2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2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2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2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2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2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2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2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2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2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2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2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2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2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2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2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2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2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2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2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2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2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2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2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2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2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2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2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2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2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2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2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2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2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2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2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2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2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2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2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2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2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2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2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2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2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2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2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2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2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2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2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2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2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2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2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2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2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2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2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2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2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2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2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2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2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2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2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2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2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2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2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2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2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2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2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2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2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2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2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2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2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2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2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2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2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2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2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2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2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2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2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2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2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2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2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2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2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2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2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2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2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2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2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2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2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2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2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2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2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2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2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2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2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2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2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2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2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2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2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2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2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2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2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2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2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2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2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2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2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2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2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2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2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2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2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2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2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2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2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2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2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2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2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2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2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2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2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2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2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2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2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2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2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2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2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2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2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2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2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2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2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2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2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2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2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2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2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2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2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2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2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2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2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2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2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2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2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2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2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2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2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2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2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2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2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2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2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2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2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2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2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2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2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2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2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2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2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2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2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2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2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2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2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2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2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2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2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2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2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2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2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2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2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2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2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2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2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2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2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2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2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2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2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2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2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2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2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2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2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2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2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2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2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2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2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2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2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2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2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2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2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2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2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2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2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2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2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2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2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2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2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2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2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2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2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2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2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2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2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2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2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2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2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2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2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2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2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2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2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2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2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2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2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2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2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2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2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2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2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2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2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2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2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2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2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2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2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2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2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2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2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2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2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2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2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2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2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2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2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2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2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2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2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2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2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2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2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2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2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2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2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2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2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2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2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2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2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2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2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2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2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2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2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2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2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2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2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2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2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2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2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2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2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2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2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2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2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2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2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2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2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2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2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2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2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2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2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2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2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2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2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2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2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2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2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2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2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2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2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2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2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2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2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2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2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2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2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2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2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2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2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2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2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2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2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2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2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2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2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2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2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2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2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2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2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2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2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2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2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2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2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2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2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2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2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2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2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2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2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2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2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2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2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2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2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2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2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2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2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2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2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2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2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2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2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2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2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2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2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2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2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2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2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2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2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2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2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2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2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2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2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2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2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2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2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2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2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2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2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2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2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2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2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2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2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2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2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2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2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2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2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2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2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2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2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2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2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2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2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2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2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2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2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2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2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2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2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2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2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2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2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2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2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2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2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2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2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2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2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2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2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2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2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2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2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2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2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2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2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2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2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2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2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2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2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2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2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2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2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2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2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2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2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2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2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2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2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2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2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2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2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2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2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2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2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2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2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2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2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2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2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2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2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2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2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2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2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2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2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2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2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2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2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2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2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2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2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2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2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2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2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2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2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2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2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2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2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2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2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2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2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2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2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2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2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2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2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2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2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2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2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2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2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2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2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2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2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2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2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2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2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2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2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2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2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2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2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2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2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2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2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2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2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2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2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2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2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2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2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2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2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2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2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2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2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2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2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2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2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2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2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2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2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2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2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2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2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2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2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2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2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2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2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2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2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2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2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2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2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2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2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2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2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2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2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2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2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2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2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2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2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2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2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2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2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2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2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2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2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2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2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2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2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2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2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2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2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2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2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2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2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2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2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2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2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2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2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2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2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2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2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2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2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2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2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2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2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2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2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2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2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2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2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2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2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2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2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2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2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2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2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2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2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2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2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2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2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2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2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2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2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2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2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2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2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2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2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2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2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2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2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2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2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2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2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2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2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2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2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2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2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2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2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2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2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2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2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2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2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2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2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2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2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2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2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2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2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2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2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2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2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2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2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2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2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2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2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2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2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2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2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2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2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2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2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2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2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2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2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2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2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2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2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2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2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2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2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2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2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2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hidden="1" x14ac:dyDescent="0.2">
      <c r="A2847">
        <v>2845</v>
      </c>
      <c r="B2847" s="3" t="s">
        <v>2845</v>
      </c>
      <c r="C2847" s="26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2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2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2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2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2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2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2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2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2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2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2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2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2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2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2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2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2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2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2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2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2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2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2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2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2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2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2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2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2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2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2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2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2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2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2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2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2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2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2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2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2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2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2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2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2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2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2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2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2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2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2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2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2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2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2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2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2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2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2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2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2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2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2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2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2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2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2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2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2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2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2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2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2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2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2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2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2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2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2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2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2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2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2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2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2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2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2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2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2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2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2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2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2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2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2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2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2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2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2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2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2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2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2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2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2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2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2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2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2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2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2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2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2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2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2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2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2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2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2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2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2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2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2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2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2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2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2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2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2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2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2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2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2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2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2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2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2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2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2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2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2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2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2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2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2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2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2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2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2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2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2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2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2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2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2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2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2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2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2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2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2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2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2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2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2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2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2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2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2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2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2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2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2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2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2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2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2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2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2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2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2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2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2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2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2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2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2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2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2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2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2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2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2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2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2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2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2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2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2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2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2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2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2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2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2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2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2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2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2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2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2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2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2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2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2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2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2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2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2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2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2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2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2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2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2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2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2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2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2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2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2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2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2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2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2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2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2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2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2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2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2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2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2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2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2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2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2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2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2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2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2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2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2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2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2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2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2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2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2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2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2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2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2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2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2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2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2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2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2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2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2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2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2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2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2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2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2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2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2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2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2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2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2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2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2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2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2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2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2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2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2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2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2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2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2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2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2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2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2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2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2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2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2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2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2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2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2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2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2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2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2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2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2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2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2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2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2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2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2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2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2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2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2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2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2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2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2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2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2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2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2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2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2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2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2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2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2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2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2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2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2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2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2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2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2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2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2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2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2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2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2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2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2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2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2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2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2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2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2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2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2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2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2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2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2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2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2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2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2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2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2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2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2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2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2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2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2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2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2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2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2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2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2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2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2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2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2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2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2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2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2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2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2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2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2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2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2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2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2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2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2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2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2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2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2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2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2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2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2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2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2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2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2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2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2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2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2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2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2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2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2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2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2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2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2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2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2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2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2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2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2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2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2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2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2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2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2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2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2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2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2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2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2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2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2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2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2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2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2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2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2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2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2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2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2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2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2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2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2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2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2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2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2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2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2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2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2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2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2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2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2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2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2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2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2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2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2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2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2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2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2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2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2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2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2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2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2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2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2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2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2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2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2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2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2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2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2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2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2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2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2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2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2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2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2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2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2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2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2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2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2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2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2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2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2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2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2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2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2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2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2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2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2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2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2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2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2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2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2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2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2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2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2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2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2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2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2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2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2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2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2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2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2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2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2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2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2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2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2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2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2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2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2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2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2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2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2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2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2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2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2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2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2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2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2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2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2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2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2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2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2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2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2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2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2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2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2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2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2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2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2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2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2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2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2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2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2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2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2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2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2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2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2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2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2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2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2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2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2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2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2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2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2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2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2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2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2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2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2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2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2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2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2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2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2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2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2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2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2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2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2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2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2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2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2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2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2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2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2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2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2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2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2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2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2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2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2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2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2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2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2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2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2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2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2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2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2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2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2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2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2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2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2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2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2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2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2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2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2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2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2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2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2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2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2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2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2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2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2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2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2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2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2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2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2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2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2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2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2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2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2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2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2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2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2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2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2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2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2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2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2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2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2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2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2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2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2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2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2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2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2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2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2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2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2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2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2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2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2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2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2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2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2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2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2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2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2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2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2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2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2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2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2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2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2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2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2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2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2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2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2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2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2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2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2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2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2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2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2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2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2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2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2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2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2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2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2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2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2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2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2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2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2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2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2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2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2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2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2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2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2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2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2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2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2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2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2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2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2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2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2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2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2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2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2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2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2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2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2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2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2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2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2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2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2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2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2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2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2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2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2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2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2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2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2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2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2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2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2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2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2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2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2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2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2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2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2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2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2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2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2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2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2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2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2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2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2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2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2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2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2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2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2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2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2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2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2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2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2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2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2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2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2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2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2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2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2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2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2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2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2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2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2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2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2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2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2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2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2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2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2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2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2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2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2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2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2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2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2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2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2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2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2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2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2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2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2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2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2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2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2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2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2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2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2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2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2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2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2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2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2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2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2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2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2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2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2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2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2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2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2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2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2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2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2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2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2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2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2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2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2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2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2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2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2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2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2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2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2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2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2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2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2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2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2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2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2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2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2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2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2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2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2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2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2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2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2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2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2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2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2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2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2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2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2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2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2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2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2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2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2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2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2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2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2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2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2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2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2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2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2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2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2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2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2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2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2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2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2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2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2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2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2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2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2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2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2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2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2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2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2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2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2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2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2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2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2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2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2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2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2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2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2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2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2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2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2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2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2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2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2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2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2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2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2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2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2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2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2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2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2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2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2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2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2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2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2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2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2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2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2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2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2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2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2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2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2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2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2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2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2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2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2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2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2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2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2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2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2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2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2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2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2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2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2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2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2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2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2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2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2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2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2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2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2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2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2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2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2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2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2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2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2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2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2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2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2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2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2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2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2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2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2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2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2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2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2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2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2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2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2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2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2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2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2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2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2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2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2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2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2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2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2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2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2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2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2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2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2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2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2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2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2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2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2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2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2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2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2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2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2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2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2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2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2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2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2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2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2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2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2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2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2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2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2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2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2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2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2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2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2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2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2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2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2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2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2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2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2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2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2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2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2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2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2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2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2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2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2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2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2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2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18325C08-439B-ED45-8138-6451C0FE3985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12" operator="containsText" text="canceled">
      <formula>NOT(ISERROR(SEARCH("canceled",F1)))</formula>
    </cfRule>
    <cfRule type="containsText" dxfId="10" priority="13" operator="containsText" text="failed">
      <formula>NOT(ISERROR(SEARCH("failed",F1)))</formula>
    </cfRule>
    <cfRule type="containsText" dxfId="9" priority="15" operator="containsText" text="successful">
      <formula>NOT(ISERROR(SEARCH("successful",F1)))</formula>
    </cfRule>
    <cfRule type="containsText" dxfId="8" priority="17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C00000"/>
        <color theme="4" tint="-0.249977111117893"/>
      </colorScale>
    </cfRule>
    <cfRule type="colorScale" priority="4">
      <colorScale>
        <cfvo type="min"/>
        <cfvo type="max"/>
        <color rgb="FFC00000"/>
        <color theme="3" tint="0.59999389629810485"/>
      </colorScale>
    </cfRule>
    <cfRule type="colorScale" priority="5">
      <colorScale>
        <cfvo type="min"/>
        <cfvo type="max"/>
        <color rgb="FFFF7128"/>
        <color rgb="FFFFEF9C"/>
      </colorScale>
    </cfRule>
    <cfRule type="colorScale" priority="6">
      <colorScale>
        <cfvo type="min"/>
        <cfvo type="max"/>
        <color rgb="FFC00000"/>
        <color theme="4" tint="0.59999389629810485"/>
      </colorScale>
    </cfRule>
    <cfRule type="colorScale" priority="7">
      <colorScale>
        <cfvo type="min"/>
        <cfvo type="max"/>
        <color rgb="FFC00000"/>
        <color theme="4" tint="0.59999389629810485"/>
      </colorScale>
    </cfRule>
    <cfRule type="colorScale" priority="8">
      <colorScale>
        <cfvo type="min"/>
        <cfvo type="max"/>
        <color theme="4" tint="0.59999389629810485"/>
        <color rgb="FFFFEF9C"/>
      </colorScale>
    </cfRule>
    <cfRule type="colorScale" priority="11">
      <colorScale>
        <cfvo type="min"/>
        <cfvo type="max"/>
        <color rgb="FFFF0000"/>
        <color theme="3" tint="0.59999389629810485"/>
      </colorScale>
    </cfRule>
  </conditionalFormatting>
  <conditionalFormatting sqref="N796">
    <cfRule type="colorScale" priority="9">
      <colorScale>
        <cfvo type="min"/>
        <cfvo type="max"/>
        <color rgb="FFFF7128"/>
        <color rgb="FFFFEF9C"/>
      </colorScale>
    </cfRule>
    <cfRule type="colorScale" priority="10">
      <colorScale>
        <cfvo type="min"/>
        <cfvo type="max"/>
        <color rgb="FFC00000"/>
        <color theme="3" tint="0.39997558519241921"/>
      </colorScale>
    </cfRule>
  </conditionalFormatting>
  <conditionalFormatting sqref="Q796"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3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A5FE3-33A1-5D46-9A54-55D66168961D}">
  <dimension ref="A1:G45"/>
  <sheetViews>
    <sheetView workbookViewId="0">
      <selection activeCell="B12" sqref="B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8363</v>
      </c>
      <c r="B3" s="15" t="s">
        <v>8360</v>
      </c>
    </row>
    <row r="4" spans="1:6" x14ac:dyDescent="0.2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6" t="s">
        <v>8303</v>
      </c>
      <c r="B5" s="12">
        <v>11</v>
      </c>
      <c r="C5" s="12">
        <v>40</v>
      </c>
      <c r="D5" s="12"/>
      <c r="E5" s="12">
        <v>45</v>
      </c>
      <c r="F5" s="12">
        <v>96</v>
      </c>
    </row>
    <row r="6" spans="1:6" x14ac:dyDescent="0.2">
      <c r="A6" s="16" t="s">
        <v>8269</v>
      </c>
      <c r="B6" s="12"/>
      <c r="C6" s="12">
        <v>250</v>
      </c>
      <c r="D6" s="12">
        <v>9</v>
      </c>
      <c r="E6" s="12">
        <v>412</v>
      </c>
      <c r="F6" s="12">
        <v>671</v>
      </c>
    </row>
    <row r="7" spans="1:6" x14ac:dyDescent="0.2">
      <c r="A7" s="16" t="s">
        <v>8301</v>
      </c>
      <c r="B7" s="12">
        <v>15</v>
      </c>
      <c r="C7" s="12">
        <v>59</v>
      </c>
      <c r="D7" s="12">
        <v>3</v>
      </c>
      <c r="E7" s="12">
        <v>68</v>
      </c>
      <c r="F7" s="12">
        <v>145</v>
      </c>
    </row>
    <row r="8" spans="1:6" x14ac:dyDescent="0.2">
      <c r="A8" s="16" t="s">
        <v>8361</v>
      </c>
      <c r="B8" s="12">
        <v>26</v>
      </c>
      <c r="C8" s="12">
        <v>349</v>
      </c>
      <c r="D8" s="12">
        <v>12</v>
      </c>
      <c r="E8" s="12">
        <v>525</v>
      </c>
      <c r="F8" s="12">
        <v>912</v>
      </c>
    </row>
    <row r="45" spans="7:7" x14ac:dyDescent="0.2">
      <c r="G45">
        <f>SUM(E43:E45)</f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DE97EF-5E73-2648-808D-41B6CB9D8A72}">
  <dimension ref="A1:E7"/>
  <sheetViews>
    <sheetView workbookViewId="0">
      <selection activeCell="F23" sqref="F2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8223</v>
      </c>
    </row>
    <row r="2" spans="1:5" x14ac:dyDescent="0.2">
      <c r="A2" s="15" t="s">
        <v>8359</v>
      </c>
      <c r="B2" t="s">
        <v>8364</v>
      </c>
    </row>
    <row r="4" spans="1:5" x14ac:dyDescent="0.2">
      <c r="A4" s="15" t="s">
        <v>8363</v>
      </c>
      <c r="B4" s="15" t="s">
        <v>8360</v>
      </c>
    </row>
    <row r="5" spans="1:5" x14ac:dyDescent="0.2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6" t="s">
        <v>8316</v>
      </c>
      <c r="B6" s="12">
        <v>250</v>
      </c>
      <c r="C6" s="12">
        <v>9</v>
      </c>
      <c r="D6" s="12">
        <v>412</v>
      </c>
      <c r="E6" s="12">
        <v>671</v>
      </c>
    </row>
    <row r="7" spans="1:5" x14ac:dyDescent="0.2">
      <c r="A7" s="16" t="s">
        <v>8361</v>
      </c>
      <c r="B7" s="12">
        <v>250</v>
      </c>
      <c r="C7" s="12">
        <v>9</v>
      </c>
      <c r="D7" s="12">
        <v>412</v>
      </c>
      <c r="E7" s="12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DDFFB-5C4B-F144-9F73-A5EE068CAB27}">
  <dimension ref="A1:F18"/>
  <sheetViews>
    <sheetView topLeftCell="A12" workbookViewId="0">
      <selection activeCell="G37" sqref="G3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15" t="s">
        <v>8359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8363</v>
      </c>
      <c r="B4" s="15" t="s">
        <v>8360</v>
      </c>
    </row>
    <row r="5" spans="1:6" x14ac:dyDescent="0.2">
      <c r="A5" s="15" t="s">
        <v>8362</v>
      </c>
      <c r="B5" t="s">
        <v>8218</v>
      </c>
      <c r="C5" t="s">
        <v>8221</v>
      </c>
      <c r="D5" t="s">
        <v>8220</v>
      </c>
      <c r="E5" t="s">
        <v>8219</v>
      </c>
      <c r="F5" t="s">
        <v>8361</v>
      </c>
    </row>
    <row r="6" spans="1:6" x14ac:dyDescent="0.2">
      <c r="A6" s="21" t="s">
        <v>8373</v>
      </c>
      <c r="B6" s="12">
        <v>56</v>
      </c>
      <c r="C6" s="12">
        <v>2</v>
      </c>
      <c r="D6" s="12">
        <v>33</v>
      </c>
      <c r="E6" s="12">
        <v>7</v>
      </c>
      <c r="F6" s="12">
        <v>98</v>
      </c>
    </row>
    <row r="7" spans="1:6" x14ac:dyDescent="0.2">
      <c r="A7" s="21" t="s">
        <v>8374</v>
      </c>
      <c r="B7" s="12">
        <v>71</v>
      </c>
      <c r="C7" s="12">
        <v>8</v>
      </c>
      <c r="D7" s="12">
        <v>39</v>
      </c>
      <c r="E7" s="12">
        <v>3</v>
      </c>
      <c r="F7" s="12">
        <v>121</v>
      </c>
    </row>
    <row r="8" spans="1:6" x14ac:dyDescent="0.2">
      <c r="A8" s="21" t="s">
        <v>8375</v>
      </c>
      <c r="B8" s="12">
        <v>56</v>
      </c>
      <c r="C8" s="12">
        <v>14</v>
      </c>
      <c r="D8" s="12">
        <v>33</v>
      </c>
      <c r="E8" s="12">
        <v>3</v>
      </c>
      <c r="F8" s="12">
        <v>106</v>
      </c>
    </row>
    <row r="9" spans="1:6" x14ac:dyDescent="0.2">
      <c r="A9" s="21" t="s">
        <v>8376</v>
      </c>
      <c r="B9" s="12">
        <v>71</v>
      </c>
      <c r="C9" s="12"/>
      <c r="D9" s="12">
        <v>40</v>
      </c>
      <c r="E9" s="12">
        <v>2</v>
      </c>
      <c r="F9" s="12">
        <v>113</v>
      </c>
    </row>
    <row r="10" spans="1:6" x14ac:dyDescent="0.2">
      <c r="A10" s="21" t="s">
        <v>8367</v>
      </c>
      <c r="B10" s="12">
        <v>111</v>
      </c>
      <c r="C10" s="12"/>
      <c r="D10" s="12">
        <v>52</v>
      </c>
      <c r="E10" s="12">
        <v>3</v>
      </c>
      <c r="F10" s="12">
        <v>166</v>
      </c>
    </row>
    <row r="11" spans="1:6" x14ac:dyDescent="0.2">
      <c r="A11" s="21" t="s">
        <v>8377</v>
      </c>
      <c r="B11" s="12">
        <v>100</v>
      </c>
      <c r="C11" s="12"/>
      <c r="D11" s="12">
        <v>49</v>
      </c>
      <c r="E11" s="12">
        <v>4</v>
      </c>
      <c r="F11" s="12">
        <v>153</v>
      </c>
    </row>
    <row r="12" spans="1:6" x14ac:dyDescent="0.2">
      <c r="A12" s="21" t="s">
        <v>8368</v>
      </c>
      <c r="B12" s="12">
        <v>87</v>
      </c>
      <c r="C12" s="12"/>
      <c r="D12" s="12">
        <v>50</v>
      </c>
      <c r="E12" s="12">
        <v>1</v>
      </c>
      <c r="F12" s="12">
        <v>138</v>
      </c>
    </row>
    <row r="13" spans="1:6" x14ac:dyDescent="0.2">
      <c r="A13" s="21" t="s">
        <v>8369</v>
      </c>
      <c r="B13" s="12">
        <v>72</v>
      </c>
      <c r="C13" s="12"/>
      <c r="D13" s="12">
        <v>47</v>
      </c>
      <c r="E13" s="12">
        <v>4</v>
      </c>
      <c r="F13" s="12">
        <v>123</v>
      </c>
    </row>
    <row r="14" spans="1:6" x14ac:dyDescent="0.2">
      <c r="A14" s="21" t="s">
        <v>8370</v>
      </c>
      <c r="B14" s="12">
        <v>59</v>
      </c>
      <c r="C14" s="12"/>
      <c r="D14" s="12">
        <v>34</v>
      </c>
      <c r="E14" s="12">
        <v>4</v>
      </c>
      <c r="F14" s="12">
        <v>97</v>
      </c>
    </row>
    <row r="15" spans="1:6" x14ac:dyDescent="0.2">
      <c r="A15" s="21" t="s">
        <v>8371</v>
      </c>
      <c r="B15" s="12">
        <v>65</v>
      </c>
      <c r="C15" s="12"/>
      <c r="D15" s="12">
        <v>50</v>
      </c>
      <c r="E15" s="12"/>
      <c r="F15" s="12">
        <v>115</v>
      </c>
    </row>
    <row r="16" spans="1:6" x14ac:dyDescent="0.2">
      <c r="A16" s="21" t="s">
        <v>8372</v>
      </c>
      <c r="B16" s="12">
        <v>54</v>
      </c>
      <c r="C16" s="12"/>
      <c r="D16" s="12">
        <v>31</v>
      </c>
      <c r="E16" s="12">
        <v>3</v>
      </c>
      <c r="F16" s="12">
        <v>88</v>
      </c>
    </row>
    <row r="17" spans="1:6" x14ac:dyDescent="0.2">
      <c r="A17" s="21" t="s">
        <v>8378</v>
      </c>
      <c r="B17" s="12">
        <v>37</v>
      </c>
      <c r="C17" s="12"/>
      <c r="D17" s="12">
        <v>35</v>
      </c>
      <c r="E17" s="12">
        <v>3</v>
      </c>
      <c r="F17" s="12">
        <v>75</v>
      </c>
    </row>
    <row r="18" spans="1:6" x14ac:dyDescent="0.2">
      <c r="A18" s="21" t="s">
        <v>8361</v>
      </c>
      <c r="B18" s="12">
        <v>839</v>
      </c>
      <c r="C18" s="12">
        <v>24</v>
      </c>
      <c r="D18" s="12">
        <v>493</v>
      </c>
      <c r="E18" s="12">
        <v>37</v>
      </c>
      <c r="F18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E6465-3CBA-7742-B1A6-4199624964EC}">
  <dimension ref="A1:H13"/>
  <sheetViews>
    <sheetView topLeftCell="A3" zoomScale="75" zoomScaleNormal="75" workbookViewId="0">
      <selection activeCell="I33" sqref="I33"/>
    </sheetView>
  </sheetViews>
  <sheetFormatPr baseColWidth="10" defaultRowHeight="15" x14ac:dyDescent="0.2"/>
  <cols>
    <col min="1" max="1" width="16" customWidth="1"/>
    <col min="2" max="2" width="17" customWidth="1"/>
    <col min="3" max="3" width="14.1640625" customWidth="1"/>
    <col min="4" max="4" width="15.1640625" customWidth="1"/>
    <col min="5" max="5" width="12.5" customWidth="1"/>
    <col min="6" max="6" width="18.83203125" customWidth="1"/>
    <col min="7" max="7" width="15.1640625" customWidth="1"/>
    <col min="8" max="8" width="17" customWidth="1"/>
  </cols>
  <sheetData>
    <row r="1" spans="1:8" x14ac:dyDescent="0.2">
      <c r="A1" s="23" t="s">
        <v>8382</v>
      </c>
      <c r="B1" s="23" t="s">
        <v>8399</v>
      </c>
      <c r="C1" s="23" t="s">
        <v>8400</v>
      </c>
      <c r="D1" s="23" t="s">
        <v>8401</v>
      </c>
      <c r="E1" s="23" t="s">
        <v>8402</v>
      </c>
      <c r="F1" s="23" t="s">
        <v>8417</v>
      </c>
      <c r="G1" s="23" t="s">
        <v>8403</v>
      </c>
      <c r="H1" s="23" t="s">
        <v>8404</v>
      </c>
    </row>
    <row r="2" spans="1:8" x14ac:dyDescent="0.2">
      <c r="A2" t="s">
        <v>8405</v>
      </c>
      <c r="B2">
        <f>COUNTIFS(Kickstarter!$F:$F,"=successful",Kickstarter!$D:$D,"&lt;1000",Kickstarter!$R:$R,"plays")</f>
        <v>141</v>
      </c>
      <c r="C2">
        <f>COUNTIFS(Kickstarter!$F:$F,"=failed",Kickstarter!$D:$D,"&lt;1000",Kickstarter!$R:$R,"plays")</f>
        <v>45</v>
      </c>
      <c r="D2">
        <f>COUNTIFS(Kickstarter!$F:$F,"=canceled",Kickstarter!$D:$D,"&lt;1000",Kickstarter!$R:$R,"plays")</f>
        <v>0</v>
      </c>
      <c r="E2">
        <f>B2+C2+D2</f>
        <v>186</v>
      </c>
      <c r="F2" s="9">
        <f>B2/E2</f>
        <v>0.75806451612903225</v>
      </c>
      <c r="G2" s="9">
        <f>C2/E2</f>
        <v>0.24193548387096775</v>
      </c>
      <c r="H2">
        <f>D2/E2</f>
        <v>0</v>
      </c>
    </row>
    <row r="3" spans="1:8" x14ac:dyDescent="0.2">
      <c r="A3" t="s">
        <v>8406</v>
      </c>
      <c r="B3">
        <f>COUNTIFS(Kickstarter!$F:$F,"=successful",Kickstarter!$D:$D,"&gt;=1000",Kickstarter!$D:$D,"&lt;5000",Kickstarter!$R:$R,"plays")</f>
        <v>388</v>
      </c>
      <c r="C3">
        <f>COUNTIFS(Kickstarter!$F:$F,"=failed",Kickstarter!$D:$D,"&gt;=1000",Kickstarter!$D:$D,"&lt;5000",Kickstarter!$R:$R,"plays")</f>
        <v>146</v>
      </c>
      <c r="D3">
        <f>COUNTIFS(Kickstarter!$F:$F,"=canceled",Kickstarter!$D:$D,"&gt;=1000",Kickstarter!$D:$D,"&lt;5000",Kickstarter!$R:$R,"plays")</f>
        <v>0</v>
      </c>
      <c r="E3">
        <f t="shared" ref="E3:E13" si="0">B3+C3+D3</f>
        <v>534</v>
      </c>
      <c r="F3" s="9">
        <f t="shared" ref="F3:F13" si="1">B3/E3</f>
        <v>0.72659176029962547</v>
      </c>
      <c r="G3" s="9">
        <f t="shared" ref="G3:G13" si="2">C3/E3</f>
        <v>0.27340823970037453</v>
      </c>
      <c r="H3">
        <f t="shared" ref="H3:H13" si="3">D3/E3</f>
        <v>0</v>
      </c>
    </row>
    <row r="4" spans="1:8" x14ac:dyDescent="0.2">
      <c r="A4" t="s">
        <v>8407</v>
      </c>
      <c r="B4">
        <f>COUNTIFS(Kickstarter!$F:$F,"=successful",Kickstarter!$D:$D,"&gt;=5000",Kickstarter!$D:$D,"&lt;10000",Kickstarter!$R:$R,"plays")</f>
        <v>93</v>
      </c>
      <c r="C4">
        <f>COUNTIFS(Kickstarter!$F:$F,"=failed",Kickstarter!$D:$D,"&gt;=5000",Kickstarter!$D:$D,"&lt;10000",Kickstarter!$R:$R,"plays")</f>
        <v>76</v>
      </c>
      <c r="D4">
        <f>COUNTIFS(Kickstarter!$F:$F,"=canceled",Kickstarter!$D:$D,"&gt;=5000",Kickstarter!$D:$D,"&lt;10000",Kickstarter!$R:$R,"plays")</f>
        <v>0</v>
      </c>
      <c r="E4">
        <f t="shared" si="0"/>
        <v>169</v>
      </c>
      <c r="F4" s="9">
        <f t="shared" si="1"/>
        <v>0.55029585798816572</v>
      </c>
      <c r="G4" s="9">
        <f t="shared" si="2"/>
        <v>0.44970414201183434</v>
      </c>
      <c r="H4">
        <f t="shared" si="3"/>
        <v>0</v>
      </c>
    </row>
    <row r="5" spans="1:8" x14ac:dyDescent="0.2">
      <c r="A5" t="s">
        <v>8408</v>
      </c>
      <c r="B5">
        <f>COUNTIFS(Kickstarter!$F:$F,"=successful",Kickstarter!$D:$D,"&gt;=10000",Kickstarter!$D:$D,"&lt;15000",Kickstarter!$R:$R,"plays")</f>
        <v>39</v>
      </c>
      <c r="C5">
        <f>COUNTIFS(Kickstarter!$F:$F,"=failed",Kickstarter!$D:$D,"&gt;=10000",Kickstarter!$D:$D,"&lt;15000",Kickstarter!$R:$R,"plays")</f>
        <v>33</v>
      </c>
      <c r="D5">
        <f>COUNTIFS(Kickstarter!$F:$F,"=canceled",Kickstarter!$D:$D,"&gt;=10000",Kickstarter!$D:$D,"&lt;15000",Kickstarter!$R:$R,"plays")</f>
        <v>0</v>
      </c>
      <c r="E5">
        <f t="shared" si="0"/>
        <v>72</v>
      </c>
      <c r="F5" s="9">
        <f t="shared" si="1"/>
        <v>0.54166666666666663</v>
      </c>
      <c r="G5" s="9">
        <f t="shared" si="2"/>
        <v>0.45833333333333331</v>
      </c>
      <c r="H5">
        <f t="shared" si="3"/>
        <v>0</v>
      </c>
    </row>
    <row r="6" spans="1:8" x14ac:dyDescent="0.2">
      <c r="A6" t="s">
        <v>8409</v>
      </c>
      <c r="B6">
        <f>COUNTIFS(Kickstarter!$F:$F,"=successful",Kickstarter!$D:$D,"&gt;=15000",Kickstarter!$D:$D,"&lt;20000",Kickstarter!$R:$R,"plays")</f>
        <v>12</v>
      </c>
      <c r="C6">
        <f>COUNTIFS(Kickstarter!$F:$F,"=failed",Kickstarter!$D:$D,"&gt;=15000",Kickstarter!$D:$D,"&lt;20000",Kickstarter!$R:$R,"plays")</f>
        <v>12</v>
      </c>
      <c r="D6">
        <f>COUNTIFS(Kickstarter!$F:$F,"=canceled",Kickstarter!$D:$D,"&gt;=15000",Kickstarter!$D:$D,"&lt;20000",Kickstarter!$R:$R,"plays")</f>
        <v>0</v>
      </c>
      <c r="E6">
        <f t="shared" si="0"/>
        <v>24</v>
      </c>
      <c r="F6" s="9">
        <f t="shared" si="1"/>
        <v>0.5</v>
      </c>
      <c r="G6" s="9">
        <f t="shared" si="2"/>
        <v>0.5</v>
      </c>
      <c r="H6">
        <f t="shared" si="3"/>
        <v>0</v>
      </c>
    </row>
    <row r="7" spans="1:8" x14ac:dyDescent="0.2">
      <c r="A7" t="s">
        <v>8410</v>
      </c>
      <c r="B7">
        <f>COUNTIFS(Kickstarter!$F:$F,"=successful",Kickstarter!$D:$D,"&gt;=20000",Kickstarter!$D:$D,"&lt;25000",Kickstarter!$R:$R,"plays")</f>
        <v>9</v>
      </c>
      <c r="C7">
        <f>COUNTIFS(Kickstarter!$F:$F,"=failed",Kickstarter!$D:$D,"&gt;=20000",Kickstarter!$D:$D,"&lt;25000",Kickstarter!$R:$R,"plays")</f>
        <v>11</v>
      </c>
      <c r="D7">
        <f>COUNTIFS(Kickstarter!$F:$F,"=canceled",Kickstarter!$D:$D,"&gt;=20000",Kickstarter!$D:$D,"&lt;25000",Kickstarter!$R:$R,"plays")</f>
        <v>0</v>
      </c>
      <c r="E7">
        <f t="shared" si="0"/>
        <v>20</v>
      </c>
      <c r="F7" s="9">
        <f t="shared" si="1"/>
        <v>0.45</v>
      </c>
      <c r="G7" s="9">
        <f t="shared" si="2"/>
        <v>0.55000000000000004</v>
      </c>
      <c r="H7">
        <f t="shared" si="3"/>
        <v>0</v>
      </c>
    </row>
    <row r="8" spans="1:8" x14ac:dyDescent="0.2">
      <c r="A8" t="s">
        <v>8411</v>
      </c>
      <c r="B8">
        <f>COUNTIFS(Kickstarter!$F:$F,"=successful",Kickstarter!$D:$D,"&gt;=25000",Kickstarter!$D:$D,"&lt;30000",Kickstarter!$R:$R,"plays")</f>
        <v>1</v>
      </c>
      <c r="C8">
        <f>COUNTIFS(Kickstarter!$F:$F,"=failed",Kickstarter!$D:$D,"&gt;=25000",Kickstarter!$D:$D,"&lt;30000",Kickstarter!$R:$R,"plays")</f>
        <v>4</v>
      </c>
      <c r="D8">
        <f>COUNTIFS(Kickstarter!$F:$F,"=canceled",Kickstarter!$D:$D,"&gt;=25000",Kickstarter!$D:$D,"&lt;30000",Kickstarter!$R:$R,"plays")</f>
        <v>0</v>
      </c>
      <c r="E8">
        <f t="shared" si="0"/>
        <v>5</v>
      </c>
      <c r="F8" s="9">
        <f t="shared" si="1"/>
        <v>0.2</v>
      </c>
      <c r="G8" s="9">
        <f t="shared" si="2"/>
        <v>0.8</v>
      </c>
      <c r="H8">
        <f t="shared" si="3"/>
        <v>0</v>
      </c>
    </row>
    <row r="9" spans="1:8" x14ac:dyDescent="0.2">
      <c r="A9" t="s">
        <v>8412</v>
      </c>
      <c r="B9">
        <f>COUNTIFS(Kickstarter!$F:$F,"=successful",Kickstarter!$D:$D,"&gt;=30000",Kickstarter!$D:$D,"&lt;35000",Kickstarter!$R:$R,"plays")</f>
        <v>3</v>
      </c>
      <c r="C9">
        <f>COUNTIFS(Kickstarter!$F:$F,"=failed",Kickstarter!$D:$D,"&gt;=30000",Kickstarter!$D:$D,"&lt;35000",Kickstarter!$R:$R,"plays")</f>
        <v>8</v>
      </c>
      <c r="D9">
        <f>COUNTIFS(Kickstarter!$F:$F,"=canceled",Kickstarter!$D:$D,"&gt;=30000",Kickstarter!$D:$D,"&lt;35000",Kickstarter!$R:$R,"plays")</f>
        <v>0</v>
      </c>
      <c r="E9">
        <f t="shared" si="0"/>
        <v>11</v>
      </c>
      <c r="F9" s="9">
        <f t="shared" si="1"/>
        <v>0.27272727272727271</v>
      </c>
      <c r="G9" s="9">
        <f t="shared" si="2"/>
        <v>0.72727272727272729</v>
      </c>
      <c r="H9">
        <f t="shared" si="3"/>
        <v>0</v>
      </c>
    </row>
    <row r="10" spans="1:8" x14ac:dyDescent="0.2">
      <c r="A10" t="s">
        <v>8413</v>
      </c>
      <c r="B10">
        <f>COUNTIFS(Kickstarter!$F:$F,"=successful",Kickstarter!$D:$D,"&gt;=35000",Kickstarter!$D:$D,"&lt;40000",Kickstarter!$R:$R,"plays")</f>
        <v>4</v>
      </c>
      <c r="C10">
        <f>COUNTIFS(Kickstarter!$F:$F,"=failed",Kickstarter!$D:$D,"&gt;=35000",Kickstarter!$D:$D,"&lt;40000",Kickstarter!$R:$R,"plays")</f>
        <v>2</v>
      </c>
      <c r="D10">
        <f>COUNTIFS(Kickstarter!$F:$F,"=canceled",Kickstarter!$D:$D,"&gt;=35000",Kickstarter!$D:$D,"&lt;40000",Kickstarter!$R:$R,"plays")</f>
        <v>0</v>
      </c>
      <c r="E10">
        <f t="shared" si="0"/>
        <v>6</v>
      </c>
      <c r="F10" s="9">
        <f t="shared" si="1"/>
        <v>0.66666666666666663</v>
      </c>
      <c r="G10" s="9">
        <f t="shared" si="2"/>
        <v>0.33333333333333331</v>
      </c>
      <c r="H10">
        <f t="shared" si="3"/>
        <v>0</v>
      </c>
    </row>
    <row r="11" spans="1:8" x14ac:dyDescent="0.2">
      <c r="A11" t="s">
        <v>8414</v>
      </c>
      <c r="B11">
        <f>COUNTIFS(Kickstarter!$F:$F,"=successful",Kickstarter!$D:$D,"&gt;=40000",Kickstarter!$D:$D,"&lt;44999",Kickstarter!$R:$R,"plays")</f>
        <v>2</v>
      </c>
      <c r="C11">
        <f>COUNTIFS(Kickstarter!$F:$F,"=failed",Kickstarter!$D:$D,"&gt;=40000",Kickstarter!$D:$D,"&lt;44999",Kickstarter!$R:$R,"plays")</f>
        <v>1</v>
      </c>
      <c r="D11">
        <f>COUNTIFS(Kickstarter!$F:$F,"=canceled",Kickstarter!$D:$D,"&gt;=40000",Kickstarter!$D:$D,"&lt;44999",Kickstarter!$R:$R,"plays")</f>
        <v>0</v>
      </c>
      <c r="E11">
        <f t="shared" si="0"/>
        <v>3</v>
      </c>
      <c r="F11" s="9">
        <f t="shared" si="1"/>
        <v>0.66666666666666663</v>
      </c>
      <c r="G11" s="9">
        <f t="shared" si="2"/>
        <v>0.33333333333333331</v>
      </c>
      <c r="H11">
        <f t="shared" si="3"/>
        <v>0</v>
      </c>
    </row>
    <row r="12" spans="1:8" x14ac:dyDescent="0.2">
      <c r="A12" t="s">
        <v>8415</v>
      </c>
      <c r="B12">
        <f>COUNTIFS(Kickstarter!$F:$F,"=successful",Kickstarter!$D:$D,"&gt;=45000",Kickstarter!$D:$D,"&lt;50000",Kickstarter!$R:$R,"plays")</f>
        <v>0</v>
      </c>
      <c r="C12">
        <f>COUNTIFS(Kickstarter!$F:$F,"=failed",Kickstarter!$D:$D,"&gt;=45000",Kickstarter!$D:$D,"&lt;50000",Kickstarter!$R:$R,"plays")</f>
        <v>1</v>
      </c>
      <c r="D12">
        <f>COUNTIFS(Kickstarter!$F:$F,"=canceled",Kickstarter!$D:$D,"&gt;=45000",Kickstarter!$D:$D,"&lt;50000",Kickstarter!$R:$R,"plays")</f>
        <v>0</v>
      </c>
      <c r="E12">
        <f t="shared" si="0"/>
        <v>1</v>
      </c>
      <c r="F12" s="9">
        <f t="shared" si="1"/>
        <v>0</v>
      </c>
      <c r="G12" s="9">
        <f t="shared" si="2"/>
        <v>1</v>
      </c>
      <c r="H12">
        <f t="shared" si="3"/>
        <v>0</v>
      </c>
    </row>
    <row r="13" spans="1:8" x14ac:dyDescent="0.2">
      <c r="A13" t="s">
        <v>8416</v>
      </c>
      <c r="B13">
        <f>COUNTIFS(Kickstarter!$F:$F,"=successful",Kickstarter!$D:$D,"&gt;=50000",Kickstarter!$R:$R,"plays")</f>
        <v>2</v>
      </c>
      <c r="C13">
        <f>COUNTIFS(Kickstarter!$F:$F,"=failed",Kickstarter!$D:$D,"&gt;=50000",Kickstarter!$R:$R,"plays")</f>
        <v>14</v>
      </c>
      <c r="D13">
        <f>COUNTIFS(Kickstarter!$F:$F,"=canceled",Kickstarter!$D:$D,"&gt;=50000",Kickstarter!$R:$R,"plays")</f>
        <v>0</v>
      </c>
      <c r="E13">
        <f t="shared" si="0"/>
        <v>16</v>
      </c>
      <c r="F13" s="9">
        <f t="shared" si="1"/>
        <v>0.125</v>
      </c>
      <c r="G13" s="9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7EBA1-2090-FC40-B59B-2F2ED00530E0}">
  <dimension ref="A1:F6"/>
  <sheetViews>
    <sheetView workbookViewId="0">
      <selection activeCell="A6" sqref="A6"/>
    </sheetView>
  </sheetViews>
  <sheetFormatPr baseColWidth="10" defaultRowHeight="15" x14ac:dyDescent="0.2"/>
  <cols>
    <col min="1" max="1" width="30.1640625" customWidth="1"/>
    <col min="2" max="2" width="42" style="3" customWidth="1"/>
    <col min="3" max="4" width="25.33203125" style="25" customWidth="1"/>
    <col min="5" max="5" width="19" customWidth="1"/>
    <col min="6" max="6" width="25.5" customWidth="1"/>
  </cols>
  <sheetData>
    <row r="1" spans="1:6" ht="16" x14ac:dyDescent="0.2">
      <c r="A1" s="23" t="s">
        <v>8380</v>
      </c>
      <c r="B1" s="24" t="s">
        <v>4110</v>
      </c>
      <c r="C1" s="25" t="s">
        <v>8382</v>
      </c>
      <c r="D1" s="25" t="s">
        <v>8383</v>
      </c>
      <c r="E1" t="s">
        <v>8307</v>
      </c>
      <c r="F1" t="s">
        <v>8384</v>
      </c>
    </row>
    <row r="2" spans="1:6" ht="48" x14ac:dyDescent="0.2">
      <c r="A2" s="2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5">
        <f>VLOOKUP(A2,Kickstarter!B:E,3,FALSE)</f>
        <v>2000</v>
      </c>
      <c r="D2" s="25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ht="48" x14ac:dyDescent="0.2">
      <c r="A3" s="22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5">
        <f>VLOOKUP(A3,Kickstarter!B:E,3,FALSE)</f>
        <v>2000</v>
      </c>
      <c r="D3" s="25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ht="48" x14ac:dyDescent="0.2">
      <c r="A4" s="22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5">
        <f>VLOOKUP(A4,Kickstarter!B:E,3,FALSE)</f>
        <v>1500</v>
      </c>
      <c r="D4" s="25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ht="48" x14ac:dyDescent="0.2">
      <c r="A5" s="22" t="s">
        <v>3329</v>
      </c>
      <c r="B5" s="3" t="str">
        <f>VLOOKUP(A5,Kickstarter!B:C,2,FALSE)</f>
        <v>Jestia and Raedon is a brand new romantic comedy play going to the Edinburgh Fringe Festival this summer.</v>
      </c>
      <c r="C5" s="25">
        <f>VLOOKUP(A5,Kickstarter!B:E,3,FALSE)</f>
        <v>1000</v>
      </c>
      <c r="D5" s="2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s="22" t="s">
        <v>8381</v>
      </c>
      <c r="B6" s="3" t="e">
        <f>VLOOKUP(A6,Kickstarter!B:C,2,FALSE)</f>
        <v>#N/A</v>
      </c>
      <c r="C6" s="25" t="e">
        <f>VLOOKUP(A6,Kickstarter!B:E,3,FALSE)</f>
        <v>#N/A</v>
      </c>
      <c r="D6" s="25" t="e">
        <f>VLOOKUP(A6,Kickstarter!B:E,4,FALSE)</f>
        <v>#N/A</v>
      </c>
      <c r="E6" t="e">
        <f>VLOOKUP(A6,Kickstarter!B:P,15,FALSE)</f>
        <v>#N/A</v>
      </c>
      <c r="F6" t="e">
        <f>VLOOKUP(A6,Kickstarter!B:L,11,FALSE)</f>
        <v>#N/A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CFFDE-4C41-C049-9B12-112AFFF8A0F1}">
  <dimension ref="A1:T413"/>
  <sheetViews>
    <sheetView topLeftCell="B1" workbookViewId="0">
      <selection activeCell="R2" sqref="R2"/>
    </sheetView>
  </sheetViews>
  <sheetFormatPr baseColWidth="10" defaultRowHeight="15" x14ac:dyDescent="0.2"/>
  <cols>
    <col min="14" max="14" width="22" customWidth="1"/>
    <col min="15" max="15" width="19.1640625" customWidth="1"/>
    <col min="16" max="16" width="18.33203125" customWidth="1"/>
    <col min="17" max="17" width="16.83203125" customWidth="1"/>
    <col min="18" max="18" width="13.1640625" customWidth="1"/>
    <col min="19" max="19" width="23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2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2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2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2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2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2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2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2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2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2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2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2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2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2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2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2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2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2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2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2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2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2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2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2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2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2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2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2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2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2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2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2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2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2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2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2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2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2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2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2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2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2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2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2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2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2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2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2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2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2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2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2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2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2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2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2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2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2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2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2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2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2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2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2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2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2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2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2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2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2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2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2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2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2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2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2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2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2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2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2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2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2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2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2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2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2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2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2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2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2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2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2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2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2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2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2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2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2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2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2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2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2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2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2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2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2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2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2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2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2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2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2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2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2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2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2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2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2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2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2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2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2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2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2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2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2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2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2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2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2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2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2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2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2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2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2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2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2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2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2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2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2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2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2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2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2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2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2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2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2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2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2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2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2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2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2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2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2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2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2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2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2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2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2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2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2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2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2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2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2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2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2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2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2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2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2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2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2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2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2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2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2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2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2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2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2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2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2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2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2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2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2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2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2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2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2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2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2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2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2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2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2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2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2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2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2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2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2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2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2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2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2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2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2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2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2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2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2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2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2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2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2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2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2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2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2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2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2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2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2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2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2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2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2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2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2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2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2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2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2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2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2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2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2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2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2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2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2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2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2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2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2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2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2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2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2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2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2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2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2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2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2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2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2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2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2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2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2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2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2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2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2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2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2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2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2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2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2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2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2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2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2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2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2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2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2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2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2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2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2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2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2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2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2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2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2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2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2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2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2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2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2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2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2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2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2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2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2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2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2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2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2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2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2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2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2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2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2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2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2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2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2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2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2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2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2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2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2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2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2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2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2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2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2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2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2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2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2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2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2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2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2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2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2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2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2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2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2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2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2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2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2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2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2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2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2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2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2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2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2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2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2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2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2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2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2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2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2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2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2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7" priority="7" operator="containsText" text="canceled">
      <formula>NOT(ISERROR(SEARCH("canceled",F1)))</formula>
    </cfRule>
    <cfRule type="containsText" dxfId="6" priority="8" operator="containsText" text="failed">
      <formula>NOT(ISERROR(SEARCH("failed",F1)))</formula>
    </cfRule>
    <cfRule type="containsText" dxfId="5" priority="9" operator="containsText" text="successful">
      <formula>NOT(ISERROR(SEARCH("successful",F1)))</formula>
    </cfRule>
    <cfRule type="containsText" dxfId="4" priority="10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C00000"/>
        <color theme="3" tint="0.59999389629810485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4" tint="0.59999389629810485"/>
      </colorScale>
    </cfRule>
    <cfRule type="colorScale" priority="4">
      <colorScale>
        <cfvo type="min"/>
        <cfvo type="max"/>
        <color rgb="FFC00000"/>
        <color theme="4" tint="0.59999389629810485"/>
      </colorScale>
    </cfRule>
    <cfRule type="colorScale" priority="5">
      <colorScale>
        <cfvo type="min"/>
        <cfvo type="max"/>
        <color theme="4" tint="0.59999389629810485"/>
        <color rgb="FFFFEF9C"/>
      </colorScale>
    </cfRule>
    <cfRule type="colorScale" priority="6">
      <colorScale>
        <cfvo type="min"/>
        <cfvo type="max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A8E78-ADA0-4F4E-BA38-F00707A84A28}">
  <dimension ref="A1:T251"/>
  <sheetViews>
    <sheetView workbookViewId="0">
      <selection activeCell="O3" sqref="O3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" t="s">
        <v>8307</v>
      </c>
      <c r="Q1" s="14" t="s">
        <v>8359</v>
      </c>
      <c r="R1" s="1" t="s">
        <v>8358</v>
      </c>
      <c r="S1" s="17" t="s">
        <v>8365</v>
      </c>
      <c r="T1" s="20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2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2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2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2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2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2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2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2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2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2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2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2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2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2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2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2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2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2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2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2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2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2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2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2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2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2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2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2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2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2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2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2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2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2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2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2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2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2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2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2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2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2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2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2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2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2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2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2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2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2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2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2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2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2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2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2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2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2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2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2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2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2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2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2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2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2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2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2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2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2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2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2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2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2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2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2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2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2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2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2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2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2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2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2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2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2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2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2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2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2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2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2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2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2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2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2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2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2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2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2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2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2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2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2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2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2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2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2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2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2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2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2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2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2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2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2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2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2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2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2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2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2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2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2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2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2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2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2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2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2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2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2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2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2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2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2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2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2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2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2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2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2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2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2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2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2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2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2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2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2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2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2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2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2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2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2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2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2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2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2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2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2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2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2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2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2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2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2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2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2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2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2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2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2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2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2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2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2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2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2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2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2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2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2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2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2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2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2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2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2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2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2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2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2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2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2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2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2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2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2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2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2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2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2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2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2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2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2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2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2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2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2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2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2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2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2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2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2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2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2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2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2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2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2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2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C00000"/>
        <color theme="3" tint="0.59999389629810485"/>
      </colorScale>
    </cfRule>
    <cfRule type="colorScale" priority="2">
      <colorScale>
        <cfvo type="min"/>
        <cfvo type="max"/>
        <color rgb="FFFF7128"/>
        <color rgb="FFFFEF9C"/>
      </colorScale>
    </cfRule>
    <cfRule type="colorScale" priority="3">
      <colorScale>
        <cfvo type="min"/>
        <cfvo type="max"/>
        <color rgb="FFC00000"/>
        <color theme="4" tint="0.59999389629810485"/>
      </colorScale>
    </cfRule>
    <cfRule type="colorScale" priority="4">
      <colorScale>
        <cfvo type="min"/>
        <cfvo type="max"/>
        <color rgb="FFC00000"/>
        <color theme="4" tint="0.59999389629810485"/>
      </colorScale>
    </cfRule>
    <cfRule type="colorScale" priority="5">
      <colorScale>
        <cfvo type="min"/>
        <cfvo type="max"/>
        <color theme="4" tint="0.59999389629810485"/>
        <color rgb="FFFFEF9C"/>
      </colorScale>
    </cfRule>
    <cfRule type="colorScale" priority="6">
      <colorScale>
        <cfvo type="min"/>
        <cfvo type="max"/>
        <color rgb="FFFF0000"/>
        <color theme="3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57D9C-7022-C74D-A9C5-B9BB9EA34DC8}">
  <dimension ref="A1:C14"/>
  <sheetViews>
    <sheetView topLeftCell="A2" workbookViewId="0">
      <selection activeCell="B22" sqref="B22"/>
    </sheetView>
  </sheetViews>
  <sheetFormatPr baseColWidth="10" defaultRowHeight="15" x14ac:dyDescent="0.2"/>
  <cols>
    <col min="1" max="1" width="23.83203125" customWidth="1"/>
    <col min="2" max="2" width="13.1640625" bestFit="1" customWidth="1"/>
    <col min="3" max="3" width="14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27">
        <f>AVERAGE('Successful U.S. Kickstarters'!D:D)</f>
        <v>5048.8786407766993</v>
      </c>
      <c r="C2" s="27">
        <f>AVERAGE('Failed U.S. Kickstarters'!D:D)</f>
        <v>10554.212</v>
      </c>
    </row>
    <row r="3" spans="1:3" x14ac:dyDescent="0.2">
      <c r="A3" t="s">
        <v>8388</v>
      </c>
      <c r="B3" s="27">
        <f>MEDIAN('Successful U.S. Kickstarters'!D:D)</f>
        <v>3000</v>
      </c>
      <c r="C3" s="27">
        <f>MEDIAN('Failed U.S. Kickstarters'!D:D)</f>
        <v>5000</v>
      </c>
    </row>
    <row r="4" spans="1:3" x14ac:dyDescent="0.2">
      <c r="A4" t="s">
        <v>8391</v>
      </c>
      <c r="B4" s="27">
        <f>_xlfn.STDEV.P('Successful U.S. Kickstarters'!D:D)</f>
        <v>7748.7537726373303</v>
      </c>
      <c r="C4" s="27">
        <f>_xlfn.STDEV.P('Failed U.S. Kickstarters'!D:D)</f>
        <v>21967.731061515115</v>
      </c>
    </row>
    <row r="5" spans="1:3" x14ac:dyDescent="0.2">
      <c r="A5" t="s">
        <v>8392</v>
      </c>
      <c r="B5" s="27">
        <f>_xlfn.QUARTILE.EXC('Successful U.S. Kickstarters'!D:D,3)</f>
        <v>5000</v>
      </c>
      <c r="C5" s="27">
        <f>_xlfn.QUARTILE.EXC('Failed U.S. Kickstarters'!D:D,3)</f>
        <v>10000</v>
      </c>
    </row>
    <row r="6" spans="1:3" x14ac:dyDescent="0.2">
      <c r="A6" t="s">
        <v>8393</v>
      </c>
      <c r="B6" s="27">
        <f>_xlfn.QUARTILE.EXC('Successful U.S. Kickstarters'!D:D,1)</f>
        <v>1500</v>
      </c>
      <c r="C6" s="27">
        <f>_xlfn.QUARTILE.EXC('Failed U.S. Kickstarters'!D:D,1)</f>
        <v>2000</v>
      </c>
    </row>
    <row r="7" spans="1:3" x14ac:dyDescent="0.2">
      <c r="A7" t="s">
        <v>8394</v>
      </c>
      <c r="B7" s="27">
        <f>B5-B6</f>
        <v>3500</v>
      </c>
      <c r="C7" s="27">
        <f>C5-C6</f>
        <v>8000</v>
      </c>
    </row>
    <row r="8" spans="1:3" x14ac:dyDescent="0.2">
      <c r="B8" s="27"/>
      <c r="C8" s="27"/>
    </row>
    <row r="9" spans="1:3" x14ac:dyDescent="0.2">
      <c r="A9" t="s">
        <v>8389</v>
      </c>
      <c r="B9" s="27">
        <f>AVERAGE('Successful U.S. Kickstarters'!E:E)</f>
        <v>5601.5458009708727</v>
      </c>
      <c r="C9" s="27">
        <f>AVERAGE('Failed U.S. Kickstarters'!E:E)</f>
        <v>558.65484000000004</v>
      </c>
    </row>
    <row r="10" spans="1:3" x14ac:dyDescent="0.2">
      <c r="A10" t="s">
        <v>8390</v>
      </c>
      <c r="B10" s="27">
        <f>MEDIAN('Successful U.S. Kickstarters'!E:E)</f>
        <v>3167.5</v>
      </c>
      <c r="C10" s="27">
        <f>MEDIAN('Failed U.S. Kickstarters'!E:E)</f>
        <v>103</v>
      </c>
    </row>
    <row r="11" spans="1:3" x14ac:dyDescent="0.2">
      <c r="A11" t="s">
        <v>8395</v>
      </c>
      <c r="B11" s="27">
        <f>_xlfn.STDEV.P('Successful U.S. Kickstarters'!E:E)</f>
        <v>8334.5731699164608</v>
      </c>
      <c r="C11" s="27">
        <f>_xlfn.STDEV.P('Failed U.S. Kickstarters'!E:E)</f>
        <v>1330.5230280400915</v>
      </c>
    </row>
    <row r="12" spans="1:3" x14ac:dyDescent="0.2">
      <c r="A12" t="s">
        <v>8396</v>
      </c>
      <c r="B12" s="27">
        <f>_xlfn.QUARTILE.EXC('Successful U.S. Kickstarters'!E:E,3)</f>
        <v>5699</v>
      </c>
      <c r="C12" s="27">
        <f>_xlfn.QUARTILE.EXC('Failed U.S. Kickstarters'!E:E,3)</f>
        <v>501</v>
      </c>
    </row>
    <row r="13" spans="1:3" x14ac:dyDescent="0.2">
      <c r="A13" t="s">
        <v>8397</v>
      </c>
      <c r="B13" s="27">
        <f>_xlfn.QUARTILE.EXC('Successful U.S. Kickstarters'!E:E,1)</f>
        <v>1716.5074999999999</v>
      </c>
      <c r="C13" s="27">
        <f>_xlfn.QUARTILE.EXC('Failed U.S. Kickstarters'!E:E,1)</f>
        <v>9.25</v>
      </c>
    </row>
    <row r="14" spans="1:3" x14ac:dyDescent="0.2">
      <c r="A14" t="s">
        <v>8398</v>
      </c>
      <c r="B14" s="27">
        <f>B12-B13</f>
        <v>3982.4925000000003</v>
      </c>
      <c r="C14" s="27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Parent Category Statistics</vt:lpstr>
      <vt:lpstr>Subcategory Statistics</vt:lpstr>
      <vt:lpstr>Outcomes Based on Launch Date</vt:lpstr>
      <vt:lpstr>Outcomes Based on Goals</vt:lpstr>
      <vt:lpstr>Edinburgh Research</vt:lpstr>
      <vt:lpstr>Successful U.S. Kickstarters</vt:lpstr>
      <vt:lpstr>Failed U.S. Kickstarters</vt:lpstr>
      <vt:lpstr>Descriptive Statistics</vt:lpstr>
      <vt:lpstr>Box and Whisker Plots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Melody Li</cp:lastModifiedBy>
  <dcterms:created xsi:type="dcterms:W3CDTF">2017-04-20T15:17:24Z</dcterms:created>
  <dcterms:modified xsi:type="dcterms:W3CDTF">2020-05-18T06:06:48Z</dcterms:modified>
</cp:coreProperties>
</file>