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ola\Downloads\"/>
    </mc:Choice>
  </mc:AlternateContent>
  <xr:revisionPtr revIDLastSave="0" documentId="13_ncr:1_{FDAABB3A-5EA3-4EE5-A0D7-51DF1E6DDC40}" xr6:coauthVersionLast="47" xr6:coauthVersionMax="47" xr10:uidLastSave="{00000000-0000-0000-0000-000000000000}"/>
  <bookViews>
    <workbookView xWindow="-120" yWindow="-120" windowWidth="29040" windowHeight="15720" firstSheet="4" activeTab="9" xr2:uid="{8C6E9342-B9B8-3840-A097-39FF62BA98FD}"/>
  </bookViews>
  <sheets>
    <sheet name="Cash Flow" sheetId="6" r:id="rId1"/>
    <sheet name="Balance Sheet" sheetId="2" r:id="rId2"/>
    <sheet name="Reformulated Balance Sheet" sheetId="3" r:id="rId3"/>
    <sheet name="Income Statement" sheetId="1" r:id="rId4"/>
    <sheet name="Dupont Analysis" sheetId="5" r:id="rId5"/>
    <sheet name="Reformulated Income Statement" sheetId="4" r:id="rId6"/>
    <sheet name="Penman Analysis" sheetId="7" r:id="rId7"/>
    <sheet name="Credit Risk " sheetId="8" r:id="rId8"/>
    <sheet name="Accouting Analysis" sheetId="9" r:id="rId9"/>
    <sheet name="Forecasting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1" l="1"/>
  <c r="F3" i="11"/>
  <c r="G3" i="11"/>
  <c r="H3" i="11"/>
  <c r="I3" i="11"/>
  <c r="E3" i="11"/>
  <c r="B33" i="11"/>
  <c r="B29" i="11"/>
  <c r="D29" i="11"/>
  <c r="C33" i="11"/>
  <c r="D33" i="11"/>
  <c r="C28" i="11"/>
  <c r="C29" i="11" s="1"/>
  <c r="B28" i="11"/>
  <c r="I37" i="9"/>
  <c r="I35" i="9"/>
  <c r="I31" i="9"/>
  <c r="E13" i="11" l="1"/>
  <c r="E16" i="11" s="1"/>
  <c r="E12" i="11" l="1"/>
  <c r="E35" i="11"/>
  <c r="E33" i="11"/>
  <c r="G7" i="7"/>
  <c r="D12" i="7"/>
  <c r="D26" i="11"/>
  <c r="B26" i="11"/>
  <c r="B35" i="11" s="1"/>
  <c r="D25" i="11"/>
  <c r="C25" i="11"/>
  <c r="C7" i="7"/>
  <c r="C12" i="7"/>
  <c r="H7" i="7"/>
  <c r="D28" i="11"/>
  <c r="C26" i="11"/>
  <c r="C35" i="11" s="1"/>
  <c r="D2" i="11"/>
  <c r="C2" i="11"/>
  <c r="B2" i="11"/>
  <c r="D22" i="11"/>
  <c r="C22" i="11"/>
  <c r="E22" i="11" s="1"/>
  <c r="D12" i="11"/>
  <c r="C12" i="11"/>
  <c r="C11" i="11"/>
  <c r="E11" i="11" s="1"/>
  <c r="D32" i="11"/>
  <c r="C32" i="11"/>
  <c r="B32" i="11"/>
  <c r="D11" i="11"/>
  <c r="D7" i="11"/>
  <c r="D6" i="11" s="1"/>
  <c r="C7" i="11"/>
  <c r="C6" i="11" s="1"/>
  <c r="B7" i="11"/>
  <c r="B6" i="11" s="1"/>
  <c r="B13" i="11" s="1"/>
  <c r="E21" i="11" l="1"/>
  <c r="H22" i="11"/>
  <c r="G22" i="11"/>
  <c r="F22" i="11"/>
  <c r="D19" i="11"/>
  <c r="D24" i="11" s="1"/>
  <c r="D13" i="11"/>
  <c r="E10" i="11"/>
  <c r="F11" i="11"/>
  <c r="G11" i="11" s="1"/>
  <c r="H11" i="11" s="1"/>
  <c r="D8" i="11"/>
  <c r="C13" i="11"/>
  <c r="C14" i="11" s="1"/>
  <c r="C19" i="11"/>
  <c r="C24" i="11" s="1"/>
  <c r="B19" i="11"/>
  <c r="B24" i="11" s="1"/>
  <c r="C8" i="11"/>
  <c r="E2" i="11"/>
  <c r="D4" i="11"/>
  <c r="C4" i="11"/>
  <c r="F13" i="11" l="1"/>
  <c r="G13" i="11" s="1"/>
  <c r="E17" i="11"/>
  <c r="D14" i="11"/>
  <c r="D35" i="11"/>
  <c r="F10" i="11"/>
  <c r="F17" i="11" s="1"/>
  <c r="F21" i="11"/>
  <c r="G21" i="11" s="1"/>
  <c r="H21" i="11" s="1"/>
  <c r="I21" i="11" s="1"/>
  <c r="G10" i="11"/>
  <c r="F12" i="11"/>
  <c r="F16" i="11" s="1"/>
  <c r="H13" i="11"/>
  <c r="F2" i="11"/>
  <c r="I53" i="9"/>
  <c r="E19" i="11" l="1"/>
  <c r="E24" i="11" s="1"/>
  <c r="F33" i="11"/>
  <c r="F35" i="11" s="1"/>
  <c r="H33" i="11"/>
  <c r="G33" i="11"/>
  <c r="G35" i="11" s="1"/>
  <c r="H10" i="11"/>
  <c r="I10" i="11" s="1"/>
  <c r="G12" i="11"/>
  <c r="I13" i="11"/>
  <c r="G2" i="11"/>
  <c r="F19" i="11"/>
  <c r="F24" i="11" s="1"/>
  <c r="E13" i="9"/>
  <c r="F13" i="9"/>
  <c r="F18" i="9" s="1"/>
  <c r="D13" i="9"/>
  <c r="D18" i="9" s="1"/>
  <c r="D20" i="9" s="1"/>
  <c r="C54" i="9"/>
  <c r="E29" i="9"/>
  <c r="C44" i="9"/>
  <c r="E8" i="9"/>
  <c r="C52" i="9"/>
  <c r="C53" i="9"/>
  <c r="C51" i="9"/>
  <c r="E14" i="9"/>
  <c r="F14" i="9"/>
  <c r="D7" i="9"/>
  <c r="E19" i="9"/>
  <c r="F19" i="9"/>
  <c r="D19" i="9"/>
  <c r="E12" i="9"/>
  <c r="F12" i="9"/>
  <c r="D12" i="9"/>
  <c r="E18" i="9"/>
  <c r="E20" i="9" s="1"/>
  <c r="E7" i="9"/>
  <c r="D6" i="9"/>
  <c r="E6" i="9"/>
  <c r="R12" i="8"/>
  <c r="R10" i="8"/>
  <c r="R11" i="8"/>
  <c r="R9" i="8"/>
  <c r="K21" i="8"/>
  <c r="R8" i="8"/>
  <c r="R7" i="8"/>
  <c r="H30" i="1"/>
  <c r="K35" i="8"/>
  <c r="F20" i="8"/>
  <c r="G20" i="8"/>
  <c r="L34" i="8"/>
  <c r="F47" i="8" s="1"/>
  <c r="F49" i="8" s="1"/>
  <c r="M34" i="8"/>
  <c r="G47" i="8" s="1"/>
  <c r="K34" i="8"/>
  <c r="F48" i="8"/>
  <c r="E48" i="8"/>
  <c r="E26" i="8"/>
  <c r="E20" i="8"/>
  <c r="E21" i="8" s="1"/>
  <c r="E29" i="8" s="1"/>
  <c r="F26" i="8"/>
  <c r="G26" i="8"/>
  <c r="F25" i="8"/>
  <c r="G25" i="8"/>
  <c r="E25" i="8"/>
  <c r="L21" i="8"/>
  <c r="M21" i="8"/>
  <c r="L22" i="8"/>
  <c r="K22" i="8"/>
  <c r="L11" i="8"/>
  <c r="K11" i="8"/>
  <c r="L9" i="8"/>
  <c r="K9" i="8"/>
  <c r="M38" i="8"/>
  <c r="K38" i="8"/>
  <c r="F19" i="8"/>
  <c r="L38" i="8" s="1"/>
  <c r="G19" i="8"/>
  <c r="E19" i="8"/>
  <c r="F52" i="8"/>
  <c r="G52" i="8"/>
  <c r="E52" i="8"/>
  <c r="F38" i="8"/>
  <c r="G38" i="8"/>
  <c r="E38" i="8"/>
  <c r="E39" i="8" s="1"/>
  <c r="F24" i="8"/>
  <c r="G24" i="8"/>
  <c r="E24" i="8"/>
  <c r="F23" i="8"/>
  <c r="F27" i="8" s="1"/>
  <c r="G23" i="8"/>
  <c r="E23" i="8"/>
  <c r="E27" i="8" s="1"/>
  <c r="L15" i="8"/>
  <c r="E9" i="8"/>
  <c r="F9" i="8"/>
  <c r="F11" i="8"/>
  <c r="E11" i="8"/>
  <c r="K14" i="8" s="1"/>
  <c r="F10" i="8"/>
  <c r="L13" i="8" s="1"/>
  <c r="G10" i="8"/>
  <c r="E10" i="8"/>
  <c r="F8" i="8"/>
  <c r="F12" i="8" s="1"/>
  <c r="G8" i="8"/>
  <c r="E8" i="8"/>
  <c r="P13" i="4"/>
  <c r="G8" i="4"/>
  <c r="H7" i="4"/>
  <c r="I7" i="4"/>
  <c r="G7" i="4"/>
  <c r="F5" i="2"/>
  <c r="Q8" i="4"/>
  <c r="R8" i="4"/>
  <c r="R10" i="4" s="1"/>
  <c r="R13" i="4" s="1"/>
  <c r="O21" i="7" s="1"/>
  <c r="P8" i="4"/>
  <c r="P10" i="4" s="1"/>
  <c r="G9" i="4" s="1"/>
  <c r="D24" i="1"/>
  <c r="C24" i="1"/>
  <c r="B24" i="1"/>
  <c r="M21" i="3"/>
  <c r="M22" i="3" s="1"/>
  <c r="M30" i="3" s="1"/>
  <c r="E29" i="3"/>
  <c r="E30" i="3" s="1"/>
  <c r="O17" i="3"/>
  <c r="N17" i="3"/>
  <c r="M17" i="3"/>
  <c r="B10" i="5"/>
  <c r="B9" i="5"/>
  <c r="J2" i="5"/>
  <c r="G8" i="5"/>
  <c r="G4" i="5"/>
  <c r="F8" i="5"/>
  <c r="F4" i="5"/>
  <c r="A2" i="7"/>
  <c r="N5" i="7"/>
  <c r="O5" i="7"/>
  <c r="M5" i="7"/>
  <c r="N3" i="7"/>
  <c r="M3" i="7"/>
  <c r="N2" i="7"/>
  <c r="O2" i="7"/>
  <c r="M2" i="7"/>
  <c r="H8" i="4"/>
  <c r="I8" i="4"/>
  <c r="R3" i="4"/>
  <c r="Q3" i="4"/>
  <c r="P3" i="4"/>
  <c r="I6" i="4"/>
  <c r="H6" i="4"/>
  <c r="G6" i="4"/>
  <c r="H5" i="4"/>
  <c r="I5" i="4"/>
  <c r="G5" i="4"/>
  <c r="H4" i="4"/>
  <c r="I4" i="4"/>
  <c r="G4" i="4"/>
  <c r="H3" i="4"/>
  <c r="I3" i="4"/>
  <c r="G3" i="4"/>
  <c r="E32" i="11" l="1"/>
  <c r="F25" i="11"/>
  <c r="F32" i="11"/>
  <c r="E25" i="11"/>
  <c r="I33" i="11"/>
  <c r="I35" i="11" s="1"/>
  <c r="H35" i="11"/>
  <c r="F28" i="11"/>
  <c r="G17" i="11"/>
  <c r="G16" i="11"/>
  <c r="I12" i="11"/>
  <c r="H12" i="11"/>
  <c r="I16" i="11"/>
  <c r="H2" i="11"/>
  <c r="D14" i="9"/>
  <c r="H14" i="9"/>
  <c r="I28" i="9"/>
  <c r="I29" i="9"/>
  <c r="I30" i="9"/>
  <c r="I27" i="9"/>
  <c r="I26" i="9"/>
  <c r="D8" i="9"/>
  <c r="I14" i="9"/>
  <c r="H20" i="9"/>
  <c r="F20" i="9"/>
  <c r="I20" i="9" s="1"/>
  <c r="F21" i="8"/>
  <c r="F29" i="8" s="1"/>
  <c r="F39" i="8"/>
  <c r="G27" i="8"/>
  <c r="F28" i="8" s="1"/>
  <c r="E30" i="8"/>
  <c r="K36" i="8"/>
  <c r="E28" i="8"/>
  <c r="E34" i="8"/>
  <c r="E36" i="8" s="1"/>
  <c r="E40" i="8" s="1"/>
  <c r="K12" i="8"/>
  <c r="F34" i="8"/>
  <c r="F36" i="8" s="1"/>
  <c r="E47" i="8"/>
  <c r="E49" i="8" s="1"/>
  <c r="G12" i="8"/>
  <c r="L35" i="8"/>
  <c r="L36" i="8" s="1"/>
  <c r="E22" i="8"/>
  <c r="K39" i="8"/>
  <c r="K40" i="8" s="1"/>
  <c r="E51" i="8" s="1"/>
  <c r="G21" i="8"/>
  <c r="F22" i="8" s="1"/>
  <c r="M39" i="8"/>
  <c r="M40" i="8" s="1"/>
  <c r="L39" i="8"/>
  <c r="L40" i="8" s="1"/>
  <c r="E12" i="8"/>
  <c r="E13" i="8" s="1"/>
  <c r="F13" i="8"/>
  <c r="K13" i="8"/>
  <c r="K15" i="8" s="1"/>
  <c r="K16" i="8" s="1"/>
  <c r="Q10" i="4"/>
  <c r="H9" i="4" s="1"/>
  <c r="H10" i="4" s="1"/>
  <c r="I9" i="4"/>
  <c r="I10" i="4" s="1"/>
  <c r="M21" i="7"/>
  <c r="G10" i="4"/>
  <c r="B32" i="3"/>
  <c r="C2" i="7"/>
  <c r="D2" i="7"/>
  <c r="F29" i="3"/>
  <c r="F30" i="3" s="1"/>
  <c r="G29" i="3"/>
  <c r="B2" i="5"/>
  <c r="B6" i="5" s="1"/>
  <c r="M29" i="3"/>
  <c r="O3" i="3"/>
  <c r="N3" i="3"/>
  <c r="M3" i="3"/>
  <c r="O29" i="3"/>
  <c r="E15" i="3"/>
  <c r="F15" i="3"/>
  <c r="G15" i="3"/>
  <c r="G11" i="3"/>
  <c r="F11" i="3"/>
  <c r="E11" i="3"/>
  <c r="N29" i="3"/>
  <c r="M27" i="3"/>
  <c r="N27" i="3"/>
  <c r="O27" i="3"/>
  <c r="N26" i="3"/>
  <c r="O26" i="3"/>
  <c r="M26" i="3"/>
  <c r="N25" i="3"/>
  <c r="O25" i="3"/>
  <c r="M25" i="3"/>
  <c r="N24" i="3"/>
  <c r="O24" i="3"/>
  <c r="M24" i="3"/>
  <c r="N21" i="3"/>
  <c r="N22" i="3" s="1"/>
  <c r="M7" i="7" s="1"/>
  <c r="C17" i="7" s="1"/>
  <c r="O21" i="3"/>
  <c r="O22" i="3" s="1"/>
  <c r="N16" i="3"/>
  <c r="O16" i="3"/>
  <c r="M16" i="3"/>
  <c r="G19" i="3"/>
  <c r="G20" i="3"/>
  <c r="F19" i="3"/>
  <c r="F20" i="3"/>
  <c r="E19" i="3"/>
  <c r="E20" i="3"/>
  <c r="F18" i="3"/>
  <c r="G18" i="3"/>
  <c r="E18" i="3"/>
  <c r="F17" i="3"/>
  <c r="G17" i="3"/>
  <c r="E17" i="3"/>
  <c r="F16" i="3"/>
  <c r="G16" i="3"/>
  <c r="E16" i="3"/>
  <c r="O15" i="3"/>
  <c r="N15" i="3"/>
  <c r="M15" i="3"/>
  <c r="G12" i="3"/>
  <c r="G13" i="3"/>
  <c r="F12" i="3"/>
  <c r="F13" i="3"/>
  <c r="E12" i="3"/>
  <c r="E13" i="3"/>
  <c r="F4" i="3"/>
  <c r="G4" i="3"/>
  <c r="E4" i="3"/>
  <c r="F3" i="3"/>
  <c r="G3" i="3"/>
  <c r="E3" i="3"/>
  <c r="K7" i="5"/>
  <c r="K10" i="5" s="1"/>
  <c r="J7" i="5"/>
  <c r="J10" i="5" s="1"/>
  <c r="K3" i="5"/>
  <c r="K6" i="5" s="1"/>
  <c r="L3" i="5"/>
  <c r="L6" i="5" s="1"/>
  <c r="J3" i="5"/>
  <c r="J6" i="5" s="1"/>
  <c r="C2" i="5"/>
  <c r="K2" i="5" s="1"/>
  <c r="D2" i="5"/>
  <c r="L2" i="5" s="1"/>
  <c r="C3" i="5"/>
  <c r="K11" i="5" s="1"/>
  <c r="B3" i="5"/>
  <c r="J11" i="5" s="1"/>
  <c r="G21" i="1"/>
  <c r="F21" i="1"/>
  <c r="G19" i="1"/>
  <c r="F19" i="1"/>
  <c r="M16" i="2"/>
  <c r="G19" i="11" l="1"/>
  <c r="G24" i="11" s="1"/>
  <c r="G25" i="11"/>
  <c r="G32" i="11"/>
  <c r="G28" i="11"/>
  <c r="I17" i="11"/>
  <c r="H17" i="11"/>
  <c r="H19" i="11" s="1"/>
  <c r="H24" i="11" s="1"/>
  <c r="H16" i="11"/>
  <c r="I2" i="11"/>
  <c r="I19" i="11" s="1"/>
  <c r="I24" i="11" s="1"/>
  <c r="I32" i="11" s="1"/>
  <c r="I39" i="9"/>
  <c r="I52" i="9" s="1"/>
  <c r="G34" i="8"/>
  <c r="G36" i="8" s="1"/>
  <c r="G40" i="8" s="1"/>
  <c r="G29" i="8"/>
  <c r="F30" i="8" s="1"/>
  <c r="G51" i="8"/>
  <c r="G53" i="8" s="1"/>
  <c r="F51" i="8"/>
  <c r="F53" i="8" s="1"/>
  <c r="K37" i="8"/>
  <c r="E53" i="8"/>
  <c r="E55" i="8" s="1"/>
  <c r="F40" i="8"/>
  <c r="F41" i="8" s="1"/>
  <c r="F37" i="8"/>
  <c r="E37" i="8"/>
  <c r="K41" i="8"/>
  <c r="K42" i="8"/>
  <c r="L42" i="8"/>
  <c r="L41" i="8"/>
  <c r="N4" i="7"/>
  <c r="D7" i="7" s="1"/>
  <c r="Q13" i="4"/>
  <c r="N21" i="7" s="1"/>
  <c r="B12" i="4"/>
  <c r="M4" i="7"/>
  <c r="O4" i="7"/>
  <c r="D12" i="4"/>
  <c r="N7" i="7"/>
  <c r="D17" i="7" s="1"/>
  <c r="N22" i="7"/>
  <c r="M22" i="7"/>
  <c r="G22" i="7" s="1"/>
  <c r="C22" i="7" s="1"/>
  <c r="M6" i="7"/>
  <c r="G30" i="3"/>
  <c r="D32" i="3" s="1"/>
  <c r="K8" i="5"/>
  <c r="B4" i="5"/>
  <c r="B2" i="7"/>
  <c r="C32" i="3"/>
  <c r="O30" i="3"/>
  <c r="N30" i="3"/>
  <c r="J8" i="5"/>
  <c r="B7" i="5"/>
  <c r="B8" i="5" s="1"/>
  <c r="K4" i="5"/>
  <c r="C9" i="5" s="1"/>
  <c r="J12" i="5"/>
  <c r="K12" i="5"/>
  <c r="C7" i="5"/>
  <c r="C6" i="5"/>
  <c r="C8" i="5" s="1"/>
  <c r="J4" i="5"/>
  <c r="D6" i="5"/>
  <c r="C4" i="5"/>
  <c r="H25" i="11" l="1"/>
  <c r="H32" i="11"/>
  <c r="I25" i="11"/>
  <c r="H28" i="11"/>
  <c r="I28" i="11"/>
  <c r="D46" i="9"/>
  <c r="D53" i="9"/>
  <c r="I54" i="9"/>
  <c r="D51" i="9" s="1"/>
  <c r="F55" i="8"/>
  <c r="F54" i="8"/>
  <c r="E50" i="8"/>
  <c r="E54" i="8"/>
  <c r="E56" i="8"/>
  <c r="K43" i="8"/>
  <c r="H22" i="7"/>
  <c r="K22" i="7" s="1"/>
  <c r="C12" i="4"/>
  <c r="B7" i="7"/>
  <c r="G17" i="7"/>
  <c r="A7" i="7"/>
  <c r="J22" i="7"/>
  <c r="B17" i="7"/>
  <c r="A17" i="7"/>
  <c r="N6" i="7"/>
  <c r="O4" i="5"/>
  <c r="N4" i="5"/>
  <c r="N8" i="5"/>
  <c r="O8" i="5"/>
  <c r="O12" i="5"/>
  <c r="N12" i="5"/>
  <c r="C10" i="5"/>
  <c r="D54" i="9" l="1"/>
  <c r="E54" i="9" s="1"/>
  <c r="F54" i="9" s="1"/>
  <c r="E53" i="9"/>
  <c r="F53" i="9" s="1"/>
  <c r="D52" i="9"/>
  <c r="E52" i="9" s="1"/>
  <c r="F52" i="9" s="1"/>
  <c r="E51" i="9"/>
  <c r="F51" i="9" s="1"/>
  <c r="A12" i="7"/>
  <c r="B12" i="7"/>
  <c r="D26" i="7"/>
  <c r="G3" i="1"/>
  <c r="H3" i="1"/>
  <c r="J3" i="1"/>
  <c r="K3" i="1"/>
  <c r="K6" i="2"/>
  <c r="K7" i="2"/>
  <c r="K8" i="2"/>
  <c r="K10" i="2"/>
  <c r="K11" i="2"/>
  <c r="K12" i="2"/>
  <c r="K13" i="2"/>
  <c r="K14" i="2"/>
  <c r="K15" i="2"/>
  <c r="K16" i="2"/>
  <c r="K17" i="2"/>
  <c r="K18" i="2"/>
  <c r="K19" i="2"/>
  <c r="K21" i="2"/>
  <c r="K22" i="2"/>
  <c r="K23" i="2"/>
  <c r="K24" i="2"/>
  <c r="K25" i="2"/>
  <c r="K26" i="2"/>
  <c r="K27" i="2"/>
  <c r="K28" i="2"/>
  <c r="K29" i="2"/>
  <c r="K30" i="2"/>
  <c r="K32" i="2"/>
  <c r="K33" i="2"/>
  <c r="K34" i="2"/>
  <c r="K35" i="2"/>
  <c r="K36" i="2"/>
  <c r="K5" i="2"/>
  <c r="J7" i="2"/>
  <c r="J8" i="2"/>
  <c r="J10" i="2"/>
  <c r="J11" i="2"/>
  <c r="J12" i="2"/>
  <c r="J13" i="2"/>
  <c r="J14" i="2"/>
  <c r="J15" i="2"/>
  <c r="J16" i="2"/>
  <c r="J17" i="2"/>
  <c r="J18" i="2"/>
  <c r="J19" i="2"/>
  <c r="J21" i="2"/>
  <c r="J22" i="2"/>
  <c r="J23" i="2"/>
  <c r="J24" i="2"/>
  <c r="J25" i="2"/>
  <c r="J26" i="2"/>
  <c r="J27" i="2"/>
  <c r="J28" i="2"/>
  <c r="J29" i="2"/>
  <c r="J30" i="2"/>
  <c r="J32" i="2"/>
  <c r="J33" i="2"/>
  <c r="J34" i="2"/>
  <c r="J35" i="2"/>
  <c r="J36" i="2"/>
  <c r="J6" i="2"/>
  <c r="K4" i="1"/>
  <c r="K5" i="1"/>
  <c r="K6" i="1"/>
  <c r="K7" i="1"/>
  <c r="K8" i="1"/>
  <c r="K9" i="1"/>
  <c r="K10" i="1"/>
  <c r="K11" i="1"/>
  <c r="K12" i="1"/>
  <c r="K13" i="1"/>
  <c r="K14" i="1"/>
  <c r="J5" i="1"/>
  <c r="J6" i="1"/>
  <c r="J7" i="1"/>
  <c r="J8" i="1"/>
  <c r="J9" i="1"/>
  <c r="J10" i="1"/>
  <c r="J11" i="1"/>
  <c r="J12" i="1"/>
  <c r="J13" i="1"/>
  <c r="J14" i="1"/>
  <c r="J4" i="1"/>
  <c r="F18" i="1"/>
  <c r="F12" i="1"/>
  <c r="F4" i="1"/>
  <c r="F5" i="1"/>
  <c r="F6" i="1"/>
  <c r="F7" i="1"/>
  <c r="F8" i="1"/>
  <c r="F9" i="1"/>
  <c r="F10" i="1"/>
  <c r="F11" i="1"/>
  <c r="F3" i="1"/>
  <c r="J5" i="2"/>
  <c r="G5" i="2"/>
  <c r="H5" i="2"/>
  <c r="F6" i="2"/>
  <c r="G6" i="2"/>
  <c r="H6" i="2"/>
  <c r="F7" i="2"/>
  <c r="G7" i="2"/>
  <c r="H7" i="2"/>
  <c r="F8" i="2"/>
  <c r="G8" i="2"/>
  <c r="H8" i="2"/>
  <c r="M8" i="2"/>
  <c r="N8" i="2"/>
  <c r="O8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N16" i="2"/>
  <c r="O16" i="2"/>
  <c r="O17" i="2" s="1"/>
  <c r="F17" i="2"/>
  <c r="G17" i="2"/>
  <c r="H17" i="2"/>
  <c r="M17" i="2"/>
  <c r="N17" i="2"/>
  <c r="F18" i="2"/>
  <c r="G18" i="2"/>
  <c r="H18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B30" i="2"/>
  <c r="C30" i="2"/>
  <c r="D30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J16" i="1"/>
  <c r="G18" i="1"/>
  <c r="H18" i="1"/>
  <c r="H19" i="1"/>
  <c r="J7" i="7" l="1"/>
  <c r="D22" i="7"/>
  <c r="K7" i="7"/>
  <c r="H17" i="7" l="1"/>
  <c r="B22" i="7"/>
  <c r="A22" i="7"/>
  <c r="E26" i="7" l="1"/>
  <c r="J17" i="7"/>
  <c r="K17" i="7"/>
  <c r="E41" i="8" l="1"/>
</calcChain>
</file>

<file path=xl/sharedStrings.xml><?xml version="1.0" encoding="utf-8"?>
<sst xmlns="http://schemas.openxmlformats.org/spreadsheetml/2006/main" count="425" uniqueCount="277">
  <si>
    <t>Total revenue</t>
  </si>
  <si>
    <t> </t>
  </si>
  <si>
    <t>Other revenue</t>
  </si>
  <si>
    <t>Percentage Change</t>
  </si>
  <si>
    <t>Sales</t>
  </si>
  <si>
    <t>Antidilutive shares (in shares)</t>
  </si>
  <si>
    <t>Gross Profit Margin</t>
  </si>
  <si>
    <t>Diluted (in shares)</t>
  </si>
  <si>
    <t>Basic (in shares)</t>
  </si>
  <si>
    <t>Weighted average common shares outstanding</t>
  </si>
  <si>
    <t>Diluted earnings per share (in usd per share)</t>
  </si>
  <si>
    <t>Net earnings per share (in dollars per share)</t>
  </si>
  <si>
    <t>Net earnings (Earnings from Continuing operations)</t>
  </si>
  <si>
    <t>Provision for income taxes</t>
  </si>
  <si>
    <t>Earnings before income taxes (Earnings from continuing operations before tax income)</t>
  </si>
  <si>
    <t>Net other (income) / expense</t>
  </si>
  <si>
    <t>Net interest expense</t>
  </si>
  <si>
    <t>Operating income</t>
  </si>
  <si>
    <t>Depreciation and amortization (exclusive of depreciation included in cost of sales)</t>
  </si>
  <si>
    <t>Selling, general and administrative expenses</t>
  </si>
  <si>
    <t>Cost of sales</t>
  </si>
  <si>
    <t>Jan. 29, 2022</t>
  </si>
  <si>
    <t>Jan. 28, 2023</t>
  </si>
  <si>
    <t>Jan. 30, 2021</t>
  </si>
  <si>
    <t xml:space="preserve">Percantage Change </t>
  </si>
  <si>
    <t>Common Size</t>
  </si>
  <si>
    <t>12 Months Ended</t>
  </si>
  <si>
    <t>Consolidated Statements of Operations - USD ($) $ in Millions</t>
  </si>
  <si>
    <t>Total liabilities and shareholders' investment</t>
  </si>
  <si>
    <t>Total shareholders' investment</t>
  </si>
  <si>
    <t>Accumulated other comprehensive loss</t>
  </si>
  <si>
    <t>Retained earnings</t>
  </si>
  <si>
    <t>Additional paid-in capital</t>
  </si>
  <si>
    <t>Common stock</t>
  </si>
  <si>
    <t>Shareholders' investment</t>
  </si>
  <si>
    <t>Total Liabilites</t>
  </si>
  <si>
    <t>Total noncurrent liabilities</t>
  </si>
  <si>
    <t>Other noncurrent liabilities</t>
  </si>
  <si>
    <t>Deferred income taxes</t>
  </si>
  <si>
    <t>Noncurrent operating lease liabilities</t>
  </si>
  <si>
    <t>Long-term debt and other borrowings</t>
  </si>
  <si>
    <t>Total current liabilities</t>
  </si>
  <si>
    <t>Current portion of long-term debt and other borrowings</t>
  </si>
  <si>
    <t>Accrued and other current liabilities</t>
  </si>
  <si>
    <t>Accounts payable</t>
  </si>
  <si>
    <t>Liabilities and shareholders' investment</t>
  </si>
  <si>
    <t>Total assets</t>
  </si>
  <si>
    <t>Other noncurrent assets</t>
  </si>
  <si>
    <t>Operating lease assets</t>
  </si>
  <si>
    <t>Property and equipment, net</t>
  </si>
  <si>
    <t>Total Long Term/ Total Asset</t>
  </si>
  <si>
    <t>Accumulated depreciation</t>
  </si>
  <si>
    <t>Construction-in-progress</t>
  </si>
  <si>
    <t>Computer hardware and software</t>
  </si>
  <si>
    <t>Fixtures and equipment</t>
  </si>
  <si>
    <t>Buildings and improvements</t>
  </si>
  <si>
    <t>Land</t>
  </si>
  <si>
    <t>Property and equipment</t>
  </si>
  <si>
    <t>Total current assets</t>
  </si>
  <si>
    <t>Total Current/Total Asset</t>
  </si>
  <si>
    <t>Other current assets</t>
  </si>
  <si>
    <t>Inventory</t>
  </si>
  <si>
    <t>Cash and cash equivalents</t>
  </si>
  <si>
    <t>Assets</t>
  </si>
  <si>
    <t>Jan. 30  2021</t>
  </si>
  <si>
    <t>Jan. 30 2021</t>
  </si>
  <si>
    <t>Total Asset</t>
  </si>
  <si>
    <t xml:space="preserve">Common Size Analysis </t>
  </si>
  <si>
    <t>Consolidated Statements of Financial Position - USD ($) $ in Millions</t>
  </si>
  <si>
    <t>Net Operating Assets</t>
  </si>
  <si>
    <t>Return on Common Equity</t>
  </si>
  <si>
    <t>Leverage</t>
  </si>
  <si>
    <t>NIC</t>
  </si>
  <si>
    <t>Leased assets obtained in exchange for new operating lease liabilities</t>
  </si>
  <si>
    <t>Leased assets obtained in exchange for new finance lease liabilities</t>
  </si>
  <si>
    <t>Income taxes paid</t>
  </si>
  <si>
    <t>Interest paid, net of capitalized interest</t>
  </si>
  <si>
    <t>Supplemental information</t>
  </si>
  <si>
    <t>Cash and cash equivalents at end of period</t>
  </si>
  <si>
    <t>Cash and cash equivalents at beginning of period</t>
  </si>
  <si>
    <t>Net (decrease) / increase in cash and cash equivalents</t>
  </si>
  <si>
    <t>Cash required for financing activities</t>
  </si>
  <si>
    <t>Stock option exercises</t>
  </si>
  <si>
    <t>Repurchase of stock</t>
  </si>
  <si>
    <t>Dividends paid</t>
  </si>
  <si>
    <t>Reductions of long-term debt</t>
  </si>
  <si>
    <t>Additions to long-term debt</t>
  </si>
  <si>
    <t>Financing activities</t>
  </si>
  <si>
    <t>Cash required for investing activities</t>
  </si>
  <si>
    <t>Other investments</t>
  </si>
  <si>
    <t>Proceeds from Dermstore sale</t>
  </si>
  <si>
    <t>Proceeds from disposal of property and equipment</t>
  </si>
  <si>
    <t>Expenditures for property and equipment</t>
  </si>
  <si>
    <t>Investing activities</t>
  </si>
  <si>
    <t>Cash provided by operating activities</t>
  </si>
  <si>
    <t>Accrued and other liabilities</t>
  </si>
  <si>
    <t>Other assets</t>
  </si>
  <si>
    <t>Changes in operating accounts:</t>
  </si>
  <si>
    <t>Noncash losses / (gains) and other, net</t>
  </si>
  <si>
    <t>Loss on debt extinguishment</t>
  </si>
  <si>
    <t>Gain on Dermstore sale</t>
  </si>
  <si>
    <t>Share-based compensation expense</t>
  </si>
  <si>
    <t>Depreciation and amortization</t>
  </si>
  <si>
    <t>Adjustments to reconcile net earnings to cash provided by operations:</t>
  </si>
  <si>
    <t>Net earnings</t>
  </si>
  <si>
    <t>Operating activities</t>
  </si>
  <si>
    <t>Consolidated Statements of Cash Flows - USD ($) $ in Millions</t>
  </si>
  <si>
    <t xml:space="preserve">NIC </t>
  </si>
  <si>
    <t>Avg. CSE</t>
  </si>
  <si>
    <t>Return on Assests for ROCE</t>
  </si>
  <si>
    <t>Avg. TA</t>
  </si>
  <si>
    <t>Profit Margin</t>
  </si>
  <si>
    <t>Rev/Sales</t>
  </si>
  <si>
    <t>Asset Turnover</t>
  </si>
  <si>
    <t>Avg.TA</t>
  </si>
  <si>
    <t>Check</t>
  </si>
  <si>
    <t>Net Non-Operating Obligations &amp; CSE</t>
  </si>
  <si>
    <t>N</t>
  </si>
  <si>
    <t>O</t>
  </si>
  <si>
    <t>Total Operating Assets</t>
  </si>
  <si>
    <t>Total Non-Operating Assets</t>
  </si>
  <si>
    <t>Total Non-Operating Liabilities</t>
  </si>
  <si>
    <t>Net Non-Operating Obligations (NNO)</t>
  </si>
  <si>
    <t>Common Shareholders' Equity</t>
  </si>
  <si>
    <t>Total NNO &amp; CSE</t>
  </si>
  <si>
    <t>Total Operating Liabilities</t>
  </si>
  <si>
    <t>check</t>
  </si>
  <si>
    <t>PPE Net</t>
  </si>
  <si>
    <t xml:space="preserve"> </t>
  </si>
  <si>
    <t>Change</t>
  </si>
  <si>
    <t>% Change</t>
  </si>
  <si>
    <t>Operating  Income</t>
  </si>
  <si>
    <t>Non-Operating Expenses</t>
  </si>
  <si>
    <t xml:space="preserve">Depreciation and amortization </t>
  </si>
  <si>
    <t>Net interest expense and other</t>
  </si>
  <si>
    <t>Non-Operating Expenses Pretax</t>
  </si>
  <si>
    <t>Provision for income taxes (on non-operations)</t>
  </si>
  <si>
    <t>Statutory tax rate (from 10k)</t>
  </si>
  <si>
    <t>%</t>
  </si>
  <si>
    <t>Operating Income Pretax</t>
  </si>
  <si>
    <t>NOPAT</t>
  </si>
  <si>
    <t xml:space="preserve">Check </t>
  </si>
  <si>
    <t>Non-Operating Expenses, net (NNE)</t>
  </si>
  <si>
    <t>Total Net Operating Assets (NOA)</t>
  </si>
  <si>
    <t>Net Operating Asset Turnover</t>
  </si>
  <si>
    <t>Sales/Rev</t>
  </si>
  <si>
    <t>Financial Leverage</t>
  </si>
  <si>
    <t>Avg. NNO</t>
  </si>
  <si>
    <t xml:space="preserve">Spread </t>
  </si>
  <si>
    <t>Net Non-Op Exp</t>
  </si>
  <si>
    <t>Non-operating Margin (NOPM)</t>
  </si>
  <si>
    <t>AVG. CSE</t>
  </si>
  <si>
    <t>AVG. Net Op Assets</t>
  </si>
  <si>
    <t>Non-Op Return</t>
  </si>
  <si>
    <t>RNOA</t>
  </si>
  <si>
    <t>Borrowing Rate</t>
  </si>
  <si>
    <t>Avg. Net Non-Op Obligations</t>
  </si>
  <si>
    <t>%Change</t>
  </si>
  <si>
    <t>Current Ratio</t>
  </si>
  <si>
    <t>Current Assets</t>
  </si>
  <si>
    <t xml:space="preserve">Current Liabilities </t>
  </si>
  <si>
    <t xml:space="preserve">Change </t>
  </si>
  <si>
    <t>Quick Ratio</t>
  </si>
  <si>
    <t>Cash</t>
  </si>
  <si>
    <t xml:space="preserve">S-T Investments </t>
  </si>
  <si>
    <t>Receivables</t>
  </si>
  <si>
    <t xml:space="preserve">Quick Assets </t>
  </si>
  <si>
    <t>Debt to EBITDA</t>
  </si>
  <si>
    <t>Short-Term Debt</t>
  </si>
  <si>
    <t>Long-Term Debt</t>
  </si>
  <si>
    <t xml:space="preserve">Total LT + ST Debt </t>
  </si>
  <si>
    <t xml:space="preserve">Net Income </t>
  </si>
  <si>
    <t xml:space="preserve">Tax Benefit </t>
  </si>
  <si>
    <t xml:space="preserve">Interest Expense </t>
  </si>
  <si>
    <t>Interest Expense, net</t>
  </si>
  <si>
    <t>D&amp;A</t>
  </si>
  <si>
    <t>EBITDA</t>
  </si>
  <si>
    <t>Debt-to-EBITDA</t>
  </si>
  <si>
    <t>Times Interest Earned</t>
  </si>
  <si>
    <t>EBITDA-CAPEX Interest Coverage</t>
  </si>
  <si>
    <t>CAPEX</t>
  </si>
  <si>
    <t>EBITDA-CAPEX</t>
  </si>
  <si>
    <t>EBITDA-CAPEX/Int. Exp</t>
  </si>
  <si>
    <t xml:space="preserve">Free Cash Flow to Total Debt </t>
  </si>
  <si>
    <t>Cash from Operations</t>
  </si>
  <si>
    <t>Free Cash Flow</t>
  </si>
  <si>
    <t xml:space="preserve">Total Debt </t>
  </si>
  <si>
    <t>FCF to Debt</t>
  </si>
  <si>
    <t>Retained Cash Flow to Net Debt</t>
  </si>
  <si>
    <t>Dividends</t>
  </si>
  <si>
    <t xml:space="preserve">Retained Cash Flow </t>
  </si>
  <si>
    <t>S+T Debt</t>
  </si>
  <si>
    <t>- Cash</t>
  </si>
  <si>
    <t>Net Debt</t>
  </si>
  <si>
    <t>RCF to Net Debt</t>
  </si>
  <si>
    <t xml:space="preserve">Long-term debt and other borrowings			</t>
  </si>
  <si>
    <t>(NI + Int. Exp. + Tax Exp.) / Int. Exp.</t>
  </si>
  <si>
    <t>Z Score</t>
  </si>
  <si>
    <t>PP&amp;E Turnover</t>
  </si>
  <si>
    <t xml:space="preserve">Average PP&amp;E </t>
  </si>
  <si>
    <t xml:space="preserve">Percent Used Up </t>
  </si>
  <si>
    <t>Useful Life</t>
  </si>
  <si>
    <t>Accumlated Depreciation</t>
  </si>
  <si>
    <t>Depreciable Asset Cost</t>
  </si>
  <si>
    <t>Depreciable Expense</t>
  </si>
  <si>
    <t>Assumptions: Straight Line and 0 Salavage Value</t>
  </si>
  <si>
    <t>Fixed Asset Analysis</t>
  </si>
  <si>
    <t>Leases</t>
  </si>
  <si>
    <t>Commute Interest Rate</t>
  </si>
  <si>
    <t xml:space="preserve">Time Zero </t>
  </si>
  <si>
    <t xml:space="preserve">Year 1 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</si>
  <si>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</si>
  <si>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</si>
  <si>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</si>
  <si>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</si>
  <si>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</si>
  <si>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</si>
  <si>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</si>
  <si>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</si>
  <si>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</si>
  <si>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</si>
  <si>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</si>
  <si>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</si>
  <si>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Thereafter: 1847</t>
  </si>
  <si>
    <t>Year 14</t>
  </si>
  <si>
    <t>Year 15</t>
  </si>
  <si>
    <t>Year 16</t>
  </si>
  <si>
    <t>IRR</t>
  </si>
  <si>
    <t>PV of Operating Lease Payments</t>
  </si>
  <si>
    <t>Year</t>
  </si>
  <si>
    <t>Amount</t>
  </si>
  <si>
    <t>PV</t>
  </si>
  <si>
    <t>Sum</t>
  </si>
  <si>
    <t>Thereafter PV</t>
  </si>
  <si>
    <t>PV of Annuity @ Y5</t>
  </si>
  <si>
    <t>PV Today of Annunity</t>
  </si>
  <si>
    <t>Total</t>
  </si>
  <si>
    <t>Interest Expense on Operating Leases</t>
  </si>
  <si>
    <t>Rent Expense</t>
  </si>
  <si>
    <t>Depreciation &amp; Amortization</t>
  </si>
  <si>
    <t>Pre-Tax Operating Income</t>
  </si>
  <si>
    <t>Interest Expense</t>
  </si>
  <si>
    <t>Operating Cash Flow</t>
  </si>
  <si>
    <t>Reported</t>
  </si>
  <si>
    <t>Adjustment</t>
  </si>
  <si>
    <t>Adjusted for Capitalizing Leases</t>
  </si>
  <si>
    <t>Depreciation Expense</t>
  </si>
  <si>
    <t>Cost</t>
  </si>
  <si>
    <t>Life</t>
  </si>
  <si>
    <t>Thereafter Period</t>
  </si>
  <si>
    <t>I/S Adjustments</t>
  </si>
  <si>
    <t>2020A</t>
  </si>
  <si>
    <t>2021A</t>
  </si>
  <si>
    <t>2022A</t>
  </si>
  <si>
    <t>2023E</t>
  </si>
  <si>
    <t>2024E</t>
  </si>
  <si>
    <t>2025E</t>
  </si>
  <si>
    <t>2026E</t>
  </si>
  <si>
    <t>TERMINAL</t>
  </si>
  <si>
    <t>Digital sales</t>
  </si>
  <si>
    <t>% Sales digital</t>
  </si>
  <si>
    <t>% Growth</t>
  </si>
  <si>
    <t>Store sales</t>
  </si>
  <si>
    <t>% Sales from stores</t>
  </si>
  <si>
    <t>Stores</t>
  </si>
  <si>
    <t>New stores</t>
  </si>
  <si>
    <t>Revenues per store</t>
  </si>
  <si>
    <t xml:space="preserve">Sales from new stores </t>
  </si>
  <si>
    <t>Sales from existing stores</t>
  </si>
  <si>
    <t>Total Sales</t>
  </si>
  <si>
    <t>Other Revenue</t>
  </si>
  <si>
    <t>Total Revenues</t>
  </si>
  <si>
    <t>NOPAT, as reported</t>
  </si>
  <si>
    <t>Adjustments</t>
  </si>
  <si>
    <t>NOPAT, adjusted</t>
  </si>
  <si>
    <t>NOPM, adjusted</t>
  </si>
  <si>
    <t>NOAT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</si>
</sst>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 &quot;#,##0_);_(&quot;$ &quot;\(#,##0\)"/>
    <numFmt numFmtId="165" formatCode="_(&quot;$ &quot;#,##0.00_);_(&quot;$ &quot;\(#,##0.00\)"/>
    <numFmt numFmtId="166" formatCode="0.0000%"/>
    <numFmt numFmtId="167" formatCode="0.0000"/>
    <numFmt numFmtId="168" formatCode="_-* #,##0_-;\-* #,##0_-;_-* &quot;-&quot;??_-;_-@_-"/>
    <numFmt numFmtId="169" formatCode="0.0%"/>
  </numFmts>
  <fonts count="2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 (Body)"/>
    </font>
    <font>
      <sz val="8"/>
      <name val="Calibri"/>
      <family val="2"/>
      <scheme val="minor"/>
    </font>
    <font>
      <b/>
      <sz val="11"/>
      <color theme="1"/>
      <name val="Book Antiqua"/>
      <family val="1"/>
    </font>
    <font>
      <u/>
      <sz val="11"/>
      <color theme="1"/>
      <name val="Book Antiqua"/>
      <family val="1"/>
    </font>
    <font>
      <b/>
      <u/>
      <sz val="11"/>
      <color theme="1"/>
      <name val="Book Antiqua"/>
      <family val="1"/>
    </font>
    <font>
      <sz val="11"/>
      <color theme="1"/>
      <name val="Book Antiqua"/>
      <family val="1"/>
    </font>
    <font>
      <i/>
      <sz val="11"/>
      <color theme="0" tint="-0.499984740745262"/>
      <name val="Book Antiqua"/>
      <family val="1"/>
    </font>
    <font>
      <i/>
      <sz val="11"/>
      <color rgb="FF808080"/>
      <name val="Book Antiqua"/>
      <family val="1"/>
    </font>
    <font>
      <b/>
      <i/>
      <sz val="11"/>
      <color theme="0" tint="-0.499984740745262"/>
      <name val="Book Antiqua"/>
      <family val="1"/>
    </font>
    <font>
      <i/>
      <sz val="11"/>
      <name val="Book Antiqua"/>
      <family val="1"/>
    </font>
    <font>
      <b/>
      <sz val="12"/>
      <color theme="1"/>
      <name val="Calibri"/>
      <family val="2"/>
      <scheme val="minor"/>
    </font>
    <font>
      <i/>
      <sz val="11"/>
      <color theme="1"/>
      <name val="Book Antiqua"/>
      <family val="1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9">
    <xf numFmtId="0" fontId="0" fillId="0" borderId="0" xfId="0"/>
    <xf numFmtId="9" fontId="0" fillId="0" borderId="0" xfId="1" applyFont="1"/>
    <xf numFmtId="164" fontId="0" fillId="0" borderId="0" xfId="0" applyNumberFormat="1"/>
    <xf numFmtId="164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vertical="top" wrapText="1"/>
    </xf>
    <xf numFmtId="10" fontId="0" fillId="0" borderId="0" xfId="0" applyNumberFormat="1"/>
    <xf numFmtId="37" fontId="4" fillId="0" borderId="0" xfId="0" applyNumberFormat="1" applyFont="1" applyAlignment="1">
      <alignment horizontal="right" vertical="top"/>
    </xf>
    <xf numFmtId="0" fontId="5" fillId="0" borderId="0" xfId="0" applyFont="1" applyAlignment="1">
      <alignment vertical="top" wrapText="1"/>
    </xf>
    <xf numFmtId="165" fontId="4" fillId="0" borderId="0" xfId="0" applyNumberFormat="1" applyFont="1" applyAlignment="1">
      <alignment horizontal="right" vertical="top"/>
    </xf>
    <xf numFmtId="10" fontId="0" fillId="0" borderId="0" xfId="1" applyNumberFormat="1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10" fontId="6" fillId="0" borderId="0" xfId="0" applyNumberFormat="1" applyFont="1"/>
    <xf numFmtId="0" fontId="6" fillId="0" borderId="0" xfId="0" applyFont="1"/>
    <xf numFmtId="37" fontId="5" fillId="0" borderId="0" xfId="0" applyNumberFormat="1" applyFont="1" applyAlignment="1">
      <alignment horizontal="right" vertical="top"/>
    </xf>
    <xf numFmtId="10" fontId="6" fillId="0" borderId="0" xfId="1" applyNumberFormat="1" applyFont="1"/>
    <xf numFmtId="37" fontId="0" fillId="0" borderId="0" xfId="0" applyNumberFormat="1"/>
    <xf numFmtId="10" fontId="3" fillId="0" borderId="0" xfId="1" applyNumberFormat="1" applyFont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2" fontId="0" fillId="0" borderId="0" xfId="0" applyNumberFormat="1"/>
    <xf numFmtId="2" fontId="0" fillId="0" borderId="0" xfId="0" applyNumberFormat="1"/>
    <xf numFmtId="2" fontId="6" fillId="0" borderId="0" xfId="0" applyNumberFormat="1" applyFont="1"/>
    <xf numFmtId="2" fontId="6" fillId="0" borderId="0" xfId="2" applyNumberFormat="1" applyFont="1"/>
    <xf numFmtId="0" fontId="6" fillId="0" borderId="1" xfId="0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37" fontId="0" fillId="0" borderId="2" xfId="0" applyNumberFormat="1" applyBorder="1"/>
    <xf numFmtId="0" fontId="0" fillId="0" borderId="0" xfId="0" applyAlignment="1">
      <alignment vertical="top"/>
    </xf>
    <xf numFmtId="37" fontId="6" fillId="0" borderId="2" xfId="0" applyNumberFormat="1" applyFont="1" applyBorder="1"/>
    <xf numFmtId="0" fontId="6" fillId="0" borderId="2" xfId="0" applyFont="1" applyBorder="1"/>
    <xf numFmtId="0" fontId="0" fillId="0" borderId="1" xfId="0" applyBorder="1"/>
    <xf numFmtId="9" fontId="0" fillId="0" borderId="0" xfId="0" applyNumberFormat="1"/>
    <xf numFmtId="44" fontId="6" fillId="0" borderId="2" xfId="0" applyNumberFormat="1" applyFont="1" applyBorder="1"/>
    <xf numFmtId="0" fontId="6" fillId="0" borderId="0" xfId="0" applyFont="1" applyAlignment="1">
      <alignment horizontal="center"/>
    </xf>
    <xf numFmtId="44" fontId="6" fillId="0" borderId="0" xfId="0" applyNumberFormat="1" applyFont="1"/>
    <xf numFmtId="10" fontId="6" fillId="0" borderId="0" xfId="0" applyNumberFormat="1" applyFont="1" applyAlignment="1">
      <alignment horizontal="center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0" fillId="0" borderId="0" xfId="0" applyAlignment="1">
      <alignment horizontal="right"/>
    </xf>
    <xf numFmtId="37" fontId="0" fillId="0" borderId="1" xfId="0" applyNumberFormat="1" applyBorder="1"/>
    <xf numFmtId="49" fontId="0" fillId="0" borderId="1" xfId="0" applyNumberFormat="1" applyBorder="1"/>
    <xf numFmtId="0" fontId="0" fillId="0" borderId="2" xfId="0" applyBorder="1"/>
    <xf numFmtId="167" fontId="0" fillId="0" borderId="0" xfId="0" applyNumberFormat="1"/>
    <xf numFmtId="10" fontId="11" fillId="0" borderId="0" xfId="0" applyNumberFormat="1" applyFont="1"/>
    <xf numFmtId="8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2" fillId="0" borderId="0" xfId="3"/>
    <xf numFmtId="169" fontId="18" fillId="0" borderId="0" xfId="4" applyNumberFormat="1" applyFont="1" applyAlignment="1">
      <alignment horizontal="right"/>
    </xf>
    <xf numFmtId="3" fontId="18" fillId="0" borderId="0" xfId="3" applyNumberFormat="1" applyFont="1" applyAlignment="1">
      <alignment horizontal="right"/>
    </xf>
    <xf numFmtId="3" fontId="18" fillId="0" borderId="0" xfId="3" applyNumberFormat="1" applyFont="1"/>
    <xf numFmtId="10" fontId="19" fillId="3" borderId="5" xfId="4" applyNumberFormat="1" applyFont="1" applyFill="1" applyBorder="1" applyAlignment="1">
      <alignment horizontal="right" vertical="center" wrapText="1"/>
    </xf>
    <xf numFmtId="10" fontId="19" fillId="2" borderId="5" xfId="4" applyNumberFormat="1" applyFont="1" applyFill="1" applyBorder="1" applyAlignment="1">
      <alignment horizontal="right" vertical="center" wrapText="1"/>
    </xf>
    <xf numFmtId="0" fontId="21" fillId="0" borderId="0" xfId="3" applyFont="1" applyAlignment="1">
      <alignment horizontal="left" vertical="center" indent="1"/>
    </xf>
    <xf numFmtId="10" fontId="19" fillId="3" borderId="5" xfId="4" applyNumberFormat="1" applyFont="1" applyFill="1" applyBorder="1" applyAlignment="1">
      <alignment horizontal="center" vertical="center" wrapText="1"/>
    </xf>
    <xf numFmtId="3" fontId="15" fillId="0" borderId="0" xfId="3" applyNumberFormat="1" applyFont="1" applyAlignment="1">
      <alignment wrapText="1"/>
    </xf>
    <xf numFmtId="0" fontId="18" fillId="0" borderId="0" xfId="3" applyFont="1" applyAlignment="1">
      <alignment horizontal="center" vertical="center"/>
    </xf>
    <xf numFmtId="0" fontId="18" fillId="0" borderId="0" xfId="3" applyFont="1" applyAlignment="1">
      <alignment vertical="center"/>
    </xf>
    <xf numFmtId="10" fontId="19" fillId="3" borderId="4" xfId="4" applyNumberFormat="1" applyFont="1" applyFill="1" applyBorder="1" applyAlignment="1">
      <alignment horizontal="right" vertical="center" wrapText="1"/>
    </xf>
    <xf numFmtId="0" fontId="15" fillId="0" borderId="0" xfId="3" applyFont="1" applyAlignment="1">
      <alignment vertical="center"/>
    </xf>
    <xf numFmtId="0" fontId="18" fillId="0" borderId="0" xfId="3" applyFont="1" applyAlignment="1">
      <alignment horizontal="right" vertical="center"/>
    </xf>
    <xf numFmtId="0" fontId="18" fillId="0" borderId="0" xfId="3" applyFont="1" applyAlignment="1">
      <alignment vertical="center" wrapText="1"/>
    </xf>
    <xf numFmtId="0" fontId="15" fillId="0" borderId="0" xfId="3" applyFont="1" applyAlignment="1">
      <alignment horizontal="left" vertical="center"/>
    </xf>
    <xf numFmtId="169" fontId="18" fillId="0" borderId="0" xfId="4" applyNumberFormat="1" applyFont="1" applyBorder="1" applyAlignment="1">
      <alignment horizontal="right" vertical="center"/>
    </xf>
    <xf numFmtId="169" fontId="18" fillId="4" borderId="0" xfId="4" applyNumberFormat="1" applyFont="1" applyFill="1" applyAlignment="1">
      <alignment horizontal="right" vertical="center"/>
    </xf>
    <xf numFmtId="43" fontId="18" fillId="6" borderId="0" xfId="5" applyFont="1" applyFill="1" applyBorder="1" applyAlignment="1">
      <alignment horizontal="right" vertical="center" wrapText="1"/>
    </xf>
    <xf numFmtId="169" fontId="18" fillId="4" borderId="0" xfId="4" applyNumberFormat="1" applyFont="1" applyFill="1" applyBorder="1" applyAlignment="1">
      <alignment horizontal="right" vertical="center"/>
    </xf>
    <xf numFmtId="10" fontId="20" fillId="5" borderId="5" xfId="3" applyNumberFormat="1" applyFont="1" applyFill="1" applyBorder="1" applyAlignment="1">
      <alignment horizontal="right" vertical="center" wrapText="1"/>
    </xf>
    <xf numFmtId="169" fontId="18" fillId="0" borderId="0" xfId="4" applyNumberFormat="1" applyFont="1" applyAlignment="1">
      <alignment horizontal="right" vertical="center"/>
    </xf>
    <xf numFmtId="0" fontId="18" fillId="0" borderId="0" xfId="3" applyFont="1" applyAlignment="1">
      <alignment horizontal="left" vertical="center"/>
    </xf>
    <xf numFmtId="168" fontId="18" fillId="0" borderId="0" xfId="5" applyNumberFormat="1" applyFont="1" applyBorder="1" applyAlignment="1">
      <alignment horizontal="right" vertical="center"/>
    </xf>
    <xf numFmtId="10" fontId="19" fillId="0" borderId="0" xfId="4" applyNumberFormat="1" applyFont="1" applyFill="1" applyBorder="1" applyAlignment="1">
      <alignment horizontal="right" vertical="center" wrapText="1"/>
    </xf>
    <xf numFmtId="169" fontId="18" fillId="0" borderId="0" xfId="4" applyNumberFormat="1" applyFont="1" applyFill="1" applyAlignment="1">
      <alignment horizontal="right" vertical="center"/>
    </xf>
    <xf numFmtId="168" fontId="18" fillId="0" borderId="0" xfId="3" applyNumberFormat="1" applyFont="1" applyAlignment="1">
      <alignment horizontal="right" vertical="center"/>
    </xf>
    <xf numFmtId="10" fontId="18" fillId="0" borderId="0" xfId="4" applyNumberFormat="1" applyFont="1" applyBorder="1" applyAlignment="1">
      <alignment horizontal="righ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43" fontId="18" fillId="2" borderId="4" xfId="5" applyFont="1" applyFill="1" applyBorder="1" applyAlignment="1">
      <alignment vertical="center"/>
    </xf>
    <xf numFmtId="2" fontId="19" fillId="3" borderId="5" xfId="4" applyNumberFormat="1" applyFont="1" applyFill="1" applyBorder="1" applyAlignment="1">
      <alignment horizontal="center" vertical="center" wrapText="1"/>
    </xf>
    <xf numFmtId="43" fontId="18" fillId="2" borderId="4" xfId="5" applyFont="1" applyFill="1" applyBorder="1" applyAlignment="1">
      <alignment vertical="center" wrapText="1"/>
    </xf>
    <xf numFmtId="2" fontId="19" fillId="2" borderId="5" xfId="4" applyNumberFormat="1" applyFont="1" applyFill="1" applyBorder="1" applyAlignment="1">
      <alignment horizontal="right" vertical="center" wrapText="1"/>
    </xf>
    <xf numFmtId="43" fontId="19" fillId="0" borderId="5" xfId="4" applyNumberFormat="1" applyFont="1" applyFill="1" applyBorder="1" applyAlignment="1">
      <alignment horizontal="right" vertical="center" wrapText="1"/>
    </xf>
    <xf numFmtId="2" fontId="22" fillId="2" borderId="5" xfId="4" applyNumberFormat="1" applyFont="1" applyFill="1" applyBorder="1" applyAlignment="1">
      <alignment horizontal="right" vertical="center" wrapText="1"/>
    </xf>
    <xf numFmtId="2" fontId="22" fillId="0" borderId="5" xfId="4" applyNumberFormat="1" applyFont="1" applyFill="1" applyBorder="1" applyAlignment="1">
      <alignment horizontal="right" vertical="center" wrapText="1"/>
    </xf>
    <xf numFmtId="2" fontId="18" fillId="2" borderId="4" xfId="5" applyNumberFormat="1" applyFont="1" applyFill="1" applyBorder="1" applyAlignment="1">
      <alignment vertical="center" wrapText="1"/>
    </xf>
    <xf numFmtId="2" fontId="18" fillId="0" borderId="0" xfId="4" applyNumberFormat="1" applyFont="1" applyAlignment="1">
      <alignment horizontal="right"/>
    </xf>
    <xf numFmtId="0" fontId="23" fillId="0" borderId="0" xfId="3" applyFont="1"/>
    <xf numFmtId="169" fontId="18" fillId="0" borderId="0" xfId="4" applyNumberFormat="1" applyFont="1" applyFill="1" applyBorder="1" applyAlignment="1">
      <alignment horizontal="right" vertical="center"/>
    </xf>
    <xf numFmtId="43" fontId="18" fillId="0" borderId="0" xfId="5" applyFont="1" applyFill="1" applyBorder="1" applyAlignment="1">
      <alignment horizontal="right" vertical="center" wrapText="1"/>
    </xf>
    <xf numFmtId="0" fontId="19" fillId="0" borderId="0" xfId="3" applyFont="1" applyAlignment="1">
      <alignment horizontal="left" vertical="center" wrapText="1" indent="1"/>
    </xf>
    <xf numFmtId="9" fontId="19" fillId="0" borderId="0" xfId="4" applyFont="1" applyFill="1" applyAlignment="1">
      <alignment vertical="center" wrapText="1"/>
    </xf>
    <xf numFmtId="10" fontId="24" fillId="3" borderId="5" xfId="4" applyNumberFormat="1" applyFont="1" applyFill="1" applyBorder="1" applyAlignment="1">
      <alignment horizontal="center" vertical="center" wrapText="1"/>
    </xf>
    <xf numFmtId="10" fontId="24" fillId="3" borderId="5" xfId="4" applyNumberFormat="1" applyFont="1" applyFill="1" applyBorder="1" applyAlignment="1">
      <alignment horizontal="right" vertical="center" wrapText="1"/>
    </xf>
    <xf numFmtId="43" fontId="2" fillId="0" borderId="0" xfId="3" applyNumberFormat="1"/>
    <xf numFmtId="2" fontId="19" fillId="3" borderId="5" xfId="4" applyNumberFormat="1" applyFont="1" applyFill="1" applyBorder="1" applyAlignment="1">
      <alignment horizontal="right" vertical="center" wrapText="1"/>
    </xf>
    <xf numFmtId="43" fontId="18" fillId="0" borderId="0" xfId="3" applyNumberFormat="1" applyFont="1" applyAlignment="1">
      <alignment horizontal="center" vertical="center"/>
    </xf>
    <xf numFmtId="43" fontId="18" fillId="2" borderId="5" xfId="5" applyFont="1" applyFill="1" applyBorder="1" applyAlignment="1">
      <alignment vertical="center"/>
    </xf>
    <xf numFmtId="43" fontId="18" fillId="2" borderId="5" xfId="5" applyFont="1" applyFill="1" applyBorder="1" applyAlignment="1">
      <alignment vertical="center" wrapText="1"/>
    </xf>
    <xf numFmtId="2" fontId="18" fillId="2" borderId="5" xfId="5" applyNumberFormat="1" applyFont="1" applyFill="1" applyBorder="1" applyAlignment="1">
      <alignment vertical="center" wrapText="1"/>
    </xf>
    <xf numFmtId="43" fontId="18" fillId="0" borderId="0" xfId="3" applyNumberFormat="1" applyFont="1" applyAlignment="1">
      <alignment vertical="center"/>
    </xf>
    <xf numFmtId="0" fontId="25" fillId="0" borderId="0" xfId="3" applyFont="1"/>
    <xf numFmtId="2" fontId="1" fillId="3" borderId="5" xfId="1" applyNumberFormat="1" applyFont="1" applyFill="1" applyBorder="1"/>
    <xf numFmtId="2" fontId="20" fillId="0" borderId="0" xfId="3" applyNumberFormat="1" applyFont="1" applyAlignment="1">
      <alignment horizontal="right" vertical="center" wrapText="1"/>
    </xf>
    <xf numFmtId="2" fontId="19" fillId="0" borderId="0" xfId="4" applyNumberFormat="1" applyFont="1" applyFill="1" applyBorder="1" applyAlignment="1">
      <alignment horizontal="right" vertical="center" wrapText="1"/>
    </xf>
    <xf numFmtId="2" fontId="18" fillId="2" borderId="4" xfId="3" applyNumberFormat="1" applyFont="1" applyFill="1" applyBorder="1" applyAlignment="1">
      <alignment vertical="center"/>
    </xf>
    <xf numFmtId="2" fontId="18" fillId="2" borderId="5" xfId="3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</cellXfs>
  <cellStyles count="9">
    <cellStyle name="Comma 2" xfId="5" xr:uid="{1EDAF2BD-F775-6844-A5A4-2CD4932D33A0}"/>
    <cellStyle name="Comma 3" xfId="8" xr:uid="{A5B906D1-AC06-486C-881F-ED6CAF22D99A}"/>
    <cellStyle name="Currency" xfId="2" builtinId="4"/>
    <cellStyle name="Normal" xfId="0" builtinId="0"/>
    <cellStyle name="Normal 2" xfId="3" xr:uid="{7EDD0077-C078-E449-A94D-0460C73B50B8}"/>
    <cellStyle name="Normal 3" xfId="6" xr:uid="{523481D8-0734-4729-B6A3-FA44D3D51050}"/>
    <cellStyle name="Percent" xfId="1" builtinId="5"/>
    <cellStyle name="Percent 2" xfId="4" xr:uid="{D2784B45-2E1B-B845-9F3B-FF106CF6E437}"/>
    <cellStyle name="Percent 3" xfId="7" xr:uid="{FD16BC02-25E2-4E7B-8481-840AC4FA2E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5003-07A3-40AD-8795-F5E7A47FA40C}">
  <dimension ref="A1:I38"/>
  <sheetViews>
    <sheetView topLeftCell="A19" workbookViewId="0">
      <selection activeCell="B19" sqref="B19"/>
    </sheetView>
  </sheetViews>
  <sheetFormatPr defaultColWidth="8.85546875" defaultRowHeight="15"/>
  <cols>
    <col min="1" max="1" width="71" customWidth="1"/>
    <col min="2" max="2" width="16" customWidth="1"/>
    <col min="3" max="4" width="14" customWidth="1"/>
    <col min="7" max="9" width="10" bestFit="1" customWidth="1"/>
  </cols>
  <sheetData>
    <row r="1" spans="1:9">
      <c r="A1" s="112" t="s">
        <v>106</v>
      </c>
      <c r="B1" s="114" t="s">
        <v>26</v>
      </c>
      <c r="C1" s="113"/>
      <c r="D1" s="113"/>
    </row>
    <row r="2" spans="1:9">
      <c r="A2" s="113"/>
      <c r="B2" s="10" t="s">
        <v>22</v>
      </c>
      <c r="C2" s="10" t="s">
        <v>21</v>
      </c>
      <c r="D2" s="10" t="s">
        <v>23</v>
      </c>
      <c r="G2" s="10"/>
      <c r="H2" s="10"/>
      <c r="I2" s="10"/>
    </row>
    <row r="3" spans="1:9">
      <c r="A3" s="7" t="s">
        <v>105</v>
      </c>
      <c r="B3" s="4" t="s">
        <v>1</v>
      </c>
      <c r="C3" s="4" t="s">
        <v>1</v>
      </c>
      <c r="D3" s="4" t="s">
        <v>1</v>
      </c>
    </row>
    <row r="4" spans="1:9">
      <c r="A4" s="4" t="s">
        <v>104</v>
      </c>
      <c r="B4" s="3">
        <v>2780</v>
      </c>
      <c r="C4" s="3">
        <v>6946</v>
      </c>
      <c r="D4" s="3">
        <v>4368</v>
      </c>
      <c r="G4" s="12"/>
      <c r="H4" s="12"/>
      <c r="I4" s="12"/>
    </row>
    <row r="5" spans="1:9">
      <c r="A5" s="7" t="s">
        <v>103</v>
      </c>
      <c r="B5" s="4" t="s">
        <v>1</v>
      </c>
      <c r="C5" s="4" t="s">
        <v>1</v>
      </c>
      <c r="D5" s="4" t="s">
        <v>1</v>
      </c>
    </row>
    <row r="6" spans="1:9">
      <c r="A6" s="4" t="s">
        <v>102</v>
      </c>
      <c r="B6" s="6">
        <v>2700</v>
      </c>
      <c r="C6" s="6">
        <v>2642</v>
      </c>
      <c r="D6" s="6">
        <v>2485</v>
      </c>
    </row>
    <row r="7" spans="1:9">
      <c r="A7" s="4" t="s">
        <v>101</v>
      </c>
      <c r="B7" s="6">
        <v>220</v>
      </c>
      <c r="C7" s="6">
        <v>228</v>
      </c>
      <c r="D7" s="6">
        <v>200</v>
      </c>
    </row>
    <row r="8" spans="1:9">
      <c r="A8" s="4" t="s">
        <v>38</v>
      </c>
      <c r="B8" s="6">
        <v>582</v>
      </c>
      <c r="C8" s="6">
        <v>522</v>
      </c>
      <c r="D8" s="6">
        <v>-184</v>
      </c>
    </row>
    <row r="9" spans="1:9">
      <c r="A9" s="4" t="s">
        <v>100</v>
      </c>
      <c r="B9" s="6">
        <v>0</v>
      </c>
      <c r="C9" s="6">
        <v>-335</v>
      </c>
      <c r="D9" s="6">
        <v>0</v>
      </c>
    </row>
    <row r="10" spans="1:9">
      <c r="A10" s="4" t="s">
        <v>99</v>
      </c>
      <c r="B10" s="6">
        <v>0</v>
      </c>
      <c r="C10" s="6">
        <v>0</v>
      </c>
      <c r="D10" s="6">
        <v>512</v>
      </c>
    </row>
    <row r="11" spans="1:9">
      <c r="A11" s="4" t="s">
        <v>98</v>
      </c>
      <c r="B11" s="6">
        <v>172</v>
      </c>
      <c r="C11" s="6">
        <v>67</v>
      </c>
      <c r="D11" s="6">
        <v>86</v>
      </c>
    </row>
    <row r="12" spans="1:9">
      <c r="A12" s="7" t="s">
        <v>97</v>
      </c>
      <c r="B12" s="4" t="s">
        <v>1</v>
      </c>
      <c r="C12" s="4" t="s">
        <v>1</v>
      </c>
      <c r="D12" s="4" t="s">
        <v>1</v>
      </c>
    </row>
    <row r="13" spans="1:9">
      <c r="A13" s="4" t="s">
        <v>61</v>
      </c>
      <c r="B13" s="6">
        <v>403</v>
      </c>
      <c r="C13" s="6">
        <v>-3249</v>
      </c>
      <c r="D13" s="6">
        <v>-1661</v>
      </c>
    </row>
    <row r="14" spans="1:9">
      <c r="A14" s="4" t="s">
        <v>96</v>
      </c>
      <c r="B14" s="6">
        <v>22</v>
      </c>
      <c r="C14" s="6">
        <v>-78</v>
      </c>
      <c r="D14" s="6">
        <v>-137</v>
      </c>
    </row>
    <row r="15" spans="1:9">
      <c r="A15" s="4" t="s">
        <v>44</v>
      </c>
      <c r="B15" s="6">
        <v>-2237</v>
      </c>
      <c r="C15" s="6">
        <v>2628</v>
      </c>
      <c r="D15" s="6">
        <v>2925</v>
      </c>
    </row>
    <row r="16" spans="1:9">
      <c r="A16" s="4" t="s">
        <v>95</v>
      </c>
      <c r="B16" s="6">
        <v>-624</v>
      </c>
      <c r="C16" s="6">
        <v>-746</v>
      </c>
      <c r="D16" s="6">
        <v>1931</v>
      </c>
    </row>
    <row r="17" spans="1:4">
      <c r="A17" s="4" t="s">
        <v>94</v>
      </c>
      <c r="B17" s="6">
        <v>4018</v>
      </c>
      <c r="C17" s="6">
        <v>8625</v>
      </c>
      <c r="D17" s="6">
        <v>10525</v>
      </c>
    </row>
    <row r="18" spans="1:4">
      <c r="A18" s="7" t="s">
        <v>93</v>
      </c>
      <c r="B18" s="4" t="s">
        <v>1</v>
      </c>
      <c r="C18" s="4" t="s">
        <v>1</v>
      </c>
      <c r="D18" s="4" t="s">
        <v>1</v>
      </c>
    </row>
    <row r="19" spans="1:4">
      <c r="A19" s="4" t="s">
        <v>92</v>
      </c>
      <c r="B19" s="6">
        <v>-5528</v>
      </c>
      <c r="C19" s="6">
        <v>-3544</v>
      </c>
      <c r="D19" s="6">
        <v>-2649</v>
      </c>
    </row>
    <row r="20" spans="1:4">
      <c r="A20" s="4" t="s">
        <v>91</v>
      </c>
      <c r="B20" s="6">
        <v>8</v>
      </c>
      <c r="C20" s="6">
        <v>27</v>
      </c>
      <c r="D20" s="6">
        <v>42</v>
      </c>
    </row>
    <row r="21" spans="1:4">
      <c r="A21" s="4" t="s">
        <v>90</v>
      </c>
      <c r="B21" s="6">
        <v>0</v>
      </c>
      <c r="C21" s="6">
        <v>356</v>
      </c>
      <c r="D21" s="6">
        <v>0</v>
      </c>
    </row>
    <row r="22" spans="1:4">
      <c r="A22" s="4" t="s">
        <v>89</v>
      </c>
      <c r="B22" s="6">
        <v>16</v>
      </c>
      <c r="C22" s="6">
        <v>7</v>
      </c>
      <c r="D22" s="6">
        <v>16</v>
      </c>
    </row>
    <row r="23" spans="1:4">
      <c r="A23" s="4" t="s">
        <v>88</v>
      </c>
      <c r="B23" s="6">
        <v>-5504</v>
      </c>
      <c r="C23" s="6">
        <v>-3154</v>
      </c>
      <c r="D23" s="6">
        <v>-2591</v>
      </c>
    </row>
    <row r="24" spans="1:4">
      <c r="A24" s="7" t="s">
        <v>87</v>
      </c>
      <c r="B24" s="4" t="s">
        <v>1</v>
      </c>
      <c r="C24" s="4" t="s">
        <v>1</v>
      </c>
      <c r="D24" s="4" t="s">
        <v>1</v>
      </c>
    </row>
    <row r="25" spans="1:4">
      <c r="A25" s="4" t="s">
        <v>86</v>
      </c>
      <c r="B25" s="6">
        <v>2625</v>
      </c>
      <c r="C25" s="6">
        <v>1972</v>
      </c>
      <c r="D25" s="6">
        <v>2480</v>
      </c>
    </row>
    <row r="26" spans="1:4">
      <c r="A26" s="4" t="s">
        <v>85</v>
      </c>
      <c r="B26" s="6">
        <v>-163</v>
      </c>
      <c r="C26" s="6">
        <v>-1147</v>
      </c>
      <c r="D26" s="6">
        <v>-2415</v>
      </c>
    </row>
    <row r="27" spans="1:4">
      <c r="A27" s="4" t="s">
        <v>84</v>
      </c>
      <c r="B27" s="6">
        <v>-1836</v>
      </c>
      <c r="C27" s="6">
        <v>-1548</v>
      </c>
      <c r="D27" s="6">
        <v>-1343</v>
      </c>
    </row>
    <row r="28" spans="1:4">
      <c r="A28" s="4" t="s">
        <v>83</v>
      </c>
      <c r="B28" s="6">
        <v>-2826</v>
      </c>
      <c r="C28" s="6">
        <v>-7356</v>
      </c>
      <c r="D28" s="6">
        <v>-745</v>
      </c>
    </row>
    <row r="29" spans="1:4">
      <c r="A29" s="4" t="s">
        <v>82</v>
      </c>
      <c r="B29" s="6">
        <v>4</v>
      </c>
      <c r="C29" s="6">
        <v>8</v>
      </c>
      <c r="D29" s="6">
        <v>23</v>
      </c>
    </row>
    <row r="30" spans="1:4">
      <c r="A30" s="4" t="s">
        <v>81</v>
      </c>
      <c r="B30" s="6">
        <v>-2196</v>
      </c>
      <c r="C30" s="6">
        <v>-8071</v>
      </c>
      <c r="D30" s="6">
        <v>-2000</v>
      </c>
    </row>
    <row r="31" spans="1:4">
      <c r="A31" s="4" t="s">
        <v>80</v>
      </c>
      <c r="B31" s="6">
        <v>-3682</v>
      </c>
      <c r="C31" s="6">
        <v>-2600</v>
      </c>
      <c r="D31" s="6">
        <v>5934</v>
      </c>
    </row>
    <row r="32" spans="1:4">
      <c r="A32" s="4" t="s">
        <v>79</v>
      </c>
      <c r="B32" s="6">
        <v>5911</v>
      </c>
      <c r="C32" s="6">
        <v>8511</v>
      </c>
      <c r="D32" s="6">
        <v>2577</v>
      </c>
    </row>
    <row r="33" spans="1:4">
      <c r="A33" s="4" t="s">
        <v>78</v>
      </c>
      <c r="B33" s="6">
        <v>2229</v>
      </c>
      <c r="C33" s="6">
        <v>5911</v>
      </c>
      <c r="D33" s="6">
        <v>8511</v>
      </c>
    </row>
    <row r="34" spans="1:4">
      <c r="A34" s="7" t="s">
        <v>77</v>
      </c>
      <c r="B34" s="4" t="s">
        <v>1</v>
      </c>
      <c r="C34" s="4" t="s">
        <v>1</v>
      </c>
      <c r="D34" s="4" t="s">
        <v>1</v>
      </c>
    </row>
    <row r="35" spans="1:4">
      <c r="A35" s="4" t="s">
        <v>76</v>
      </c>
      <c r="B35" s="6">
        <v>449</v>
      </c>
      <c r="C35" s="6">
        <v>414</v>
      </c>
      <c r="D35" s="6">
        <v>939</v>
      </c>
    </row>
    <row r="36" spans="1:4">
      <c r="A36" s="4" t="s">
        <v>75</v>
      </c>
      <c r="B36" s="6">
        <v>213</v>
      </c>
      <c r="C36" s="6">
        <v>2063</v>
      </c>
      <c r="D36" s="6">
        <v>1031</v>
      </c>
    </row>
    <row r="37" spans="1:4">
      <c r="A37" s="4" t="s">
        <v>74</v>
      </c>
      <c r="B37" s="6">
        <v>224</v>
      </c>
      <c r="C37" s="6">
        <v>288</v>
      </c>
      <c r="D37" s="6">
        <v>428</v>
      </c>
    </row>
    <row r="38" spans="1:4">
      <c r="A38" s="4" t="s">
        <v>73</v>
      </c>
      <c r="B38" s="3">
        <v>329</v>
      </c>
      <c r="C38" s="3">
        <v>580</v>
      </c>
      <c r="D38" s="3">
        <v>262</v>
      </c>
    </row>
  </sheetData>
  <mergeCells count="2">
    <mergeCell ref="A1:A2"/>
    <mergeCell ref="B1:D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94E4-5012-2541-A1E2-CAAF1DC36512}">
  <dimension ref="A1:J38"/>
  <sheetViews>
    <sheetView tabSelected="1" topLeftCell="A12" zoomScaleNormal="91" workbookViewId="0">
      <selection activeCell="I29" sqref="I29"/>
    </sheetView>
  </sheetViews>
  <sheetFormatPr defaultColWidth="10.85546875" defaultRowHeight="15.75"/>
  <cols>
    <col min="1" max="1" width="28" style="52" customWidth="1"/>
    <col min="2" max="2" width="14.7109375" style="52" bestFit="1" customWidth="1"/>
    <col min="3" max="3" width="15.85546875" style="52" bestFit="1" customWidth="1"/>
    <col min="4" max="4" width="13.7109375" style="52" customWidth="1"/>
    <col min="5" max="5" width="16.140625" style="52" bestFit="1" customWidth="1"/>
    <col min="6" max="7" width="13.7109375" style="52" customWidth="1"/>
    <col min="8" max="8" width="13.42578125" style="52" customWidth="1"/>
    <col min="9" max="9" width="12.85546875" style="52" customWidth="1"/>
    <col min="10" max="16384" width="10.85546875" style="52"/>
  </cols>
  <sheetData>
    <row r="1" spans="1:10" ht="16.5">
      <c r="A1" s="82"/>
      <c r="B1" s="81" t="s">
        <v>251</v>
      </c>
      <c r="C1" s="81" t="s">
        <v>252</v>
      </c>
      <c r="D1" s="81" t="s">
        <v>253</v>
      </c>
      <c r="E1" s="80" t="s">
        <v>254</v>
      </c>
      <c r="F1" s="80" t="s">
        <v>255</v>
      </c>
      <c r="G1" s="80" t="s">
        <v>256</v>
      </c>
      <c r="H1" s="80" t="s">
        <v>257</v>
      </c>
      <c r="I1" s="80" t="s">
        <v>258</v>
      </c>
    </row>
    <row r="2" spans="1:10" ht="16.5">
      <c r="A2" s="74" t="s">
        <v>259</v>
      </c>
      <c r="B2" s="83">
        <f>92400*Forecasting!B3</f>
        <v>16539.599999999999</v>
      </c>
      <c r="C2" s="83">
        <f>104611*C3</f>
        <v>19771.478999999999</v>
      </c>
      <c r="D2" s="83">
        <f>107588*D3</f>
        <v>20011.367999999999</v>
      </c>
      <c r="E2" s="110">
        <f>D2*(1+E4)</f>
        <v>20611.709039999998</v>
      </c>
      <c r="F2" s="110">
        <f t="shared" ref="F2:H2" si="0">E2*(1+F4)</f>
        <v>21230.060311199999</v>
      </c>
      <c r="G2" s="110">
        <f t="shared" si="0"/>
        <v>21866.962120535998</v>
      </c>
      <c r="H2" s="110">
        <f t="shared" si="0"/>
        <v>22522.970984152078</v>
      </c>
      <c r="I2" s="111">
        <f>H2*(1+I4)</f>
        <v>23198.66011367664</v>
      </c>
    </row>
    <row r="3" spans="1:10" ht="16.5">
      <c r="A3" s="74" t="s">
        <v>260</v>
      </c>
      <c r="B3" s="59">
        <v>0.17899999999999999</v>
      </c>
      <c r="C3" s="59">
        <v>0.189</v>
      </c>
      <c r="D3" s="59">
        <v>0.186</v>
      </c>
      <c r="E3" s="79">
        <f>E2/E19</f>
        <v>0.19535098529143052</v>
      </c>
      <c r="F3" s="79">
        <f t="shared" ref="F3:I3" si="1">F2/F19</f>
        <v>0.19824267220553751</v>
      </c>
      <c r="G3" s="79">
        <f t="shared" si="1"/>
        <v>0.19507676214379352</v>
      </c>
      <c r="H3" s="79">
        <f t="shared" si="1"/>
        <v>0.19194930685023051</v>
      </c>
      <c r="I3" s="79">
        <f t="shared" si="1"/>
        <v>0.1901566982739783</v>
      </c>
    </row>
    <row r="4" spans="1:10" ht="16.5">
      <c r="A4" s="74" t="s">
        <v>261</v>
      </c>
      <c r="B4" s="73"/>
      <c r="C4" s="57">
        <f>C2/B2-1</f>
        <v>0.19540248857287978</v>
      </c>
      <c r="D4" s="57">
        <f>D2/C2-1</f>
        <v>1.2133083215474239E-2</v>
      </c>
      <c r="E4" s="97">
        <v>0.03</v>
      </c>
      <c r="F4" s="97">
        <v>0.03</v>
      </c>
      <c r="G4" s="97">
        <v>0.03</v>
      </c>
      <c r="H4" s="97">
        <v>0.03</v>
      </c>
      <c r="I4" s="98">
        <v>0.03</v>
      </c>
      <c r="J4" s="106"/>
    </row>
    <row r="5" spans="1:10" ht="16.5">
      <c r="A5" s="74"/>
      <c r="B5" s="77"/>
      <c r="C5" s="93"/>
      <c r="D5" s="93"/>
      <c r="E5" s="76"/>
      <c r="F5" s="76"/>
      <c r="G5" s="76"/>
      <c r="H5" s="76"/>
      <c r="I5" s="76"/>
    </row>
    <row r="6" spans="1:10" ht="16.5">
      <c r="A6" s="74" t="s">
        <v>262</v>
      </c>
      <c r="B6" s="83">
        <f>92400*Forecasting!B7</f>
        <v>75860.399999999994</v>
      </c>
      <c r="C6" s="83">
        <f>104611*C7</f>
        <v>84839.520999999993</v>
      </c>
      <c r="D6" s="102">
        <f>107588*D7</f>
        <v>87576.632000000012</v>
      </c>
      <c r="E6" s="78"/>
      <c r="F6" s="78"/>
      <c r="G6" s="78"/>
      <c r="H6" s="78"/>
      <c r="I6" s="78"/>
    </row>
    <row r="7" spans="1:10" ht="16.5">
      <c r="A7" s="74" t="s">
        <v>263</v>
      </c>
      <c r="B7" s="59">
        <f>1-B3</f>
        <v>0.82099999999999995</v>
      </c>
      <c r="C7" s="59">
        <f>1-C3</f>
        <v>0.81099999999999994</v>
      </c>
      <c r="D7" s="59">
        <f>1-D3</f>
        <v>0.81400000000000006</v>
      </c>
      <c r="E7" s="68"/>
      <c r="F7" s="68"/>
      <c r="G7" s="68"/>
      <c r="H7" s="68"/>
      <c r="I7" s="68"/>
    </row>
    <row r="8" spans="1:10" ht="16.5">
      <c r="A8" s="74" t="s">
        <v>261</v>
      </c>
      <c r="B8" s="77"/>
      <c r="C8" s="57">
        <f>C6/B6-1</f>
        <v>0.11836374445692344</v>
      </c>
      <c r="D8" s="57">
        <f>D6/C6-1</f>
        <v>3.226221656767736E-2</v>
      </c>
      <c r="E8" s="68"/>
      <c r="F8" s="68"/>
      <c r="G8" s="68"/>
      <c r="H8" s="68"/>
      <c r="I8" s="68"/>
    </row>
    <row r="9" spans="1:10" ht="16.5">
      <c r="A9" s="74"/>
      <c r="B9" s="77"/>
      <c r="C9" s="76"/>
      <c r="D9" s="76"/>
      <c r="E9" s="68"/>
      <c r="F9" s="68"/>
      <c r="G9" s="68"/>
      <c r="H9" s="68"/>
      <c r="I9" s="68"/>
    </row>
    <row r="10" spans="1:10" ht="16.5">
      <c r="A10" s="74" t="s">
        <v>264</v>
      </c>
      <c r="B10" s="84">
        <v>1897</v>
      </c>
      <c r="C10" s="84">
        <v>1926</v>
      </c>
      <c r="D10" s="84">
        <v>1948</v>
      </c>
      <c r="E10" s="85">
        <f>D10*(1+E11)</f>
        <v>1974.0154750546171</v>
      </c>
      <c r="F10" s="85">
        <f t="shared" ref="F10:H10" si="2">E10*(1+F11)</f>
        <v>2000.3783859112452</v>
      </c>
      <c r="G10" s="85">
        <f t="shared" si="2"/>
        <v>2027.0933725634368</v>
      </c>
      <c r="H10" s="85">
        <f t="shared" si="2"/>
        <v>2054.1651369717038</v>
      </c>
      <c r="I10" s="103">
        <f>H10*(1+I11)</f>
        <v>2074.7067883414206</v>
      </c>
    </row>
    <row r="11" spans="1:10" ht="16.5">
      <c r="A11" s="74" t="s">
        <v>261</v>
      </c>
      <c r="B11" s="65"/>
      <c r="C11" s="57">
        <f>C10/B10-1</f>
        <v>1.5287295730100237E-2</v>
      </c>
      <c r="D11" s="57">
        <f>D10/C10-1</f>
        <v>1.1422637590861928E-2</v>
      </c>
      <c r="E11" s="56">
        <f>AVERAGE(C11,D11)</f>
        <v>1.3354966660481082E-2</v>
      </c>
      <c r="F11" s="56">
        <f>E11</f>
        <v>1.3354966660481082E-2</v>
      </c>
      <c r="G11" s="56">
        <f>F11</f>
        <v>1.3354966660481082E-2</v>
      </c>
      <c r="H11" s="56">
        <f>G11</f>
        <v>1.3354966660481082E-2</v>
      </c>
      <c r="I11" s="56">
        <v>0.01</v>
      </c>
    </row>
    <row r="12" spans="1:10" ht="16.5">
      <c r="A12" s="74" t="s">
        <v>265</v>
      </c>
      <c r="B12" s="75"/>
      <c r="C12" s="75">
        <f>C10-B10</f>
        <v>29</v>
      </c>
      <c r="D12" s="75">
        <f t="shared" ref="D12:I12" si="3">D10-C10</f>
        <v>22</v>
      </c>
      <c r="E12" s="75">
        <f>E10-D10</f>
        <v>26.015475054617127</v>
      </c>
      <c r="F12" s="75">
        <f t="shared" si="3"/>
        <v>26.362910856628105</v>
      </c>
      <c r="G12" s="75">
        <f t="shared" si="3"/>
        <v>26.714986652191556</v>
      </c>
      <c r="H12" s="75">
        <f t="shared" si="3"/>
        <v>27.071764408266972</v>
      </c>
      <c r="I12" s="75">
        <f t="shared" si="3"/>
        <v>20.541651369716874</v>
      </c>
    </row>
    <row r="13" spans="1:10" ht="16.5" customHeight="1">
      <c r="A13" s="74" t="s">
        <v>266</v>
      </c>
      <c r="B13" s="86">
        <f>B6/B10</f>
        <v>39.989667896678966</v>
      </c>
      <c r="C13" s="86">
        <f t="shared" ref="C13:D13" si="4">C6/C10</f>
        <v>44.049595534787123</v>
      </c>
      <c r="D13" s="86">
        <f t="shared" si="4"/>
        <v>44.957203285420952</v>
      </c>
      <c r="E13" s="85">
        <f>D13*(1+E14)</f>
        <v>43.293786763860375</v>
      </c>
      <c r="F13" s="85">
        <f t="shared" ref="F13:I13" si="5">E13*(1+F14)</f>
        <v>43.207199190332652</v>
      </c>
      <c r="G13" s="85">
        <f t="shared" si="5"/>
        <v>44.805865560374954</v>
      </c>
      <c r="H13" s="85">
        <f t="shared" si="5"/>
        <v>46.463682586108824</v>
      </c>
      <c r="I13" s="103">
        <f t="shared" si="5"/>
        <v>47.857593063692093</v>
      </c>
    </row>
    <row r="14" spans="1:10" ht="16.5">
      <c r="A14" s="74" t="s">
        <v>261</v>
      </c>
      <c r="B14" s="73"/>
      <c r="C14" s="57">
        <f>C13/B13-1</f>
        <v>0.10152441497133124</v>
      </c>
      <c r="D14" s="57">
        <f>D13/C13-1</f>
        <v>2.0604224388781622E-2</v>
      </c>
      <c r="E14" s="72">
        <v>-3.6999999999999998E-2</v>
      </c>
      <c r="F14" s="56">
        <v>-2E-3</v>
      </c>
      <c r="G14" s="56">
        <v>3.6999999999999998E-2</v>
      </c>
      <c r="H14" s="56">
        <v>3.6999999999999998E-2</v>
      </c>
      <c r="I14" s="56">
        <v>0.03</v>
      </c>
    </row>
    <row r="15" spans="1:10" ht="16.5">
      <c r="A15" s="74"/>
      <c r="B15" s="77"/>
      <c r="C15" s="93"/>
      <c r="D15" s="93"/>
      <c r="E15" s="108"/>
      <c r="F15" s="109"/>
      <c r="G15" s="76"/>
      <c r="H15" s="76"/>
      <c r="I15" s="76"/>
    </row>
    <row r="16" spans="1:10" ht="16.5">
      <c r="A16" s="74" t="s">
        <v>267</v>
      </c>
      <c r="B16" s="77"/>
      <c r="C16" s="93"/>
      <c r="D16" s="93"/>
      <c r="E16" s="88">
        <f>(E13*0.5)*E12</f>
        <v>563.15421478756139</v>
      </c>
      <c r="F16" s="88">
        <f t="shared" ref="F16:I16" si="6">(F13*0.5)*F12</f>
        <v>569.53377030965692</v>
      </c>
      <c r="G16" s="88">
        <f t="shared" si="6"/>
        <v>598.49405019265316</v>
      </c>
      <c r="H16" s="88">
        <f t="shared" si="6"/>
        <v>628.9269342558174</v>
      </c>
      <c r="I16" s="88">
        <f t="shared" si="6"/>
        <v>491.53699605407172</v>
      </c>
    </row>
    <row r="17" spans="1:9" ht="16.5">
      <c r="A17" s="74" t="s">
        <v>268</v>
      </c>
      <c r="B17" s="77"/>
      <c r="C17" s="93"/>
      <c r="D17" s="93"/>
      <c r="E17" s="88">
        <f>E13*(E10-E12)</f>
        <v>84336.296616000007</v>
      </c>
      <c r="F17" s="88">
        <f t="shared" ref="F17:I17" si="7">F13*(F10-F12)</f>
        <v>85291.679835483985</v>
      </c>
      <c r="G17" s="88">
        <f t="shared" si="7"/>
        <v>89628.685029019107</v>
      </c>
      <c r="H17" s="88">
        <f t="shared" si="7"/>
        <v>94186.223035192364</v>
      </c>
      <c r="I17" s="88">
        <f t="shared" si="7"/>
        <v>98307.399210815129</v>
      </c>
    </row>
    <row r="18" spans="1:9" ht="16.5">
      <c r="A18" s="74"/>
      <c r="B18" s="77"/>
      <c r="C18" s="93"/>
      <c r="D18" s="93"/>
      <c r="E18" s="94"/>
      <c r="F18" s="94"/>
      <c r="G18" s="94"/>
      <c r="H18" s="94"/>
      <c r="I18" s="94"/>
    </row>
    <row r="19" spans="1:9" ht="16.5">
      <c r="A19" s="74" t="s">
        <v>269</v>
      </c>
      <c r="B19" s="87">
        <f>B6+B2</f>
        <v>92400</v>
      </c>
      <c r="C19" s="87">
        <f t="shared" ref="C19:D19" si="8">C6+C2</f>
        <v>104611</v>
      </c>
      <c r="D19" s="87">
        <f t="shared" si="8"/>
        <v>107588.00000000001</v>
      </c>
      <c r="E19" s="88">
        <f>E17+E16+E2</f>
        <v>105511.15987078757</v>
      </c>
      <c r="F19" s="88">
        <f t="shared" ref="F19:I19" si="9">F17+F16+F2</f>
        <v>107091.27391699364</v>
      </c>
      <c r="G19" s="88">
        <f t="shared" si="9"/>
        <v>112094.14119974776</v>
      </c>
      <c r="H19" s="88">
        <f t="shared" si="9"/>
        <v>117338.12095360026</v>
      </c>
      <c r="I19" s="88">
        <f t="shared" si="9"/>
        <v>121997.59632054584</v>
      </c>
    </row>
    <row r="20" spans="1:9" ht="16.5">
      <c r="A20" s="74"/>
      <c r="B20" s="69"/>
      <c r="C20" s="71"/>
      <c r="D20" s="71"/>
      <c r="E20" s="70"/>
      <c r="F20" s="70"/>
      <c r="G20" s="70"/>
      <c r="H20" s="70"/>
      <c r="I20" s="70"/>
    </row>
    <row r="21" spans="1:9" ht="16.5" customHeight="1">
      <c r="A21" s="74" t="s">
        <v>270</v>
      </c>
      <c r="B21" s="84">
        <v>1161</v>
      </c>
      <c r="C21" s="84">
        <v>1394</v>
      </c>
      <c r="D21" s="84">
        <v>1532</v>
      </c>
      <c r="E21" s="85">
        <f>D21*(1+E22)</f>
        <v>1761.558523857012</v>
      </c>
      <c r="F21" s="85">
        <f t="shared" ref="F21:I21" si="10">E21*(1+F22)</f>
        <v>2025.5146429329604</v>
      </c>
      <c r="G21" s="85">
        <f t="shared" si="10"/>
        <v>2329.0225747100189</v>
      </c>
      <c r="H21" s="85">
        <f t="shared" si="10"/>
        <v>2678.0088568771794</v>
      </c>
      <c r="I21" s="103">
        <f t="shared" si="10"/>
        <v>2758.349122583495</v>
      </c>
    </row>
    <row r="22" spans="1:9" ht="16.5">
      <c r="A22" s="74"/>
      <c r="B22" s="77"/>
      <c r="C22" s="57">
        <f>C21/B21-1</f>
        <v>0.20068906115417739</v>
      </c>
      <c r="D22" s="57">
        <f>D21/C21-1</f>
        <v>9.8995695839311226E-2</v>
      </c>
      <c r="E22" s="56">
        <f>AVERAGE(C22,D22)</f>
        <v>0.14984237849674431</v>
      </c>
      <c r="F22" s="56">
        <f>E22</f>
        <v>0.14984237849674431</v>
      </c>
      <c r="G22" s="56">
        <f>E22</f>
        <v>0.14984237849674431</v>
      </c>
      <c r="H22" s="56">
        <f>E22</f>
        <v>0.14984237849674431</v>
      </c>
      <c r="I22" s="56">
        <v>0.03</v>
      </c>
    </row>
    <row r="23" spans="1:9" ht="16.5">
      <c r="A23" s="74"/>
      <c r="B23" s="77"/>
      <c r="C23" s="93"/>
      <c r="D23" s="93"/>
      <c r="E23" s="76"/>
      <c r="F23" s="76"/>
      <c r="G23" s="76"/>
      <c r="H23" s="76"/>
      <c r="I23" s="76"/>
    </row>
    <row r="24" spans="1:9">
      <c r="A24" s="67" t="s">
        <v>271</v>
      </c>
      <c r="B24" s="87">
        <f>B19+B21</f>
        <v>93561</v>
      </c>
      <c r="C24" s="87">
        <f t="shared" ref="C24:D24" si="11">C19+C21</f>
        <v>106005</v>
      </c>
      <c r="D24" s="87">
        <f t="shared" si="11"/>
        <v>109120.00000000001</v>
      </c>
      <c r="E24" s="89">
        <f>E19+E21</f>
        <v>107272.71839464457</v>
      </c>
      <c r="F24" s="89">
        <f t="shared" ref="F24:I24" si="12">F19+F21</f>
        <v>109116.7885599266</v>
      </c>
      <c r="G24" s="89">
        <f t="shared" si="12"/>
        <v>114423.16377445777</v>
      </c>
      <c r="H24" s="89">
        <f t="shared" si="12"/>
        <v>120016.12981047743</v>
      </c>
      <c r="I24" s="89">
        <f t="shared" si="12"/>
        <v>124755.94544312934</v>
      </c>
    </row>
    <row r="25" spans="1:9">
      <c r="A25" s="95"/>
      <c r="B25" s="96"/>
      <c r="C25" s="96">
        <f>C24/B24-1</f>
        <v>0.13300413633885921</v>
      </c>
      <c r="D25" s="96">
        <f t="shared" ref="D25:I25" si="13">D24/C24-1</f>
        <v>2.9385406348757304E-2</v>
      </c>
      <c r="E25" s="96">
        <f t="shared" si="13"/>
        <v>-1.692890034233363E-2</v>
      </c>
      <c r="F25" s="96">
        <f t="shared" si="13"/>
        <v>1.7190486014327488E-2</v>
      </c>
      <c r="G25" s="96">
        <f t="shared" si="13"/>
        <v>4.863023632350516E-2</v>
      </c>
      <c r="H25" s="96">
        <f t="shared" si="13"/>
        <v>4.8879666070447803E-2</v>
      </c>
      <c r="I25" s="96">
        <f t="shared" si="13"/>
        <v>3.949315512953766E-2</v>
      </c>
    </row>
    <row r="26" spans="1:9">
      <c r="A26" s="64" t="s">
        <v>272</v>
      </c>
      <c r="B26" s="84">
        <f>'Reformulated Income Statement'!I10</f>
        <v>5107.5889999999999</v>
      </c>
      <c r="C26" s="84">
        <f>'Reformulated Income Statement'!H10</f>
        <v>7262.1710000000003</v>
      </c>
      <c r="D26" s="84">
        <f>'Reformulated Income Statement'!G10</f>
        <v>3143.2799999999997</v>
      </c>
      <c r="E26" s="76"/>
      <c r="F26" s="76"/>
      <c r="G26" s="76"/>
      <c r="H26" s="76"/>
      <c r="I26" s="76"/>
    </row>
    <row r="27" spans="1:9" ht="16.5">
      <c r="A27" s="66" t="s">
        <v>273</v>
      </c>
      <c r="B27" s="84">
        <v>-1</v>
      </c>
      <c r="C27" s="84">
        <v>-262</v>
      </c>
      <c r="D27" s="84">
        <v>15</v>
      </c>
      <c r="E27" s="65"/>
      <c r="F27" s="65"/>
      <c r="G27" s="65"/>
      <c r="H27" s="65"/>
      <c r="I27" s="65"/>
    </row>
    <row r="28" spans="1:9" ht="16.5">
      <c r="A28" s="64" t="s">
        <v>274</v>
      </c>
      <c r="B28" s="86">
        <f>B26+B27</f>
        <v>5106.5889999999999</v>
      </c>
      <c r="C28" s="86">
        <f>C26+C27</f>
        <v>7000.1710000000003</v>
      </c>
      <c r="D28" s="86">
        <f t="shared" ref="D28" si="14">D26+D27</f>
        <v>3158.2799999999997</v>
      </c>
      <c r="E28" s="90">
        <f>E24*E29</f>
        <v>4827.2723277590057</v>
      </c>
      <c r="F28" s="90">
        <f t="shared" ref="F28:I28" si="15">F24*F29</f>
        <v>4910.255485196697</v>
      </c>
      <c r="G28" s="90">
        <f t="shared" si="15"/>
        <v>5149.0423698505992</v>
      </c>
      <c r="H28" s="90">
        <f t="shared" si="15"/>
        <v>5400.7258414714843</v>
      </c>
      <c r="I28" s="104">
        <f t="shared" si="15"/>
        <v>5614.0175449408198</v>
      </c>
    </row>
    <row r="29" spans="1:9">
      <c r="A29" s="58" t="s">
        <v>275</v>
      </c>
      <c r="B29" s="57">
        <f>B28/B24</f>
        <v>5.4580316584901825E-2</v>
      </c>
      <c r="C29" s="57">
        <f>C28/C24</f>
        <v>6.6036234139899064E-2</v>
      </c>
      <c r="D29" s="57">
        <f>D28/D24</f>
        <v>2.8943181818181812E-2</v>
      </c>
      <c r="E29" s="63">
        <v>4.4999999999999998E-2</v>
      </c>
      <c r="F29" s="63">
        <v>4.4999999999999998E-2</v>
      </c>
      <c r="G29" s="63">
        <v>4.4999999999999998E-2</v>
      </c>
      <c r="H29" s="63">
        <v>4.4999999999999998E-2</v>
      </c>
      <c r="I29" s="63">
        <v>4.4999999999999998E-2</v>
      </c>
    </row>
    <row r="30" spans="1:9" ht="16.5">
      <c r="A30" s="62"/>
      <c r="B30" s="105"/>
      <c r="C30" s="105"/>
      <c r="D30" s="105"/>
      <c r="E30" s="105"/>
      <c r="F30" s="105"/>
      <c r="G30" s="105"/>
      <c r="H30" s="105"/>
      <c r="I30" s="105"/>
    </row>
    <row r="31" spans="1:9" ht="16.5">
      <c r="A31" s="61"/>
      <c r="B31" s="61"/>
      <c r="C31" s="61"/>
      <c r="D31" s="101"/>
      <c r="E31" s="61"/>
      <c r="F31" s="61"/>
      <c r="G31" s="61"/>
      <c r="H31" s="61"/>
      <c r="I31" s="61"/>
    </row>
    <row r="32" spans="1:9" ht="16.5">
      <c r="A32" s="60" t="s">
        <v>69</v>
      </c>
      <c r="B32" s="84">
        <f>'Reformulated Balance Sheet'!G30</f>
        <v>18609</v>
      </c>
      <c r="C32" s="84">
        <f>'Reformulated Balance Sheet'!F30</f>
        <v>20636</v>
      </c>
      <c r="D32" s="84">
        <f>'Reformulated Balance Sheet'!E30</f>
        <v>25142</v>
      </c>
      <c r="E32" s="90">
        <f>E24/E33</f>
        <v>22187.051914387412</v>
      </c>
      <c r="F32" s="90">
        <f t="shared" ref="F32:I32" si="16">F24/F33</f>
        <v>22568.458120020849</v>
      </c>
      <c r="G32" s="90">
        <f t="shared" si="16"/>
        <v>23665.967571854591</v>
      </c>
      <c r="H32" s="90">
        <f t="shared" si="16"/>
        <v>24822.752164000889</v>
      </c>
      <c r="I32" s="104">
        <f t="shared" si="16"/>
        <v>25803.080965955844</v>
      </c>
    </row>
    <row r="33" spans="1:9">
      <c r="A33" s="58" t="s">
        <v>276</v>
      </c>
      <c r="B33" s="86">
        <f>B24/B32</f>
        <v>5.0277285184588099</v>
      </c>
      <c r="C33" s="86">
        <f>C24/C32</f>
        <v>5.1368966854041478</v>
      </c>
      <c r="D33" s="86">
        <f>D24/D32</f>
        <v>4.3401479595895323</v>
      </c>
      <c r="E33" s="100">
        <f>AVERAGE(C33,D33,B33)</f>
        <v>4.8349243878174963</v>
      </c>
      <c r="F33" s="100">
        <f>E33</f>
        <v>4.8349243878174963</v>
      </c>
      <c r="G33" s="100">
        <f>E33</f>
        <v>4.8349243878174963</v>
      </c>
      <c r="H33" s="100">
        <f>E33</f>
        <v>4.8349243878174963</v>
      </c>
      <c r="I33" s="100">
        <f>H33</f>
        <v>4.8349243878174963</v>
      </c>
    </row>
    <row r="34" spans="1:9" ht="16.5">
      <c r="A34" s="55"/>
      <c r="B34" s="54"/>
      <c r="C34" s="53"/>
      <c r="D34" s="91"/>
      <c r="E34" s="53"/>
      <c r="F34" s="53"/>
      <c r="G34" s="53"/>
      <c r="H34" s="53"/>
      <c r="I34" s="53"/>
    </row>
    <row r="35" spans="1:9">
      <c r="A35" s="92" t="s">
        <v>154</v>
      </c>
      <c r="B35" s="107">
        <f>B33*B29</f>
        <v>0.27441501424042125</v>
      </c>
      <c r="C35" s="107">
        <f>C33*C29</f>
        <v>0.33922131226981972</v>
      </c>
      <c r="D35" s="107">
        <f t="shared" ref="D35:I35" si="17">D33*D29</f>
        <v>0.12561769151221064</v>
      </c>
      <c r="E35" s="107">
        <f>E33*E29</f>
        <v>0.21757159745178734</v>
      </c>
      <c r="F35" s="107">
        <f t="shared" si="17"/>
        <v>0.21757159745178734</v>
      </c>
      <c r="G35" s="107">
        <f t="shared" si="17"/>
        <v>0.21757159745178734</v>
      </c>
      <c r="H35" s="107">
        <f t="shared" si="17"/>
        <v>0.21757159745178734</v>
      </c>
      <c r="I35" s="107">
        <f t="shared" si="17"/>
        <v>0.21757159745178734</v>
      </c>
    </row>
    <row r="36" spans="1:9">
      <c r="B36" s="99"/>
      <c r="E36" s="99"/>
    </row>
    <row r="37" spans="1:9">
      <c r="B37" s="99"/>
      <c r="C37" s="99"/>
      <c r="D37" s="99"/>
      <c r="E37" s="99"/>
      <c r="F37" s="99"/>
      <c r="G37" s="99"/>
      <c r="H37" s="99"/>
      <c r="I37" s="99"/>
    </row>
    <row r="38" spans="1:9">
      <c r="B38" s="99"/>
      <c r="C38" s="99"/>
      <c r="D38" s="99"/>
      <c r="E38" s="99"/>
      <c r="F38" s="99"/>
      <c r="G38" s="99"/>
      <c r="H38" s="99"/>
      <c r="I38" s="9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2E9DE-977D-C84D-8E74-1F950B9336C2}">
  <dimension ref="A1:O38"/>
  <sheetViews>
    <sheetView topLeftCell="A2" zoomScaleNormal="100" workbookViewId="0">
      <selection activeCell="B13" sqref="B13"/>
    </sheetView>
  </sheetViews>
  <sheetFormatPr defaultColWidth="8.85546875" defaultRowHeight="15"/>
  <cols>
    <col min="1" max="1" width="70" customWidth="1"/>
    <col min="2" max="3" width="14" customWidth="1"/>
    <col min="4" max="4" width="11.28515625" bestFit="1" customWidth="1"/>
    <col min="6" max="7" width="11.42578125" bestFit="1" customWidth="1"/>
    <col min="8" max="8" width="11" bestFit="1" customWidth="1"/>
    <col min="10" max="11" width="11.42578125" bestFit="1" customWidth="1"/>
    <col min="13" max="13" width="13.28515625" bestFit="1" customWidth="1"/>
    <col min="14" max="15" width="12.140625" bestFit="1" customWidth="1"/>
  </cols>
  <sheetData>
    <row r="1" spans="1:15">
      <c r="A1" s="11" t="s">
        <v>68</v>
      </c>
      <c r="B1" s="10" t="s">
        <v>22</v>
      </c>
      <c r="C1" s="10" t="s">
        <v>21</v>
      </c>
      <c r="D1" t="s">
        <v>23</v>
      </c>
      <c r="F1" s="115" t="s">
        <v>67</v>
      </c>
      <c r="G1" s="115"/>
      <c r="H1" s="115"/>
      <c r="J1" s="115" t="s">
        <v>3</v>
      </c>
      <c r="K1" s="115"/>
      <c r="M1" s="115" t="s">
        <v>66</v>
      </c>
      <c r="N1" s="115"/>
      <c r="O1" s="115"/>
    </row>
    <row r="3" spans="1:15">
      <c r="F3" t="s">
        <v>22</v>
      </c>
      <c r="G3" t="s">
        <v>21</v>
      </c>
      <c r="H3" t="s">
        <v>65</v>
      </c>
      <c r="J3" t="s">
        <v>22</v>
      </c>
      <c r="K3" t="s">
        <v>21</v>
      </c>
      <c r="M3" t="s">
        <v>22</v>
      </c>
      <c r="N3" t="s">
        <v>21</v>
      </c>
      <c r="O3" t="s">
        <v>64</v>
      </c>
    </row>
    <row r="4" spans="1:15">
      <c r="A4" s="7" t="s">
        <v>63</v>
      </c>
      <c r="B4" s="4" t="s">
        <v>1</v>
      </c>
      <c r="C4" s="4" t="s">
        <v>1</v>
      </c>
    </row>
    <row r="5" spans="1:15">
      <c r="A5" s="4" t="s">
        <v>62</v>
      </c>
      <c r="B5" s="3">
        <v>2229</v>
      </c>
      <c r="C5" s="3">
        <v>5911</v>
      </c>
      <c r="D5" s="3">
        <v>8511</v>
      </c>
      <c r="E5" s="27" t="s">
        <v>117</v>
      </c>
      <c r="F5" s="9">
        <f>B5/53335</f>
        <v>4.1792443986125437E-2</v>
      </c>
      <c r="G5" s="9">
        <f>C5/53811</f>
        <v>0.10984742896433815</v>
      </c>
      <c r="H5" s="5">
        <f>D5/51248</f>
        <v>0.16607477364970341</v>
      </c>
      <c r="I5" s="5"/>
      <c r="J5" s="5">
        <f>B5/C5-1</f>
        <v>-0.62290644560987984</v>
      </c>
      <c r="K5" s="5">
        <f>C5/D5-1</f>
        <v>-0.30548701680178592</v>
      </c>
      <c r="L5" s="5"/>
      <c r="M5" s="5"/>
      <c r="N5" s="5"/>
      <c r="O5" s="5"/>
    </row>
    <row r="6" spans="1:15">
      <c r="A6" s="4" t="s">
        <v>61</v>
      </c>
      <c r="B6" s="6">
        <v>13499</v>
      </c>
      <c r="C6" s="6">
        <v>13902</v>
      </c>
      <c r="D6" s="6">
        <v>10653</v>
      </c>
      <c r="E6" s="28" t="s">
        <v>118</v>
      </c>
      <c r="F6" s="9">
        <f>B6/53335</f>
        <v>0.25309834067685383</v>
      </c>
      <c r="G6" s="9">
        <f>C6/53811</f>
        <v>0.25834866477114343</v>
      </c>
      <c r="H6" s="5">
        <f>D6/51248</f>
        <v>0.20787152669372463</v>
      </c>
      <c r="I6" s="5"/>
      <c r="J6" s="5">
        <f>B6/C6-1</f>
        <v>-2.8988634728815965E-2</v>
      </c>
      <c r="K6" s="5">
        <f t="shared" ref="K6:K36" si="0">C6/D6-1</f>
        <v>0.30498451140523786</v>
      </c>
      <c r="L6" s="5"/>
      <c r="M6" s="5"/>
      <c r="N6" s="5"/>
      <c r="O6" s="5"/>
    </row>
    <row r="7" spans="1:15">
      <c r="A7" s="4" t="s">
        <v>60</v>
      </c>
      <c r="B7" s="6">
        <v>2118</v>
      </c>
      <c r="C7" s="6">
        <v>1760</v>
      </c>
      <c r="D7" s="6">
        <v>1592</v>
      </c>
      <c r="E7" s="28" t="s">
        <v>118</v>
      </c>
      <c r="F7" s="9">
        <f>B7/53335</f>
        <v>3.9711259023155525E-2</v>
      </c>
      <c r="G7" s="9">
        <f>C7/53811</f>
        <v>3.270706732824144E-2</v>
      </c>
      <c r="H7" s="5">
        <f>D7/51248</f>
        <v>3.1064626912269747E-2</v>
      </c>
      <c r="I7" s="5"/>
      <c r="J7" s="5">
        <f t="shared" ref="J7:J36" si="1">B7/C7-1</f>
        <v>0.20340909090909087</v>
      </c>
      <c r="K7" s="5">
        <f t="shared" si="0"/>
        <v>0.10552763819095468</v>
      </c>
      <c r="L7" s="5"/>
      <c r="M7" s="116" t="s">
        <v>59</v>
      </c>
      <c r="N7" s="116"/>
      <c r="O7" s="116"/>
    </row>
    <row r="8" spans="1:15">
      <c r="A8" s="7" t="s">
        <v>58</v>
      </c>
      <c r="B8" s="15">
        <v>17846</v>
      </c>
      <c r="C8" s="15">
        <v>21573</v>
      </c>
      <c r="D8" s="15">
        <v>20756</v>
      </c>
      <c r="E8" s="29"/>
      <c r="F8" s="16">
        <f>B8/53335</f>
        <v>0.33460204368613483</v>
      </c>
      <c r="G8" s="16">
        <f>C8/53811</f>
        <v>0.40090316106372303</v>
      </c>
      <c r="H8" s="13">
        <f>D8/51248</f>
        <v>0.40501092725569776</v>
      </c>
      <c r="I8" s="13"/>
      <c r="J8" s="13">
        <f t="shared" si="1"/>
        <v>-0.1727622491076809</v>
      </c>
      <c r="K8" s="13">
        <f t="shared" si="0"/>
        <v>3.9362112160339136E-2</v>
      </c>
      <c r="L8" s="13"/>
      <c r="M8" s="13">
        <f>B8/B19</f>
        <v>0.33460204368613483</v>
      </c>
      <c r="N8" s="13">
        <f>C8/C19</f>
        <v>0.40090316106372303</v>
      </c>
      <c r="O8" s="13">
        <f>D8/D19</f>
        <v>0.40501092725569776</v>
      </c>
    </row>
    <row r="9" spans="1:15">
      <c r="A9" s="4" t="s">
        <v>57</v>
      </c>
      <c r="B9" s="4" t="s">
        <v>1</v>
      </c>
      <c r="C9" s="4" t="s">
        <v>1</v>
      </c>
      <c r="E9" s="28"/>
      <c r="F9" s="9"/>
      <c r="G9" s="9"/>
      <c r="H9" s="5"/>
      <c r="I9" s="5"/>
      <c r="J9" s="5"/>
      <c r="K9" s="5"/>
      <c r="L9" s="5"/>
      <c r="M9" s="5"/>
      <c r="N9" s="5"/>
      <c r="O9" s="5"/>
    </row>
    <row r="10" spans="1:15">
      <c r="A10" s="4" t="s">
        <v>56</v>
      </c>
      <c r="B10" s="6">
        <v>6231</v>
      </c>
      <c r="C10" s="6">
        <v>6164</v>
      </c>
      <c r="D10" s="6">
        <v>6141</v>
      </c>
      <c r="E10" s="28" t="s">
        <v>118</v>
      </c>
      <c r="F10" s="9">
        <f t="shared" ref="F10:F18" si="2">B10/53335</f>
        <v>0.11682759913752695</v>
      </c>
      <c r="G10" s="9">
        <f t="shared" ref="G10:G18" si="3">C10/53811</f>
        <v>0.11454906989277286</v>
      </c>
      <c r="H10" s="5">
        <f t="shared" ref="H10:H18" si="4">D10/51248</f>
        <v>0.11982906650015611</v>
      </c>
      <c r="I10" s="5"/>
      <c r="J10" s="5">
        <f t="shared" si="1"/>
        <v>1.0869565217391353E-2</v>
      </c>
      <c r="K10" s="5">
        <f t="shared" si="0"/>
        <v>3.7453183520599342E-3</v>
      </c>
      <c r="L10" s="5"/>
      <c r="M10" s="5"/>
      <c r="N10" s="5"/>
      <c r="O10" s="5"/>
    </row>
    <row r="11" spans="1:15">
      <c r="A11" s="4" t="s">
        <v>55</v>
      </c>
      <c r="B11" s="6">
        <v>34746</v>
      </c>
      <c r="C11" s="6">
        <v>32985</v>
      </c>
      <c r="D11" s="6">
        <v>31557</v>
      </c>
      <c r="E11" s="28" t="s">
        <v>118</v>
      </c>
      <c r="F11" s="18">
        <f t="shared" si="2"/>
        <v>0.6514671416518234</v>
      </c>
      <c r="G11" s="18">
        <f t="shared" si="3"/>
        <v>0.61297875898979759</v>
      </c>
      <c r="H11" s="5">
        <f t="shared" si="4"/>
        <v>0.61577037152669367</v>
      </c>
      <c r="I11" s="5"/>
      <c r="J11" s="5">
        <f t="shared" si="1"/>
        <v>5.3387903592541974E-2</v>
      </c>
      <c r="K11" s="5">
        <f t="shared" si="0"/>
        <v>4.5251449757581552E-2</v>
      </c>
      <c r="L11" s="5"/>
      <c r="M11" s="5"/>
      <c r="N11" s="5"/>
      <c r="O11" s="5"/>
    </row>
    <row r="12" spans="1:15">
      <c r="A12" s="4" t="s">
        <v>54</v>
      </c>
      <c r="B12" s="6">
        <v>7439</v>
      </c>
      <c r="C12" s="6">
        <v>6407</v>
      </c>
      <c r="D12" s="6">
        <v>5914</v>
      </c>
      <c r="E12" s="28" t="s">
        <v>118</v>
      </c>
      <c r="F12" s="18">
        <f t="shared" si="2"/>
        <v>0.13947689134714542</v>
      </c>
      <c r="G12" s="18">
        <f t="shared" si="3"/>
        <v>0.119064875211388</v>
      </c>
      <c r="H12" s="5">
        <f t="shared" si="4"/>
        <v>0.11539962535123321</v>
      </c>
      <c r="I12" s="5"/>
      <c r="J12" s="5">
        <f t="shared" si="1"/>
        <v>0.16107382550335569</v>
      </c>
      <c r="K12" s="5">
        <f t="shared" si="0"/>
        <v>8.3361515049036106E-2</v>
      </c>
      <c r="L12" s="5"/>
      <c r="M12" s="5"/>
      <c r="N12" s="5"/>
      <c r="O12" s="5"/>
    </row>
    <row r="13" spans="1:15">
      <c r="A13" s="4" t="s">
        <v>53</v>
      </c>
      <c r="B13" s="6">
        <v>3039</v>
      </c>
      <c r="C13" s="6">
        <v>2505</v>
      </c>
      <c r="D13" s="6">
        <v>2765</v>
      </c>
      <c r="E13" s="28" t="s">
        <v>118</v>
      </c>
      <c r="F13" s="9">
        <f t="shared" si="2"/>
        <v>5.6979469391581515E-2</v>
      </c>
      <c r="G13" s="9">
        <f t="shared" si="3"/>
        <v>4.6551820259798184E-2</v>
      </c>
      <c r="H13" s="5">
        <f t="shared" si="4"/>
        <v>5.3953325007805183E-2</v>
      </c>
      <c r="I13" s="5"/>
      <c r="J13" s="5">
        <f t="shared" si="1"/>
        <v>0.21317365269461086</v>
      </c>
      <c r="K13" s="5">
        <f t="shared" si="0"/>
        <v>-9.4032549728752302E-2</v>
      </c>
      <c r="L13" s="5"/>
      <c r="M13" s="5"/>
      <c r="N13" s="5"/>
      <c r="O13" s="5"/>
    </row>
    <row r="14" spans="1:15">
      <c r="A14" s="4" t="s">
        <v>52</v>
      </c>
      <c r="B14" s="6">
        <v>2688</v>
      </c>
      <c r="C14" s="6">
        <v>1257</v>
      </c>
      <c r="D14" s="6">
        <v>780</v>
      </c>
      <c r="E14" s="28" t="s">
        <v>118</v>
      </c>
      <c r="F14" s="18">
        <f t="shared" si="2"/>
        <v>5.039842504921721E-2</v>
      </c>
      <c r="G14" s="18">
        <f t="shared" si="3"/>
        <v>2.3359536154317892E-2</v>
      </c>
      <c r="H14" s="5">
        <f t="shared" si="4"/>
        <v>1.5220106150483921E-2</v>
      </c>
      <c r="I14" s="5"/>
      <c r="J14" s="5">
        <f t="shared" si="1"/>
        <v>1.1384248210023866</v>
      </c>
      <c r="K14" s="5">
        <f t="shared" si="0"/>
        <v>0.61153846153846159</v>
      </c>
      <c r="L14" s="5"/>
      <c r="M14" s="5"/>
      <c r="N14" s="5"/>
      <c r="O14" s="5"/>
    </row>
    <row r="15" spans="1:15">
      <c r="A15" s="4" t="s">
        <v>51</v>
      </c>
      <c r="B15" s="6">
        <v>-22631</v>
      </c>
      <c r="C15" s="6">
        <v>-21137</v>
      </c>
      <c r="D15" s="6">
        <v>-20278</v>
      </c>
      <c r="E15" s="28" t="s">
        <v>118</v>
      </c>
      <c r="F15" s="9">
        <f t="shared" si="2"/>
        <v>-0.42431799006281051</v>
      </c>
      <c r="G15" s="9">
        <f t="shared" si="3"/>
        <v>-0.3928007284755905</v>
      </c>
      <c r="H15" s="5">
        <f t="shared" si="4"/>
        <v>-0.39568373399937556</v>
      </c>
      <c r="I15" s="5"/>
      <c r="J15" s="5">
        <f t="shared" si="1"/>
        <v>7.0681742915267076E-2</v>
      </c>
      <c r="K15" s="5">
        <f t="shared" si="0"/>
        <v>4.2361179603511268E-2</v>
      </c>
      <c r="L15" s="5"/>
      <c r="M15" s="116" t="s">
        <v>50</v>
      </c>
      <c r="N15" s="116"/>
      <c r="O15" s="116"/>
    </row>
    <row r="16" spans="1:15">
      <c r="A16" s="4" t="s">
        <v>49</v>
      </c>
      <c r="B16" s="6">
        <v>31512</v>
      </c>
      <c r="C16" s="6">
        <v>28181</v>
      </c>
      <c r="D16" s="6">
        <v>26879</v>
      </c>
      <c r="E16" s="28" t="s">
        <v>118</v>
      </c>
      <c r="F16" s="18">
        <f t="shared" si="2"/>
        <v>0.59083153651448395</v>
      </c>
      <c r="G16" s="18">
        <f t="shared" si="3"/>
        <v>0.52370333203248409</v>
      </c>
      <c r="H16" s="5">
        <f t="shared" si="4"/>
        <v>0.52448876053699656</v>
      </c>
      <c r="I16" s="5"/>
      <c r="J16" s="5">
        <f t="shared" si="1"/>
        <v>0.11820020581242674</v>
      </c>
      <c r="K16" s="5">
        <f t="shared" si="0"/>
        <v>4.8439302057368128E-2</v>
      </c>
      <c r="L16" s="5"/>
      <c r="M16" s="17">
        <f>B16+B17+B18</f>
        <v>35489</v>
      </c>
      <c r="N16">
        <f>C16+C17+C18</f>
        <v>32238</v>
      </c>
      <c r="O16">
        <f>D16+D17+D18</f>
        <v>30492</v>
      </c>
    </row>
    <row r="17" spans="1:15">
      <c r="A17" s="4" t="s">
        <v>48</v>
      </c>
      <c r="B17" s="6">
        <v>2657</v>
      </c>
      <c r="C17" s="6">
        <v>2556</v>
      </c>
      <c r="D17" s="6">
        <v>2227</v>
      </c>
      <c r="E17" s="28" t="s">
        <v>118</v>
      </c>
      <c r="F17" s="9">
        <f t="shared" si="2"/>
        <v>4.9817193212712101E-2</v>
      </c>
      <c r="G17" s="9">
        <f t="shared" si="3"/>
        <v>4.7499581869877905E-2</v>
      </c>
      <c r="H17" s="5">
        <f t="shared" si="4"/>
        <v>4.3455354355291916E-2</v>
      </c>
      <c r="I17" s="5"/>
      <c r="J17" s="5">
        <f t="shared" si="1"/>
        <v>3.9514866979655672E-2</v>
      </c>
      <c r="K17" s="5">
        <f t="shared" si="0"/>
        <v>0.14773237539290518</v>
      </c>
      <c r="L17" s="5"/>
      <c r="M17" s="5">
        <f>35489/B19</f>
        <v>0.66539795631386522</v>
      </c>
      <c r="N17" s="5">
        <f>32238/C19</f>
        <v>0.59909683893627697</v>
      </c>
      <c r="O17" s="5">
        <f>O16/D19</f>
        <v>0.59498907274430224</v>
      </c>
    </row>
    <row r="18" spans="1:15">
      <c r="A18" s="4" t="s">
        <v>47</v>
      </c>
      <c r="B18" s="6">
        <v>1320</v>
      </c>
      <c r="C18" s="6">
        <v>1501</v>
      </c>
      <c r="D18" s="6">
        <v>1386</v>
      </c>
      <c r="E18" s="28" t="s">
        <v>118</v>
      </c>
      <c r="F18" s="9">
        <f t="shared" si="2"/>
        <v>2.4749226586669167E-2</v>
      </c>
      <c r="G18" s="9">
        <f t="shared" si="3"/>
        <v>2.7893925033914999E-2</v>
      </c>
      <c r="H18" s="5">
        <f t="shared" si="4"/>
        <v>2.7044957852013739E-2</v>
      </c>
      <c r="I18" s="5"/>
      <c r="J18" s="5">
        <f t="shared" si="1"/>
        <v>-0.12058627581612258</v>
      </c>
      <c r="K18" s="5">
        <f t="shared" si="0"/>
        <v>8.297258297258292E-2</v>
      </c>
      <c r="L18" s="5"/>
      <c r="M18" s="5"/>
      <c r="N18" s="5"/>
      <c r="O18" s="5"/>
    </row>
    <row r="19" spans="1:15">
      <c r="A19" s="7" t="s">
        <v>46</v>
      </c>
      <c r="B19" s="15">
        <v>53335</v>
      </c>
      <c r="C19" s="15">
        <v>53811</v>
      </c>
      <c r="D19" s="15">
        <v>51248</v>
      </c>
      <c r="E19" s="14"/>
      <c r="F19" s="16"/>
      <c r="G19" s="16"/>
      <c r="H19" s="13"/>
      <c r="I19" s="13"/>
      <c r="J19" s="13">
        <f t="shared" si="1"/>
        <v>-8.845775027410796E-3</v>
      </c>
      <c r="K19" s="13">
        <f t="shared" si="0"/>
        <v>5.0011707773961911E-2</v>
      </c>
      <c r="L19" s="5"/>
      <c r="M19" s="5"/>
      <c r="N19" s="5"/>
      <c r="O19" s="5"/>
    </row>
    <row r="20" spans="1:15">
      <c r="A20" s="7" t="s">
        <v>45</v>
      </c>
      <c r="B20" s="4" t="s">
        <v>1</v>
      </c>
      <c r="C20" s="4" t="s">
        <v>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>
      <c r="A21" s="4" t="s">
        <v>44</v>
      </c>
      <c r="B21" s="6">
        <v>13487</v>
      </c>
      <c r="C21" s="6">
        <v>15478</v>
      </c>
      <c r="D21" s="6">
        <v>12859</v>
      </c>
      <c r="E21" s="28" t="s">
        <v>118</v>
      </c>
      <c r="F21" s="5">
        <f t="shared" ref="F21:F29" si="5">B21/53335</f>
        <v>0.25287334770788411</v>
      </c>
      <c r="G21" s="5">
        <f t="shared" ref="G21:G29" si="6">C21/53811</f>
        <v>0.28763635687870509</v>
      </c>
      <c r="H21" s="5">
        <f t="shared" ref="H21:H29" si="7">D21/51248</f>
        <v>0.25091710896034969</v>
      </c>
      <c r="I21" s="5"/>
      <c r="J21" s="5">
        <f t="shared" si="1"/>
        <v>-0.12863419046388425</v>
      </c>
      <c r="K21" s="5">
        <f t="shared" si="0"/>
        <v>0.20367058091608992</v>
      </c>
      <c r="L21" s="5"/>
      <c r="N21" s="5"/>
      <c r="O21" s="5"/>
    </row>
    <row r="22" spans="1:15">
      <c r="A22" s="4" t="s">
        <v>43</v>
      </c>
      <c r="B22" s="6">
        <v>5883</v>
      </c>
      <c r="C22" s="6">
        <v>6098</v>
      </c>
      <c r="D22" s="6">
        <v>6122</v>
      </c>
      <c r="E22" s="28" t="s">
        <v>118</v>
      </c>
      <c r="F22" s="5">
        <f t="shared" si="5"/>
        <v>0.11030280303740508</v>
      </c>
      <c r="G22" s="5">
        <f t="shared" si="6"/>
        <v>0.1133225548679638</v>
      </c>
      <c r="H22" s="5">
        <f t="shared" si="7"/>
        <v>0.1194583203246956</v>
      </c>
      <c r="I22" s="5"/>
      <c r="J22" s="5">
        <f t="shared" si="1"/>
        <v>-3.5257461462774642E-2</v>
      </c>
      <c r="K22" s="5">
        <f t="shared" si="0"/>
        <v>-3.9202874877490856E-3</v>
      </c>
      <c r="L22" s="5"/>
      <c r="M22" s="23"/>
      <c r="N22" s="23"/>
      <c r="O22" s="5"/>
    </row>
    <row r="23" spans="1:15">
      <c r="A23" s="4" t="s">
        <v>42</v>
      </c>
      <c r="B23" s="6">
        <v>130</v>
      </c>
      <c r="C23" s="6">
        <v>171</v>
      </c>
      <c r="D23" s="6">
        <v>1144</v>
      </c>
      <c r="E23" s="27" t="s">
        <v>117</v>
      </c>
      <c r="F23" s="5">
        <f t="shared" si="5"/>
        <v>2.4374238305052967E-3</v>
      </c>
      <c r="G23" s="5">
        <f t="shared" si="6"/>
        <v>3.1777889279143668E-3</v>
      </c>
      <c r="H23" s="5">
        <f t="shared" si="7"/>
        <v>2.2322822354043086E-2</v>
      </c>
      <c r="I23" s="5"/>
      <c r="J23" s="5">
        <f t="shared" si="1"/>
        <v>-0.23976608187134507</v>
      </c>
      <c r="K23" s="5">
        <f t="shared" si="0"/>
        <v>-0.85052447552447552</v>
      </c>
      <c r="L23" s="5"/>
      <c r="M23" s="5"/>
      <c r="N23" s="5"/>
      <c r="O23" s="5"/>
    </row>
    <row r="24" spans="1:15">
      <c r="A24" s="7" t="s">
        <v>41</v>
      </c>
      <c r="B24" s="15">
        <v>19500</v>
      </c>
      <c r="C24" s="15">
        <v>21747</v>
      </c>
      <c r="D24" s="15">
        <v>20125</v>
      </c>
      <c r="E24" s="14"/>
      <c r="F24" s="13">
        <f t="shared" si="5"/>
        <v>0.36561357457579452</v>
      </c>
      <c r="G24" s="13">
        <f t="shared" si="6"/>
        <v>0.40413670067458324</v>
      </c>
      <c r="H24" s="13">
        <f t="shared" si="7"/>
        <v>0.39269825163908834</v>
      </c>
      <c r="I24" s="13"/>
      <c r="J24" s="13">
        <f t="shared" si="1"/>
        <v>-0.1033245964960684</v>
      </c>
      <c r="K24" s="13">
        <f t="shared" si="0"/>
        <v>8.0596273291925424E-2</v>
      </c>
      <c r="L24" s="5"/>
      <c r="M24" s="5"/>
      <c r="N24" s="5"/>
      <c r="O24" s="5"/>
    </row>
    <row r="25" spans="1:15">
      <c r="A25" s="4" t="s">
        <v>195</v>
      </c>
      <c r="B25" s="6">
        <v>16009</v>
      </c>
      <c r="C25" s="6">
        <v>13549</v>
      </c>
      <c r="D25" s="6">
        <v>11536</v>
      </c>
      <c r="E25" s="27" t="s">
        <v>117</v>
      </c>
      <c r="F25" s="5">
        <f t="shared" si="5"/>
        <v>0.3001593700196869</v>
      </c>
      <c r="G25" s="5">
        <f t="shared" si="6"/>
        <v>0.25178866774451319</v>
      </c>
      <c r="H25" s="5">
        <f t="shared" si="7"/>
        <v>0.22510146737433656</v>
      </c>
      <c r="I25" s="5"/>
      <c r="J25" s="5">
        <f t="shared" si="1"/>
        <v>0.18156321499741668</v>
      </c>
      <c r="K25" s="5">
        <f t="shared" si="0"/>
        <v>0.17449722607489604</v>
      </c>
      <c r="L25" s="5"/>
      <c r="M25" s="5"/>
      <c r="N25" s="5"/>
      <c r="O25" s="5"/>
    </row>
    <row r="26" spans="1:15">
      <c r="A26" s="4" t="s">
        <v>39</v>
      </c>
      <c r="B26" s="6">
        <v>2638</v>
      </c>
      <c r="C26" s="6">
        <v>2493</v>
      </c>
      <c r="D26" s="6">
        <v>2218</v>
      </c>
      <c r="E26" s="28" t="s">
        <v>118</v>
      </c>
      <c r="F26" s="5">
        <f t="shared" si="5"/>
        <v>4.9460954345176715E-2</v>
      </c>
      <c r="G26" s="5">
        <f t="shared" si="6"/>
        <v>4.6328817528014717E-2</v>
      </c>
      <c r="H26" s="5">
        <f t="shared" si="7"/>
        <v>4.3279737745863252E-2</v>
      </c>
      <c r="I26" s="5"/>
      <c r="J26" s="5">
        <f t="shared" si="1"/>
        <v>5.8162855996791052E-2</v>
      </c>
      <c r="K26" s="5">
        <f t="shared" si="0"/>
        <v>0.12398557258791709</v>
      </c>
      <c r="L26" s="5"/>
      <c r="M26" s="5"/>
      <c r="N26" s="5"/>
      <c r="O26" s="5"/>
    </row>
    <row r="27" spans="1:15">
      <c r="A27" s="4" t="s">
        <v>38</v>
      </c>
      <c r="B27" s="6">
        <v>2196</v>
      </c>
      <c r="C27" s="6">
        <v>1566</v>
      </c>
      <c r="D27" s="6">
        <v>990</v>
      </c>
      <c r="E27" s="28" t="s">
        <v>118</v>
      </c>
      <c r="F27" s="5">
        <f t="shared" si="5"/>
        <v>4.1173713321458708E-2</v>
      </c>
      <c r="G27" s="5">
        <f t="shared" si="6"/>
        <v>2.9101856497742096E-2</v>
      </c>
      <c r="H27" s="5">
        <f t="shared" si="7"/>
        <v>1.9317827037152669E-2</v>
      </c>
      <c r="I27" s="5"/>
      <c r="J27" s="5">
        <f t="shared" si="1"/>
        <v>0.40229885057471271</v>
      </c>
      <c r="K27" s="5">
        <f t="shared" si="0"/>
        <v>0.58181818181818179</v>
      </c>
      <c r="L27" s="5"/>
      <c r="M27" s="5"/>
      <c r="N27" s="5"/>
      <c r="O27" s="5"/>
    </row>
    <row r="28" spans="1:15">
      <c r="A28" s="4" t="s">
        <v>37</v>
      </c>
      <c r="B28" s="6">
        <v>1760</v>
      </c>
      <c r="C28" s="6">
        <v>1629</v>
      </c>
      <c r="D28" s="6">
        <v>1939</v>
      </c>
      <c r="E28" s="28" t="s">
        <v>118</v>
      </c>
      <c r="F28" s="5">
        <f t="shared" si="5"/>
        <v>3.2998968782225559E-2</v>
      </c>
      <c r="G28" s="5">
        <f t="shared" si="6"/>
        <v>3.0272620839605285E-2</v>
      </c>
      <c r="H28" s="5">
        <f t="shared" si="7"/>
        <v>3.7835622853574773E-2</v>
      </c>
      <c r="I28" s="5"/>
      <c r="J28" s="5">
        <f t="shared" si="1"/>
        <v>8.0417434008594135E-2</v>
      </c>
      <c r="K28" s="5">
        <f t="shared" si="0"/>
        <v>-0.15987622485817432</v>
      </c>
      <c r="L28" s="5"/>
      <c r="M28" s="5"/>
      <c r="N28" s="5"/>
      <c r="O28" s="5"/>
    </row>
    <row r="29" spans="1:15">
      <c r="A29" s="7" t="s">
        <v>36</v>
      </c>
      <c r="B29" s="15">
        <v>22603</v>
      </c>
      <c r="C29" s="15">
        <v>19237</v>
      </c>
      <c r="D29" s="15">
        <v>16683</v>
      </c>
      <c r="E29" s="14"/>
      <c r="F29" s="13">
        <f t="shared" si="5"/>
        <v>0.42379300646854784</v>
      </c>
      <c r="G29" s="13">
        <f t="shared" si="6"/>
        <v>0.35749196260987531</v>
      </c>
      <c r="H29" s="13">
        <f t="shared" si="7"/>
        <v>0.32553465501092727</v>
      </c>
      <c r="I29" s="13"/>
      <c r="J29" s="13">
        <f t="shared" si="1"/>
        <v>0.17497530800020789</v>
      </c>
      <c r="K29" s="13">
        <f t="shared" si="0"/>
        <v>0.15308997182760886</v>
      </c>
      <c r="L29" s="5"/>
      <c r="M29" s="5"/>
      <c r="N29" s="5"/>
      <c r="O29" s="5"/>
    </row>
    <row r="30" spans="1:15">
      <c r="A30" s="4" t="s">
        <v>35</v>
      </c>
      <c r="B30" s="2">
        <f>B37-B36</f>
        <v>42103</v>
      </c>
      <c r="C30" s="2">
        <f>C37-C36</f>
        <v>40984</v>
      </c>
      <c r="D30" s="2">
        <f>D37-D36</f>
        <v>36808</v>
      </c>
      <c r="F30" s="5"/>
      <c r="G30" s="5"/>
      <c r="H30" s="5"/>
      <c r="I30" s="5"/>
      <c r="J30" s="5">
        <f t="shared" si="1"/>
        <v>2.7303337887956358E-2</v>
      </c>
      <c r="K30" s="5">
        <f t="shared" si="0"/>
        <v>0.11345359704412084</v>
      </c>
      <c r="L30" s="5"/>
      <c r="M30" s="5"/>
      <c r="N30" s="5"/>
      <c r="O30" s="5"/>
    </row>
    <row r="31" spans="1:15">
      <c r="A31" s="7" t="s">
        <v>34</v>
      </c>
      <c r="B31" s="4" t="s">
        <v>1</v>
      </c>
      <c r="C31" s="4" t="s">
        <v>1</v>
      </c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>
      <c r="A32" s="4" t="s">
        <v>33</v>
      </c>
      <c r="B32" s="6">
        <v>38</v>
      </c>
      <c r="C32" s="6">
        <v>39</v>
      </c>
      <c r="D32" s="6">
        <v>42</v>
      </c>
      <c r="E32" s="27" t="s">
        <v>117</v>
      </c>
      <c r="F32" s="5">
        <f>B32/53335</f>
        <v>7.1247773507077908E-4</v>
      </c>
      <c r="G32" s="5">
        <f>C32/53811</f>
        <v>7.2475887829625911E-4</v>
      </c>
      <c r="H32" s="5">
        <f>D32/51248</f>
        <v>8.1954417733374964E-4</v>
      </c>
      <c r="I32" s="5"/>
      <c r="J32" s="5">
        <f t="shared" si="1"/>
        <v>-2.5641025641025661E-2</v>
      </c>
      <c r="K32" s="5">
        <f t="shared" si="0"/>
        <v>-7.1428571428571397E-2</v>
      </c>
      <c r="L32" s="5"/>
      <c r="M32" s="5"/>
      <c r="N32" s="5"/>
      <c r="O32" s="5"/>
    </row>
    <row r="33" spans="1:15">
      <c r="A33" s="4" t="s">
        <v>32</v>
      </c>
      <c r="B33" s="6">
        <v>6608</v>
      </c>
      <c r="C33" s="6">
        <v>6421</v>
      </c>
      <c r="D33" s="6">
        <v>6329</v>
      </c>
      <c r="E33" s="27" t="s">
        <v>117</v>
      </c>
      <c r="F33" s="5">
        <f>B33/53335</f>
        <v>0.12389612824599232</v>
      </c>
      <c r="G33" s="5">
        <f>C33/53811</f>
        <v>0.11932504506513539</v>
      </c>
      <c r="H33" s="5">
        <f>D33/51248</f>
        <v>0.12349750234155479</v>
      </c>
      <c r="I33" s="5"/>
      <c r="J33" s="5">
        <f t="shared" si="1"/>
        <v>2.9123189534340455E-2</v>
      </c>
      <c r="K33" s="5">
        <f t="shared" si="0"/>
        <v>1.4536261652709825E-2</v>
      </c>
      <c r="L33" s="5"/>
      <c r="M33" s="5"/>
      <c r="N33" s="5"/>
      <c r="O33" s="5"/>
    </row>
    <row r="34" spans="1:15">
      <c r="A34" s="4" t="s">
        <v>31</v>
      </c>
      <c r="B34" s="6">
        <v>5005</v>
      </c>
      <c r="C34" s="6">
        <v>6920</v>
      </c>
      <c r="D34" s="6">
        <v>8825</v>
      </c>
      <c r="E34" s="27" t="s">
        <v>117</v>
      </c>
      <c r="F34" s="5">
        <f>B34/53335</f>
        <v>9.3840817474453928E-2</v>
      </c>
      <c r="G34" s="5">
        <f>C34/53811</f>
        <v>0.12859824199513112</v>
      </c>
      <c r="H34" s="5">
        <f>D34/51248</f>
        <v>0.17220184202310335</v>
      </c>
      <c r="I34" s="5"/>
      <c r="J34" s="5">
        <f t="shared" si="1"/>
        <v>-0.27673410404624277</v>
      </c>
      <c r="K34" s="5">
        <f t="shared" si="0"/>
        <v>-0.21586402266288951</v>
      </c>
      <c r="L34" s="5"/>
      <c r="M34" s="5"/>
      <c r="N34" s="5"/>
      <c r="O34" s="5"/>
    </row>
    <row r="35" spans="1:15">
      <c r="A35" s="4" t="s">
        <v>30</v>
      </c>
      <c r="B35" s="6">
        <v>-419</v>
      </c>
      <c r="C35" s="6">
        <v>-553</v>
      </c>
      <c r="D35" s="6">
        <v>-756</v>
      </c>
      <c r="E35" s="27" t="s">
        <v>117</v>
      </c>
      <c r="F35" s="5">
        <f>B35/53335</f>
        <v>-7.8560044998593793E-3</v>
      </c>
      <c r="G35" s="5">
        <f>C35/53811</f>
        <v>-1.0276709223021315E-2</v>
      </c>
      <c r="H35" s="5">
        <f>D35/51248</f>
        <v>-1.4751795192007493E-2</v>
      </c>
      <c r="I35" s="5"/>
      <c r="J35" s="5">
        <f t="shared" si="1"/>
        <v>-0.24231464737793851</v>
      </c>
      <c r="K35" s="5">
        <f t="shared" si="0"/>
        <v>-0.26851851851851849</v>
      </c>
      <c r="L35" s="5"/>
      <c r="M35" s="5"/>
      <c r="N35" s="5"/>
      <c r="O35" s="5"/>
    </row>
    <row r="36" spans="1:15">
      <c r="A36" s="7" t="s">
        <v>29</v>
      </c>
      <c r="B36" s="15">
        <v>11232</v>
      </c>
      <c r="C36" s="15">
        <v>12827</v>
      </c>
      <c r="D36" s="15">
        <v>14440</v>
      </c>
      <c r="E36" s="14"/>
      <c r="F36" s="13">
        <f>B36/53335</f>
        <v>0.21059341895565764</v>
      </c>
      <c r="G36" s="13">
        <f>C36/53811</f>
        <v>0.23837133671554142</v>
      </c>
      <c r="H36" s="13">
        <f>D36/51248</f>
        <v>0.2817670933499844</v>
      </c>
      <c r="I36" s="13"/>
      <c r="J36" s="13">
        <f t="shared" si="1"/>
        <v>-0.12434708037732911</v>
      </c>
      <c r="K36" s="13">
        <f t="shared" si="0"/>
        <v>-0.11170360110803323</v>
      </c>
      <c r="L36" s="5"/>
      <c r="M36" s="5"/>
      <c r="N36" s="5"/>
      <c r="O36" s="5"/>
    </row>
    <row r="37" spans="1:15">
      <c r="A37" s="4" t="s">
        <v>28</v>
      </c>
      <c r="B37" s="3">
        <v>53335</v>
      </c>
      <c r="C37" s="3">
        <v>53811</v>
      </c>
      <c r="D37" s="3">
        <v>51248</v>
      </c>
      <c r="F37" s="12"/>
      <c r="G37" s="12"/>
      <c r="H37" s="12"/>
      <c r="J37" s="12"/>
      <c r="K37" s="12"/>
    </row>
    <row r="38" spans="1:15">
      <c r="B38" s="17"/>
    </row>
  </sheetData>
  <mergeCells count="5">
    <mergeCell ref="F1:H1"/>
    <mergeCell ref="J1:K1"/>
    <mergeCell ref="M1:O1"/>
    <mergeCell ref="M7:O7"/>
    <mergeCell ref="M15:O15"/>
  </mergeCell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F7842-078C-45ED-BC5C-996DD9850251}">
  <dimension ref="A1:T39"/>
  <sheetViews>
    <sheetView zoomScale="85" workbookViewId="0">
      <selection activeCell="E30" sqref="E30"/>
    </sheetView>
  </sheetViews>
  <sheetFormatPr defaultColWidth="8.85546875" defaultRowHeight="15"/>
  <cols>
    <col min="8" max="8" width="1.85546875" customWidth="1"/>
    <col min="12" max="12" width="15.42578125" customWidth="1"/>
  </cols>
  <sheetData>
    <row r="1" spans="1:15">
      <c r="A1" s="121" t="s">
        <v>69</v>
      </c>
      <c r="B1" s="121"/>
      <c r="C1" s="121"/>
      <c r="D1" s="121"/>
      <c r="E1" s="121"/>
      <c r="F1" s="121"/>
      <c r="G1" s="121"/>
      <c r="I1" s="121" t="s">
        <v>116</v>
      </c>
      <c r="J1" s="121"/>
      <c r="K1" s="121"/>
      <c r="L1" s="121"/>
      <c r="M1" s="121"/>
      <c r="N1" s="121"/>
      <c r="O1" s="121"/>
    </row>
    <row r="2" spans="1:15">
      <c r="E2" s="26">
        <v>2022</v>
      </c>
      <c r="F2" s="26">
        <v>2021</v>
      </c>
      <c r="G2" s="26">
        <v>2020</v>
      </c>
      <c r="M2" s="26">
        <v>2022</v>
      </c>
      <c r="N2" s="26">
        <v>2021</v>
      </c>
      <c r="O2" s="26">
        <v>2020</v>
      </c>
    </row>
    <row r="3" spans="1:15">
      <c r="A3" s="115" t="s">
        <v>61</v>
      </c>
      <c r="B3" s="115"/>
      <c r="C3" s="115"/>
      <c r="D3" s="115"/>
      <c r="E3" s="17">
        <f>'Balance Sheet'!B6</f>
        <v>13499</v>
      </c>
      <c r="F3" s="17">
        <f>'Balance Sheet'!C6</f>
        <v>13902</v>
      </c>
      <c r="G3" s="17">
        <f>'Balance Sheet'!D6</f>
        <v>10653</v>
      </c>
      <c r="I3" s="115" t="s">
        <v>62</v>
      </c>
      <c r="J3" s="115"/>
      <c r="K3" s="115"/>
      <c r="L3" s="115"/>
      <c r="M3">
        <f>'Balance Sheet'!B5</f>
        <v>2229</v>
      </c>
      <c r="N3">
        <f>'Balance Sheet'!C5</f>
        <v>5911</v>
      </c>
      <c r="O3">
        <f>'Balance Sheet'!D5</f>
        <v>8511</v>
      </c>
    </row>
    <row r="4" spans="1:15">
      <c r="A4" s="115" t="s">
        <v>60</v>
      </c>
      <c r="B4" s="115"/>
      <c r="C4" s="115"/>
      <c r="D4" s="115"/>
      <c r="E4" s="3">
        <f>'Balance Sheet'!B7</f>
        <v>2118</v>
      </c>
      <c r="F4" s="3">
        <f>'Balance Sheet'!C7</f>
        <v>1760</v>
      </c>
      <c r="G4" s="3">
        <f>'Balance Sheet'!D7</f>
        <v>1592</v>
      </c>
    </row>
    <row r="5" spans="1:15">
      <c r="A5" s="115"/>
      <c r="B5" s="115"/>
      <c r="C5" s="115"/>
      <c r="D5" s="115"/>
      <c r="E5" s="17"/>
      <c r="F5" s="17"/>
      <c r="G5" s="17"/>
    </row>
    <row r="6" spans="1:15">
      <c r="A6" s="115"/>
      <c r="B6" s="115"/>
      <c r="C6" s="115"/>
      <c r="D6" s="115"/>
      <c r="E6" s="17"/>
      <c r="F6" s="17"/>
      <c r="G6" s="17"/>
    </row>
    <row r="7" spans="1:15">
      <c r="A7" s="115"/>
      <c r="B7" s="115"/>
      <c r="C7" s="115"/>
      <c r="D7" s="115"/>
      <c r="E7" s="17"/>
      <c r="F7" s="17"/>
      <c r="G7" s="17"/>
    </row>
    <row r="8" spans="1:15">
      <c r="A8" s="115"/>
      <c r="B8" s="115"/>
      <c r="C8" s="115"/>
      <c r="D8" s="115"/>
      <c r="E8" s="17"/>
      <c r="F8" s="17"/>
      <c r="G8" s="17"/>
    </row>
    <row r="9" spans="1:15">
      <c r="A9" s="115"/>
      <c r="B9" s="115"/>
      <c r="C9" s="115"/>
      <c r="D9" s="115"/>
      <c r="E9" s="17"/>
      <c r="F9" s="17"/>
      <c r="G9" s="17"/>
    </row>
    <row r="10" spans="1:15">
      <c r="A10" s="115"/>
      <c r="B10" s="115"/>
      <c r="C10" s="115"/>
      <c r="D10" s="115"/>
      <c r="E10" s="17"/>
      <c r="F10" s="17"/>
      <c r="G10" s="17"/>
    </row>
    <row r="11" spans="1:15">
      <c r="A11" s="115" t="s">
        <v>127</v>
      </c>
      <c r="B11" s="115"/>
      <c r="C11" s="115"/>
      <c r="D11" s="115"/>
      <c r="E11" s="17">
        <f>'Balance Sheet'!B16</f>
        <v>31512</v>
      </c>
      <c r="F11" s="17">
        <f>'Balance Sheet'!C16</f>
        <v>28181</v>
      </c>
      <c r="G11" s="17">
        <f>'Balance Sheet'!D16</f>
        <v>26879</v>
      </c>
    </row>
    <row r="12" spans="1:15">
      <c r="A12" s="115" t="s">
        <v>48</v>
      </c>
      <c r="B12" s="115"/>
      <c r="C12" s="115"/>
      <c r="D12" s="115"/>
      <c r="E12" s="17">
        <f>'Balance Sheet'!B17</f>
        <v>2657</v>
      </c>
      <c r="F12" s="17">
        <f>'Balance Sheet'!C17</f>
        <v>2556</v>
      </c>
      <c r="G12" s="17">
        <f>'Balance Sheet'!D17</f>
        <v>2227</v>
      </c>
    </row>
    <row r="13" spans="1:15">
      <c r="A13" s="115" t="s">
        <v>47</v>
      </c>
      <c r="B13" s="115"/>
      <c r="C13" s="115"/>
      <c r="D13" s="115"/>
      <c r="E13" s="17">
        <f>'Balance Sheet'!B18</f>
        <v>1320</v>
      </c>
      <c r="F13" s="17">
        <f>'Balance Sheet'!C18</f>
        <v>1501</v>
      </c>
      <c r="G13" s="17">
        <f>'Balance Sheet'!D18</f>
        <v>1386</v>
      </c>
    </row>
    <row r="15" spans="1:15">
      <c r="A15" s="117" t="s">
        <v>119</v>
      </c>
      <c r="B15" s="117"/>
      <c r="C15" s="117"/>
      <c r="D15" s="117"/>
      <c r="E15" s="30">
        <f>E3+E4+E11+E13+E12</f>
        <v>51106</v>
      </c>
      <c r="F15" s="30">
        <f t="shared" ref="F15:G15" si="0">F3+F4+F11+F13+F12</f>
        <v>47900</v>
      </c>
      <c r="G15" s="30">
        <f t="shared" si="0"/>
        <v>42737</v>
      </c>
      <c r="I15" s="117" t="s">
        <v>120</v>
      </c>
      <c r="J15" s="117"/>
      <c r="K15" s="117"/>
      <c r="L15" s="117"/>
      <c r="M15" s="33">
        <f>M3</f>
        <v>2229</v>
      </c>
      <c r="N15" s="33">
        <f>N3</f>
        <v>5911</v>
      </c>
      <c r="O15" s="33">
        <f>O3</f>
        <v>8511</v>
      </c>
    </row>
    <row r="16" spans="1:15">
      <c r="A16" s="119" t="s">
        <v>44</v>
      </c>
      <c r="B16" s="119"/>
      <c r="C16" s="119"/>
      <c r="D16" s="119"/>
      <c r="E16" s="17">
        <f>'Balance Sheet'!B21</f>
        <v>13487</v>
      </c>
      <c r="F16" s="17">
        <f>'Balance Sheet'!C21</f>
        <v>15478</v>
      </c>
      <c r="G16" s="17">
        <f>'Balance Sheet'!D21</f>
        <v>12859</v>
      </c>
      <c r="I16" s="120" t="s">
        <v>42</v>
      </c>
      <c r="J16" s="120"/>
      <c r="K16" s="120"/>
      <c r="L16" s="120"/>
      <c r="M16" s="17">
        <f>'Balance Sheet'!B23</f>
        <v>130</v>
      </c>
      <c r="N16" s="17">
        <f>'Balance Sheet'!C23</f>
        <v>171</v>
      </c>
      <c r="O16" s="17">
        <f>'Balance Sheet'!D23</f>
        <v>1144</v>
      </c>
    </row>
    <row r="17" spans="1:20">
      <c r="A17" s="115" t="s">
        <v>43</v>
      </c>
      <c r="B17" s="115"/>
      <c r="C17" s="115"/>
      <c r="D17" s="115"/>
      <c r="E17" s="17">
        <f>'Balance Sheet'!B22</f>
        <v>5883</v>
      </c>
      <c r="F17" s="17">
        <f>'Balance Sheet'!C22</f>
        <v>6098</v>
      </c>
      <c r="G17" s="17">
        <f>'Balance Sheet'!D22</f>
        <v>6122</v>
      </c>
      <c r="I17" s="115" t="s">
        <v>40</v>
      </c>
      <c r="J17" s="115"/>
      <c r="K17" s="115"/>
      <c r="L17" s="115"/>
      <c r="M17" s="17">
        <f>'Balance Sheet'!B25</f>
        <v>16009</v>
      </c>
      <c r="N17" s="17">
        <f>'Balance Sheet'!C25</f>
        <v>13549</v>
      </c>
      <c r="O17" s="17">
        <f>'Balance Sheet'!D25</f>
        <v>11536</v>
      </c>
      <c r="Q17" s="17"/>
    </row>
    <row r="18" spans="1:20">
      <c r="A18" s="115" t="s">
        <v>39</v>
      </c>
      <c r="B18" s="115"/>
      <c r="C18" s="115"/>
      <c r="D18" s="115"/>
      <c r="E18" s="17">
        <f>'Balance Sheet'!B26</f>
        <v>2638</v>
      </c>
      <c r="F18" s="17">
        <f>'Balance Sheet'!C26</f>
        <v>2493</v>
      </c>
      <c r="G18" s="17">
        <f>'Balance Sheet'!D26</f>
        <v>2218</v>
      </c>
      <c r="Q18" s="17"/>
    </row>
    <row r="19" spans="1:20">
      <c r="A19" s="115" t="s">
        <v>38</v>
      </c>
      <c r="B19" s="115"/>
      <c r="C19" s="115"/>
      <c r="D19" s="115"/>
      <c r="E19" s="17">
        <f>'Balance Sheet'!B27</f>
        <v>2196</v>
      </c>
      <c r="F19" s="17">
        <f>'Balance Sheet'!C27</f>
        <v>1566</v>
      </c>
      <c r="G19" s="17">
        <f>'Balance Sheet'!D27</f>
        <v>990</v>
      </c>
      <c r="Q19" s="17"/>
      <c r="R19" s="17"/>
      <c r="S19" s="17"/>
      <c r="T19" s="17"/>
    </row>
    <row r="20" spans="1:20">
      <c r="A20" s="115" t="s">
        <v>37</v>
      </c>
      <c r="B20" s="115"/>
      <c r="C20" s="115"/>
      <c r="D20" s="115"/>
      <c r="E20" s="17">
        <f>'Balance Sheet'!B28</f>
        <v>1760</v>
      </c>
      <c r="F20" s="17">
        <f>'Balance Sheet'!C28</f>
        <v>1629</v>
      </c>
      <c r="G20" s="17">
        <f>'Balance Sheet'!D28</f>
        <v>1939</v>
      </c>
      <c r="R20" s="17"/>
    </row>
    <row r="21" spans="1:20">
      <c r="E21" s="17"/>
      <c r="F21" s="17"/>
      <c r="G21" s="17"/>
      <c r="I21" s="117" t="s">
        <v>121</v>
      </c>
      <c r="J21" s="117"/>
      <c r="K21" s="117"/>
      <c r="L21" s="117"/>
      <c r="M21" s="32">
        <f>M16+M17</f>
        <v>16139</v>
      </c>
      <c r="N21" s="32">
        <f t="shared" ref="N21:O21" si="1">N16+N17</f>
        <v>13720</v>
      </c>
      <c r="O21" s="32">
        <f t="shared" si="1"/>
        <v>12680</v>
      </c>
      <c r="Q21" s="17"/>
    </row>
    <row r="22" spans="1:20">
      <c r="I22" s="117" t="s">
        <v>122</v>
      </c>
      <c r="J22" s="117"/>
      <c r="K22" s="117"/>
      <c r="L22" s="117"/>
      <c r="M22" s="32">
        <f>M21-M15</f>
        <v>13910</v>
      </c>
      <c r="N22" s="32">
        <f>N21-N15</f>
        <v>7809</v>
      </c>
      <c r="O22" s="32">
        <f>O21-O15</f>
        <v>4169</v>
      </c>
    </row>
    <row r="23" spans="1:20">
      <c r="R23" s="17"/>
    </row>
    <row r="24" spans="1:20">
      <c r="I24" s="115" t="s">
        <v>33</v>
      </c>
      <c r="J24" s="115"/>
      <c r="K24" s="115"/>
      <c r="L24" s="115"/>
      <c r="M24" s="17">
        <f>'Balance Sheet'!B32</f>
        <v>38</v>
      </c>
      <c r="N24" s="17">
        <f>'Balance Sheet'!C32</f>
        <v>39</v>
      </c>
      <c r="O24" s="17">
        <f>'Balance Sheet'!D32</f>
        <v>42</v>
      </c>
    </row>
    <row r="25" spans="1:20">
      <c r="I25" s="115" t="s">
        <v>32</v>
      </c>
      <c r="J25" s="115"/>
      <c r="K25" s="115"/>
      <c r="L25" s="115"/>
      <c r="M25" s="17">
        <f>'Balance Sheet'!B33</f>
        <v>6608</v>
      </c>
      <c r="N25" s="17">
        <f>'Balance Sheet'!C33</f>
        <v>6421</v>
      </c>
      <c r="O25" s="17">
        <f>'Balance Sheet'!D33</f>
        <v>6329</v>
      </c>
      <c r="T25" s="17"/>
    </row>
    <row r="26" spans="1:20">
      <c r="I26" s="115" t="s">
        <v>31</v>
      </c>
      <c r="J26" s="115"/>
      <c r="K26" s="115"/>
      <c r="L26" s="115"/>
      <c r="M26" s="17">
        <f>'Balance Sheet'!B34</f>
        <v>5005</v>
      </c>
      <c r="N26" s="17">
        <f>'Balance Sheet'!C34</f>
        <v>6920</v>
      </c>
      <c r="O26" s="17">
        <f>'Balance Sheet'!D34</f>
        <v>8825</v>
      </c>
    </row>
    <row r="27" spans="1:20">
      <c r="I27" s="115" t="s">
        <v>30</v>
      </c>
      <c r="J27" s="115"/>
      <c r="K27" s="115"/>
      <c r="L27" s="115"/>
      <c r="M27" s="17">
        <f>'Balance Sheet'!B35</f>
        <v>-419</v>
      </c>
      <c r="N27" s="17">
        <f>'Balance Sheet'!C35</f>
        <v>-553</v>
      </c>
      <c r="O27" s="17">
        <f>'Balance Sheet'!D35</f>
        <v>-756</v>
      </c>
    </row>
    <row r="29" spans="1:20">
      <c r="A29" s="117" t="s">
        <v>125</v>
      </c>
      <c r="B29" s="117"/>
      <c r="C29" s="117"/>
      <c r="D29" s="117"/>
      <c r="E29" s="32">
        <f>E16+E17+E18+E19+E20+E21</f>
        <v>25964</v>
      </c>
      <c r="F29" s="32">
        <f t="shared" ref="F29:G29" si="2">F16+F17+F18+F19+F20+F21</f>
        <v>27264</v>
      </c>
      <c r="G29" s="32">
        <f t="shared" si="2"/>
        <v>24128</v>
      </c>
      <c r="H29" s="14"/>
      <c r="I29" s="117" t="s">
        <v>123</v>
      </c>
      <c r="J29" s="117"/>
      <c r="K29" s="117"/>
      <c r="L29" s="117"/>
      <c r="M29" s="32">
        <f>M24+M25+M26+M27</f>
        <v>11232</v>
      </c>
      <c r="N29" s="32">
        <f t="shared" ref="N29" si="3">SUM(N24:N27)</f>
        <v>12827</v>
      </c>
      <c r="O29" s="32">
        <f>SUM(O24:O27)</f>
        <v>14440</v>
      </c>
    </row>
    <row r="30" spans="1:20">
      <c r="A30" s="117" t="s">
        <v>143</v>
      </c>
      <c r="B30" s="117"/>
      <c r="C30" s="117"/>
      <c r="D30" s="117"/>
      <c r="E30" s="32">
        <f>E15-E29</f>
        <v>25142</v>
      </c>
      <c r="F30" s="32">
        <f>F15-F29</f>
        <v>20636</v>
      </c>
      <c r="G30" s="32">
        <f t="shared" ref="G30" si="4">G15-G29</f>
        <v>18609</v>
      </c>
      <c r="H30" s="14"/>
      <c r="I30" s="118" t="s">
        <v>124</v>
      </c>
      <c r="J30" s="118"/>
      <c r="K30" s="118"/>
      <c r="L30" s="118"/>
      <c r="M30" s="32">
        <f>M29+M22</f>
        <v>25142</v>
      </c>
      <c r="N30" s="32">
        <f t="shared" ref="N30:O30" si="5">N29+N22</f>
        <v>20636</v>
      </c>
      <c r="O30" s="32">
        <f t="shared" si="5"/>
        <v>18609</v>
      </c>
    </row>
    <row r="31" spans="1:20">
      <c r="I31" s="31"/>
      <c r="J31" s="31"/>
      <c r="K31" s="31"/>
      <c r="L31" s="31"/>
      <c r="M31" s="17"/>
      <c r="N31" s="17"/>
      <c r="O31" s="17"/>
    </row>
    <row r="32" spans="1:20">
      <c r="A32" t="s">
        <v>126</v>
      </c>
      <c r="B32" s="17">
        <f>E30-M22-M29</f>
        <v>0</v>
      </c>
      <c r="C32" s="17">
        <f t="shared" ref="C32:D32" si="6">F30-N22-N29</f>
        <v>0</v>
      </c>
      <c r="D32" s="17">
        <f t="shared" si="6"/>
        <v>0</v>
      </c>
      <c r="M32" s="17"/>
    </row>
    <row r="33" spans="2:19">
      <c r="B33" s="17"/>
      <c r="C33" s="17"/>
      <c r="S33" s="17"/>
    </row>
    <row r="34" spans="2:19">
      <c r="B34" s="17"/>
    </row>
    <row r="39" spans="2:19">
      <c r="L39" t="s">
        <v>128</v>
      </c>
    </row>
  </sheetData>
  <mergeCells count="33">
    <mergeCell ref="A1:G1"/>
    <mergeCell ref="I1:O1"/>
    <mergeCell ref="A4:D4"/>
    <mergeCell ref="A5:D5"/>
    <mergeCell ref="A3:D3"/>
    <mergeCell ref="A12:D12"/>
    <mergeCell ref="A13:D13"/>
    <mergeCell ref="A15:D15"/>
    <mergeCell ref="I3:L3"/>
    <mergeCell ref="I15:L15"/>
    <mergeCell ref="A6:D6"/>
    <mergeCell ref="A7:D7"/>
    <mergeCell ref="A8:D8"/>
    <mergeCell ref="A9:D9"/>
    <mergeCell ref="A10:D10"/>
    <mergeCell ref="A11:D11"/>
    <mergeCell ref="I21:L21"/>
    <mergeCell ref="I22:L22"/>
    <mergeCell ref="I24:L24"/>
    <mergeCell ref="I25:L25"/>
    <mergeCell ref="A16:D16"/>
    <mergeCell ref="A17:D17"/>
    <mergeCell ref="A18:D18"/>
    <mergeCell ref="A19:D19"/>
    <mergeCell ref="A20:D20"/>
    <mergeCell ref="I16:L16"/>
    <mergeCell ref="I17:L17"/>
    <mergeCell ref="A29:D29"/>
    <mergeCell ref="A30:D30"/>
    <mergeCell ref="I26:L26"/>
    <mergeCell ref="I27:L27"/>
    <mergeCell ref="I29:L29"/>
    <mergeCell ref="I30:L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E3D24-D388-854B-9C03-4FDD1F3F6A8E}">
  <dimension ref="A1:L30"/>
  <sheetViews>
    <sheetView workbookViewId="0">
      <selection activeCell="D3" sqref="D3"/>
    </sheetView>
  </sheetViews>
  <sheetFormatPr defaultColWidth="8.85546875" defaultRowHeight="15"/>
  <cols>
    <col min="1" max="1" width="80" customWidth="1"/>
    <col min="2" max="2" width="16" customWidth="1"/>
    <col min="3" max="4" width="14" customWidth="1"/>
    <col min="6" max="8" width="10" bestFit="1" customWidth="1"/>
    <col min="10" max="10" width="11.28515625" bestFit="1" customWidth="1"/>
    <col min="11" max="11" width="11.28515625" customWidth="1"/>
  </cols>
  <sheetData>
    <row r="1" spans="1:11">
      <c r="A1" s="112" t="s">
        <v>27</v>
      </c>
      <c r="B1" s="114" t="s">
        <v>26</v>
      </c>
      <c r="C1" s="113"/>
      <c r="D1" s="113"/>
      <c r="F1" s="115" t="s">
        <v>25</v>
      </c>
      <c r="G1" s="115"/>
      <c r="H1" s="115"/>
      <c r="J1" s="115" t="s">
        <v>24</v>
      </c>
      <c r="K1" s="115"/>
    </row>
    <row r="2" spans="1:11" ht="30">
      <c r="A2" s="113"/>
      <c r="B2" s="10" t="s">
        <v>22</v>
      </c>
      <c r="C2" s="10" t="s">
        <v>21</v>
      </c>
      <c r="D2" s="10" t="s">
        <v>23</v>
      </c>
      <c r="F2" s="10" t="s">
        <v>22</v>
      </c>
      <c r="G2" s="10" t="s">
        <v>21</v>
      </c>
      <c r="H2" s="10" t="s">
        <v>23</v>
      </c>
      <c r="J2" s="10" t="s">
        <v>22</v>
      </c>
      <c r="K2" s="10" t="s">
        <v>21</v>
      </c>
    </row>
    <row r="3" spans="1:11">
      <c r="A3" s="4" t="s">
        <v>0</v>
      </c>
      <c r="B3" s="3">
        <v>109120</v>
      </c>
      <c r="C3" s="3">
        <v>106005</v>
      </c>
      <c r="D3" s="3">
        <v>93561</v>
      </c>
      <c r="F3" s="9">
        <f>B3/$B$3</f>
        <v>1</v>
      </c>
      <c r="G3" s="9">
        <f t="shared" ref="G3:G12" si="0">C3/106005</f>
        <v>1</v>
      </c>
      <c r="H3" s="9">
        <f t="shared" ref="H3:H12" si="1">D3/93561</f>
        <v>1</v>
      </c>
      <c r="I3" s="5"/>
      <c r="J3" s="9">
        <f>B3/C3-1</f>
        <v>2.9385406348757082E-2</v>
      </c>
      <c r="K3" s="9">
        <f>C3/D3-1</f>
        <v>0.13300413633885921</v>
      </c>
    </row>
    <row r="4" spans="1:11">
      <c r="A4" s="4" t="s">
        <v>20</v>
      </c>
      <c r="B4" s="6">
        <v>82229</v>
      </c>
      <c r="C4" s="6">
        <v>74963</v>
      </c>
      <c r="D4" s="6">
        <v>66177</v>
      </c>
      <c r="F4" s="9">
        <f t="shared" ref="F4:F11" si="2">B4/$B$3</f>
        <v>0.75356488269794719</v>
      </c>
      <c r="G4" s="5">
        <f t="shared" si="0"/>
        <v>0.70716475637941612</v>
      </c>
      <c r="H4" s="5">
        <f t="shared" si="1"/>
        <v>0.70731394491294453</v>
      </c>
      <c r="I4" s="5"/>
      <c r="J4" s="5">
        <f>B4/C4-1</f>
        <v>9.6927817723410303E-2</v>
      </c>
      <c r="K4" s="9">
        <f t="shared" ref="K4:K14" si="3">C4/D4-1</f>
        <v>0.13276516010094142</v>
      </c>
    </row>
    <row r="5" spans="1:11">
      <c r="A5" s="4" t="s">
        <v>19</v>
      </c>
      <c r="B5" s="6">
        <v>20658</v>
      </c>
      <c r="C5" s="6">
        <v>19752</v>
      </c>
      <c r="D5" s="6">
        <v>18615</v>
      </c>
      <c r="F5" s="9">
        <f t="shared" si="2"/>
        <v>0.18931451612903225</v>
      </c>
      <c r="G5" s="5">
        <f t="shared" si="0"/>
        <v>0.18633083345125229</v>
      </c>
      <c r="H5" s="5">
        <f t="shared" si="1"/>
        <v>0.19896110558886715</v>
      </c>
      <c r="I5" s="5"/>
      <c r="J5" s="5">
        <f t="shared" ref="J5:J14" si="4">B5/C5-1</f>
        <v>4.586877278250312E-2</v>
      </c>
      <c r="K5" s="9">
        <f t="shared" si="3"/>
        <v>6.1079774375503604E-2</v>
      </c>
    </row>
    <row r="6" spans="1:11">
      <c r="A6" s="4" t="s">
        <v>18</v>
      </c>
      <c r="B6" s="6">
        <v>2385</v>
      </c>
      <c r="C6" s="6">
        <v>2344</v>
      </c>
      <c r="D6" s="6">
        <v>2230</v>
      </c>
      <c r="F6" s="9">
        <f t="shared" si="2"/>
        <v>2.1856671554252201E-2</v>
      </c>
      <c r="G6" s="5">
        <f t="shared" si="0"/>
        <v>2.2112164520541485E-2</v>
      </c>
      <c r="H6" s="5">
        <f t="shared" si="1"/>
        <v>2.38347174570601E-2</v>
      </c>
      <c r="I6" s="5"/>
      <c r="J6" s="5">
        <f t="shared" si="4"/>
        <v>1.7491467576791875E-2</v>
      </c>
      <c r="K6" s="9">
        <f t="shared" si="3"/>
        <v>5.112107623318396E-2</v>
      </c>
    </row>
    <row r="7" spans="1:11">
      <c r="A7" s="4" t="s">
        <v>17</v>
      </c>
      <c r="B7" s="6">
        <v>3848</v>
      </c>
      <c r="C7" s="6">
        <v>8946</v>
      </c>
      <c r="D7" s="6">
        <v>6539</v>
      </c>
      <c r="F7" s="9">
        <f t="shared" si="2"/>
        <v>3.5263929618768328E-2</v>
      </c>
      <c r="G7" s="5">
        <f t="shared" si="0"/>
        <v>8.4392245648790151E-2</v>
      </c>
      <c r="H7" s="5">
        <f t="shared" si="1"/>
        <v>6.989023204112825E-2</v>
      </c>
      <c r="I7" s="5"/>
      <c r="J7" s="5">
        <f t="shared" si="4"/>
        <v>-0.56986362620165432</v>
      </c>
      <c r="K7" s="9">
        <f t="shared" si="3"/>
        <v>0.36809909772136407</v>
      </c>
    </row>
    <row r="8" spans="1:11">
      <c r="A8" s="4" t="s">
        <v>16</v>
      </c>
      <c r="B8" s="6">
        <v>478</v>
      </c>
      <c r="C8" s="6">
        <v>421</v>
      </c>
      <c r="D8" s="6">
        <v>977</v>
      </c>
      <c r="F8" s="9">
        <f t="shared" si="2"/>
        <v>4.3804985337243399E-3</v>
      </c>
      <c r="G8" s="5">
        <f t="shared" si="0"/>
        <v>3.9715107777934999E-3</v>
      </c>
      <c r="H8" s="5">
        <f t="shared" si="1"/>
        <v>1.0442385181859963E-2</v>
      </c>
      <c r="I8" s="5"/>
      <c r="J8" s="5">
        <f t="shared" si="4"/>
        <v>0.13539192399049882</v>
      </c>
      <c r="K8" s="9">
        <f t="shared" si="3"/>
        <v>-0.56908904810644834</v>
      </c>
    </row>
    <row r="9" spans="1:11">
      <c r="A9" s="4" t="s">
        <v>15</v>
      </c>
      <c r="B9" s="6">
        <v>-48</v>
      </c>
      <c r="C9" s="6">
        <v>-382</v>
      </c>
      <c r="D9" s="6">
        <v>16</v>
      </c>
      <c r="F9" s="9">
        <f t="shared" si="2"/>
        <v>-4.3988269794721408E-4</v>
      </c>
      <c r="G9" s="5">
        <f t="shared" si="0"/>
        <v>-3.6036036036036037E-3</v>
      </c>
      <c r="H9" s="5">
        <f t="shared" si="1"/>
        <v>1.7101142570087965E-4</v>
      </c>
      <c r="I9" s="5"/>
      <c r="J9" s="5">
        <f t="shared" si="4"/>
        <v>-0.87434554973821987</v>
      </c>
      <c r="K9" s="9">
        <f t="shared" si="3"/>
        <v>-24.875</v>
      </c>
    </row>
    <row r="10" spans="1:11">
      <c r="A10" s="4" t="s">
        <v>14</v>
      </c>
      <c r="B10" s="6">
        <v>3418</v>
      </c>
      <c r="C10" s="6">
        <v>8907</v>
      </c>
      <c r="D10" s="6">
        <v>5546</v>
      </c>
      <c r="F10" s="9">
        <f t="shared" si="2"/>
        <v>3.1323313782991205E-2</v>
      </c>
      <c r="G10" s="5">
        <f t="shared" si="0"/>
        <v>8.4024338474600252E-2</v>
      </c>
      <c r="H10" s="5">
        <f t="shared" si="1"/>
        <v>5.9276835433567404E-2</v>
      </c>
      <c r="I10" s="5"/>
      <c r="J10" s="5">
        <f t="shared" si="4"/>
        <v>-0.61625687661389916</v>
      </c>
      <c r="K10" s="9">
        <f t="shared" si="3"/>
        <v>0.60602235845654517</v>
      </c>
    </row>
    <row r="11" spans="1:11">
      <c r="A11" s="4" t="s">
        <v>13</v>
      </c>
      <c r="B11" s="6">
        <v>638</v>
      </c>
      <c r="C11" s="6">
        <v>1961</v>
      </c>
      <c r="D11" s="6">
        <v>1178</v>
      </c>
      <c r="F11" s="9">
        <f t="shared" si="2"/>
        <v>5.8467741935483873E-3</v>
      </c>
      <c r="G11" s="5">
        <f t="shared" si="0"/>
        <v>1.8499127399650959E-2</v>
      </c>
      <c r="H11" s="5">
        <f t="shared" si="1"/>
        <v>1.2590716217227264E-2</v>
      </c>
      <c r="I11" s="5"/>
      <c r="J11" s="5">
        <f t="shared" si="4"/>
        <v>-0.67465578786333502</v>
      </c>
      <c r="K11" s="9">
        <f t="shared" si="3"/>
        <v>0.66468590831918517</v>
      </c>
    </row>
    <row r="12" spans="1:11">
      <c r="A12" s="4" t="s">
        <v>12</v>
      </c>
      <c r="B12" s="3">
        <v>2780</v>
      </c>
      <c r="C12" s="3">
        <v>6946</v>
      </c>
      <c r="D12" s="3">
        <v>4368</v>
      </c>
      <c r="F12" s="9">
        <f>B12/$B$3</f>
        <v>2.5476539589442817E-2</v>
      </c>
      <c r="G12" s="5">
        <f t="shared" si="0"/>
        <v>6.5525211074949297E-2</v>
      </c>
      <c r="H12" s="5">
        <f t="shared" si="1"/>
        <v>4.6686119216340138E-2</v>
      </c>
      <c r="I12" s="5"/>
      <c r="J12" s="5">
        <f t="shared" si="4"/>
        <v>-0.59976965159804196</v>
      </c>
      <c r="K12" s="9">
        <f t="shared" si="3"/>
        <v>0.5902014652014651</v>
      </c>
    </row>
    <row r="13" spans="1:11">
      <c r="A13" s="4" t="s">
        <v>11</v>
      </c>
      <c r="B13" s="8">
        <v>6.02</v>
      </c>
      <c r="C13" s="8">
        <v>14.23</v>
      </c>
      <c r="D13" s="8">
        <v>8.7200000000000006</v>
      </c>
      <c r="F13" s="5"/>
      <c r="G13" s="5"/>
      <c r="H13" s="5"/>
      <c r="I13" s="5"/>
      <c r="J13" s="5">
        <f t="shared" si="4"/>
        <v>-0.57695010541110336</v>
      </c>
      <c r="K13" s="9">
        <f t="shared" si="3"/>
        <v>0.63188073394495414</v>
      </c>
    </row>
    <row r="14" spans="1:11">
      <c r="A14" s="4" t="s">
        <v>10</v>
      </c>
      <c r="B14" s="8">
        <v>5.98</v>
      </c>
      <c r="C14" s="8">
        <v>14.1</v>
      </c>
      <c r="D14" s="8">
        <v>8.64</v>
      </c>
      <c r="F14" s="5"/>
      <c r="G14" s="5"/>
      <c r="H14" s="5"/>
      <c r="I14" s="5"/>
      <c r="J14" s="5">
        <f t="shared" si="4"/>
        <v>-0.57588652482269498</v>
      </c>
      <c r="K14" s="9">
        <f t="shared" si="3"/>
        <v>0.6319444444444442</v>
      </c>
    </row>
    <row r="15" spans="1:11">
      <c r="A15" s="7" t="s">
        <v>9</v>
      </c>
      <c r="B15" s="4" t="s">
        <v>1</v>
      </c>
      <c r="C15" s="4" t="s">
        <v>1</v>
      </c>
      <c r="D15" s="4" t="s">
        <v>1</v>
      </c>
      <c r="F15" s="5"/>
      <c r="G15" s="5"/>
      <c r="H15" s="5"/>
      <c r="I15" s="5"/>
      <c r="J15" s="5"/>
      <c r="K15" s="5"/>
    </row>
    <row r="16" spans="1:11">
      <c r="A16" s="4" t="s">
        <v>8</v>
      </c>
      <c r="B16" s="6">
        <v>462100000</v>
      </c>
      <c r="C16" s="6">
        <v>488100000</v>
      </c>
      <c r="D16" s="6">
        <v>500600000</v>
      </c>
      <c r="F16" s="5"/>
      <c r="G16" s="5"/>
      <c r="H16" s="5"/>
      <c r="I16" s="5"/>
      <c r="J16" s="5">
        <f>-26000000/C16</f>
        <v>-5.3267772997336614E-2</v>
      </c>
      <c r="K16" s="5"/>
    </row>
    <row r="17" spans="1:12">
      <c r="A17" s="4" t="s">
        <v>7</v>
      </c>
      <c r="B17" s="6">
        <v>464700000</v>
      </c>
      <c r="C17" s="6">
        <v>492700000</v>
      </c>
      <c r="D17" s="6">
        <v>505400000</v>
      </c>
      <c r="F17" s="115" t="s">
        <v>6</v>
      </c>
      <c r="G17" s="115"/>
      <c r="H17" s="115"/>
    </row>
    <row r="18" spans="1:12">
      <c r="A18" s="4" t="s">
        <v>5</v>
      </c>
      <c r="B18" s="6">
        <v>1100000</v>
      </c>
      <c r="C18" s="6">
        <v>0</v>
      </c>
      <c r="D18" s="6">
        <v>0</v>
      </c>
      <c r="F18" s="2">
        <f>B3-B4</f>
        <v>26891</v>
      </c>
      <c r="G18" s="2">
        <f>C3-C4</f>
        <v>31042</v>
      </c>
      <c r="H18" s="2">
        <f>D3-D4</f>
        <v>27384</v>
      </c>
    </row>
    <row r="19" spans="1:12">
      <c r="A19" s="4" t="s">
        <v>4</v>
      </c>
      <c r="B19" s="4" t="s">
        <v>1</v>
      </c>
      <c r="C19" s="4" t="s">
        <v>1</v>
      </c>
      <c r="D19" s="4" t="s">
        <v>1</v>
      </c>
      <c r="F19" s="5">
        <f>F18/B3</f>
        <v>0.24643511730205278</v>
      </c>
      <c r="G19" s="5">
        <f>G18/C3</f>
        <v>0.29283524362058394</v>
      </c>
      <c r="H19" s="5">
        <f>H18/D3</f>
        <v>0.29268605508705553</v>
      </c>
      <c r="J19" s="5"/>
      <c r="K19" s="5"/>
    </row>
    <row r="20" spans="1:12">
      <c r="A20" s="4" t="s">
        <v>0</v>
      </c>
      <c r="B20" s="3">
        <v>107588</v>
      </c>
      <c r="C20" s="3">
        <v>104611</v>
      </c>
      <c r="D20" s="3">
        <v>92400</v>
      </c>
      <c r="F20" s="115" t="s">
        <v>3</v>
      </c>
      <c r="G20" s="115"/>
      <c r="J20" s="1"/>
      <c r="K20" s="2"/>
    </row>
    <row r="21" spans="1:12">
      <c r="A21" s="4" t="s">
        <v>2</v>
      </c>
      <c r="B21" s="4" t="s">
        <v>1</v>
      </c>
      <c r="C21" s="4" t="s">
        <v>1</v>
      </c>
      <c r="D21" s="4" t="s">
        <v>1</v>
      </c>
      <c r="F21" s="5">
        <f>F18/G18-1</f>
        <v>-0.1337220539913665</v>
      </c>
      <c r="G21" s="5">
        <f>G18/H18-1</f>
        <v>0.13358165352030382</v>
      </c>
    </row>
    <row r="22" spans="1:12">
      <c r="A22" s="4" t="s">
        <v>0</v>
      </c>
      <c r="B22" s="3">
        <v>1532</v>
      </c>
      <c r="C22" s="3">
        <v>1394</v>
      </c>
      <c r="D22" s="3">
        <v>1161</v>
      </c>
      <c r="F22" s="2"/>
      <c r="G22" s="2"/>
    </row>
    <row r="23" spans="1:12">
      <c r="F23" s="2"/>
    </row>
    <row r="24" spans="1:12">
      <c r="B24" s="2">
        <f>B3-SUM(B4:B6)</f>
        <v>3848</v>
      </c>
      <c r="C24" s="2">
        <f>C3-SUM(C4:C6)</f>
        <v>8946</v>
      </c>
      <c r="D24" s="2">
        <f t="shared" ref="D24" si="5">D3-SUM(D4:D6)</f>
        <v>6539</v>
      </c>
      <c r="E24" s="2"/>
      <c r="F24" s="2"/>
      <c r="G24" s="2"/>
      <c r="J24" s="2"/>
    </row>
    <row r="28" spans="1:12">
      <c r="L28" s="1"/>
    </row>
    <row r="30" spans="1:12">
      <c r="H30">
        <f>B3/'Balance Sheet'!B19</f>
        <v>2.0459360644979845</v>
      </c>
    </row>
  </sheetData>
  <mergeCells count="6">
    <mergeCell ref="F20:G20"/>
    <mergeCell ref="A1:A2"/>
    <mergeCell ref="B1:D1"/>
    <mergeCell ref="F1:H1"/>
    <mergeCell ref="J1:K1"/>
    <mergeCell ref="F17:H1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F9B02-78D0-4154-BA5B-18373A692875}">
  <dimension ref="A1:O20"/>
  <sheetViews>
    <sheetView workbookViewId="0">
      <selection activeCell="O12" sqref="O12"/>
    </sheetView>
  </sheetViews>
  <sheetFormatPr defaultColWidth="8.85546875" defaultRowHeight="15"/>
  <cols>
    <col min="2" max="2" width="10.42578125" bestFit="1" customWidth="1"/>
    <col min="3" max="3" width="20.7109375" bestFit="1" customWidth="1"/>
    <col min="4" max="4" width="10.42578125" bestFit="1" customWidth="1"/>
    <col min="5" max="6" width="10.42578125" customWidth="1"/>
    <col min="7" max="7" width="9.28515625" customWidth="1"/>
    <col min="9" max="9" width="10.42578125" bestFit="1" customWidth="1"/>
    <col min="10" max="10" width="12.42578125" bestFit="1" customWidth="1"/>
    <col min="11" max="11" width="11.140625" bestFit="1" customWidth="1"/>
    <col min="12" max="12" width="10.7109375" bestFit="1" customWidth="1"/>
    <col min="15" max="15" width="8.85546875" customWidth="1"/>
  </cols>
  <sheetData>
    <row r="1" spans="1:15">
      <c r="B1" s="121" t="s">
        <v>70</v>
      </c>
      <c r="C1" s="121"/>
      <c r="D1" s="121"/>
      <c r="E1" s="37"/>
      <c r="F1" s="37" t="s">
        <v>129</v>
      </c>
      <c r="G1" s="37" t="s">
        <v>130</v>
      </c>
      <c r="J1" s="121" t="s">
        <v>111</v>
      </c>
      <c r="K1" s="121"/>
      <c r="L1" s="121"/>
      <c r="M1" s="19"/>
      <c r="N1" t="s">
        <v>129</v>
      </c>
      <c r="O1" t="s">
        <v>130</v>
      </c>
    </row>
    <row r="2" spans="1:15">
      <c r="A2" t="s">
        <v>107</v>
      </c>
      <c r="B2" s="21">
        <f>'Income Statement'!B12</f>
        <v>2780</v>
      </c>
      <c r="C2" s="21">
        <f>'Income Statement'!C12</f>
        <v>6946</v>
      </c>
      <c r="D2" s="21">
        <f>'Income Statement'!D12</f>
        <v>4368</v>
      </c>
      <c r="E2" s="21"/>
      <c r="F2" s="5"/>
      <c r="G2" s="5"/>
      <c r="I2" t="s">
        <v>72</v>
      </c>
      <c r="J2" s="22">
        <f>B2</f>
        <v>2780</v>
      </c>
      <c r="K2" s="22">
        <f t="shared" ref="K2" si="0">C2</f>
        <v>6946</v>
      </c>
      <c r="L2" s="22">
        <f>D2</f>
        <v>4368</v>
      </c>
    </row>
    <row r="3" spans="1:15">
      <c r="A3" t="s">
        <v>108</v>
      </c>
      <c r="B3">
        <f>('Balance Sheet'!B36+'Balance Sheet'!C36)/2</f>
        <v>12029.5</v>
      </c>
      <c r="C3">
        <f>('Balance Sheet'!C36+'Balance Sheet'!D36)/2</f>
        <v>13633.5</v>
      </c>
      <c r="I3" t="s">
        <v>112</v>
      </c>
      <c r="J3" s="22">
        <f>'Income Statement'!B3</f>
        <v>109120</v>
      </c>
      <c r="K3" s="22">
        <f>'Income Statement'!C3</f>
        <v>106005</v>
      </c>
      <c r="L3" s="22">
        <f>'Income Statement'!D3</f>
        <v>93561</v>
      </c>
    </row>
    <row r="4" spans="1:15">
      <c r="B4" s="16">
        <f>B2/B3</f>
        <v>0.23109854939939317</v>
      </c>
      <c r="C4" s="16">
        <f>C2/C3</f>
        <v>0.50948032420141565</v>
      </c>
      <c r="F4" s="5">
        <f>B4-C4</f>
        <v>-0.27838177480202247</v>
      </c>
      <c r="G4" s="5">
        <f>B4/C4-1</f>
        <v>-0.54640338709521641</v>
      </c>
      <c r="J4" s="13">
        <f>J2/J3</f>
        <v>2.5476539589442817E-2</v>
      </c>
      <c r="K4" s="13">
        <f>K2/K3</f>
        <v>6.5525211074949297E-2</v>
      </c>
      <c r="N4" s="13">
        <f>J4-K4</f>
        <v>-4.0048671485506476E-2</v>
      </c>
      <c r="O4" s="16">
        <f>J4/K4-1</f>
        <v>-0.61119484895207521</v>
      </c>
    </row>
    <row r="5" spans="1:15">
      <c r="B5" s="121" t="s">
        <v>109</v>
      </c>
      <c r="C5" s="121"/>
      <c r="D5" s="121"/>
      <c r="E5" s="37"/>
      <c r="F5" s="37"/>
      <c r="G5" s="39"/>
      <c r="J5" s="121" t="s">
        <v>113</v>
      </c>
      <c r="K5" s="121"/>
      <c r="L5" s="121"/>
      <c r="O5" s="5"/>
    </row>
    <row r="6" spans="1:15">
      <c r="A6" t="s">
        <v>107</v>
      </c>
      <c r="B6" s="21">
        <f>B2</f>
        <v>2780</v>
      </c>
      <c r="C6" s="21">
        <f t="shared" ref="C6:D6" si="1">C2</f>
        <v>6946</v>
      </c>
      <c r="D6" s="21">
        <f t="shared" si="1"/>
        <v>4368</v>
      </c>
      <c r="E6" s="21"/>
      <c r="F6" s="21"/>
      <c r="G6" s="5"/>
      <c r="I6" t="s">
        <v>112</v>
      </c>
      <c r="J6" s="22">
        <f>J3</f>
        <v>109120</v>
      </c>
      <c r="K6" s="22">
        <f t="shared" ref="K6:L6" si="2">K3</f>
        <v>106005</v>
      </c>
      <c r="L6" s="22">
        <f t="shared" si="2"/>
        <v>93561</v>
      </c>
      <c r="O6" s="5"/>
    </row>
    <row r="7" spans="1:15">
      <c r="A7" t="s">
        <v>110</v>
      </c>
      <c r="B7">
        <f>J7</f>
        <v>53573</v>
      </c>
      <c r="C7">
        <f>K7</f>
        <v>52529.5</v>
      </c>
      <c r="G7" s="5"/>
      <c r="I7" t="s">
        <v>114</v>
      </c>
      <c r="J7">
        <f>('Balance Sheet'!B19+'Balance Sheet'!C19)/2</f>
        <v>53573</v>
      </c>
      <c r="K7">
        <f>('Balance Sheet'!C19+'Balance Sheet'!D19)/2</f>
        <v>52529.5</v>
      </c>
      <c r="O7" s="5"/>
    </row>
    <row r="8" spans="1:15">
      <c r="B8" s="13">
        <f>B6/B7</f>
        <v>5.1891811173538908E-2</v>
      </c>
      <c r="C8" s="13">
        <f>C6/C7</f>
        <v>0.1322304609790689</v>
      </c>
      <c r="F8" s="5">
        <f>B8-C8</f>
        <v>-8.0338649805529988E-2</v>
      </c>
      <c r="G8" s="5">
        <f>B8/C8-1</f>
        <v>-0.60756537646985143</v>
      </c>
      <c r="J8" s="24">
        <f>J6/J7</f>
        <v>2.0368469191570382</v>
      </c>
      <c r="K8" s="24">
        <f>K6/K7</f>
        <v>2.0180089283164699</v>
      </c>
      <c r="N8" s="24">
        <f>J8-K8</f>
        <v>1.8837990840568253E-2</v>
      </c>
      <c r="O8" s="16">
        <f>J8/K8-1</f>
        <v>9.334939293992095E-3</v>
      </c>
    </row>
    <row r="9" spans="1:15">
      <c r="A9" t="s">
        <v>115</v>
      </c>
      <c r="B9" s="5">
        <f>J4*J8</f>
        <v>5.1891811173538915E-2</v>
      </c>
      <c r="C9" s="5">
        <f>K4*K8</f>
        <v>0.13223046097906893</v>
      </c>
      <c r="J9" s="121" t="s">
        <v>71</v>
      </c>
      <c r="K9" s="121"/>
      <c r="L9" s="121"/>
      <c r="N9" s="23"/>
      <c r="O9" s="5"/>
    </row>
    <row r="10" spans="1:15">
      <c r="B10" s="5">
        <f>B8*J12</f>
        <v>0.23109854939939317</v>
      </c>
      <c r="C10" s="5">
        <f>C8*K12</f>
        <v>0.50948032420141565</v>
      </c>
      <c r="I10" t="s">
        <v>114</v>
      </c>
      <c r="J10">
        <f>J7</f>
        <v>53573</v>
      </c>
      <c r="K10">
        <f>K7</f>
        <v>52529.5</v>
      </c>
      <c r="N10" s="23"/>
      <c r="O10" s="5"/>
    </row>
    <row r="11" spans="1:15">
      <c r="I11" t="s">
        <v>108</v>
      </c>
      <c r="J11">
        <f>B3</f>
        <v>12029.5</v>
      </c>
      <c r="K11">
        <f>C3</f>
        <v>13633.5</v>
      </c>
      <c r="N11" s="23"/>
      <c r="O11" s="5"/>
    </row>
    <row r="12" spans="1:15">
      <c r="B12" s="13"/>
      <c r="C12" s="13"/>
      <c r="I12" s="20"/>
      <c r="J12" s="25">
        <f>J10/J11</f>
        <v>4.4534685564653564</v>
      </c>
      <c r="K12" s="25">
        <f>K10/K11</f>
        <v>3.8529724575494186</v>
      </c>
      <c r="N12" s="24">
        <f>J12-K12</f>
        <v>0.6004960989159378</v>
      </c>
      <c r="O12" s="16">
        <f>J12/K12-1</f>
        <v>0.15585268400747077</v>
      </c>
    </row>
    <row r="17" spans="1:3">
      <c r="A17" s="17"/>
      <c r="B17" s="17"/>
      <c r="C17" s="17"/>
    </row>
    <row r="18" spans="1:3">
      <c r="A18" s="9"/>
      <c r="B18" s="9"/>
      <c r="C18" s="9"/>
    </row>
    <row r="20" spans="1:3">
      <c r="A20" s="5"/>
      <c r="B20" s="5"/>
    </row>
  </sheetData>
  <mergeCells count="5">
    <mergeCell ref="B1:D1"/>
    <mergeCell ref="B5:D5"/>
    <mergeCell ref="J1:L1"/>
    <mergeCell ref="J5:L5"/>
    <mergeCell ref="J9:L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94E67-FBEF-49EE-BCC3-0082403A6D41}">
  <dimension ref="A1:S18"/>
  <sheetViews>
    <sheetView workbookViewId="0">
      <selection activeCell="G10" sqref="G10"/>
    </sheetView>
  </sheetViews>
  <sheetFormatPr defaultColWidth="8.85546875" defaultRowHeight="15"/>
  <sheetData>
    <row r="1" spans="1:18">
      <c r="A1" s="122" t="s">
        <v>131</v>
      </c>
      <c r="B1" s="122"/>
      <c r="C1" s="122"/>
      <c r="D1" s="122"/>
      <c r="E1" s="122"/>
      <c r="F1" s="122"/>
      <c r="G1" s="122"/>
      <c r="H1" s="122"/>
      <c r="I1" s="122"/>
      <c r="K1" s="122" t="s">
        <v>132</v>
      </c>
      <c r="L1" s="122"/>
      <c r="M1" s="122"/>
      <c r="N1" s="122"/>
      <c r="O1" s="122"/>
      <c r="P1" s="122"/>
      <c r="Q1" s="122"/>
      <c r="R1" s="122"/>
    </row>
    <row r="2" spans="1:18">
      <c r="A2" s="119"/>
      <c r="B2" s="119"/>
      <c r="C2" s="119"/>
      <c r="D2" s="119"/>
      <c r="E2" s="119"/>
      <c r="F2" s="119"/>
      <c r="G2" s="34">
        <v>2022</v>
      </c>
      <c r="H2" s="34">
        <v>2021</v>
      </c>
      <c r="I2" s="34">
        <v>2020</v>
      </c>
      <c r="P2" s="34">
        <v>2022</v>
      </c>
      <c r="Q2" s="34">
        <v>2021</v>
      </c>
      <c r="R2" s="34">
        <v>2020</v>
      </c>
    </row>
    <row r="3" spans="1:18">
      <c r="A3" s="115" t="s">
        <v>0</v>
      </c>
      <c r="B3" s="115"/>
      <c r="C3" s="115"/>
      <c r="D3" s="115"/>
      <c r="E3" s="115"/>
      <c r="F3" s="115"/>
      <c r="G3">
        <f>'Income Statement'!B3</f>
        <v>109120</v>
      </c>
      <c r="H3">
        <f>'Income Statement'!C3</f>
        <v>106005</v>
      </c>
      <c r="I3">
        <f>'Income Statement'!D3</f>
        <v>93561</v>
      </c>
      <c r="K3" s="115" t="s">
        <v>134</v>
      </c>
      <c r="L3" s="115"/>
      <c r="M3" s="115"/>
      <c r="N3" s="115"/>
      <c r="O3" s="115"/>
      <c r="P3" s="17">
        <f>'Income Statement'!B8</f>
        <v>478</v>
      </c>
      <c r="Q3" s="17">
        <f>'Income Statement'!C8</f>
        <v>421</v>
      </c>
      <c r="R3" s="17">
        <f>'Income Statement'!D8</f>
        <v>977</v>
      </c>
    </row>
    <row r="4" spans="1:18">
      <c r="A4" s="115" t="s">
        <v>20</v>
      </c>
      <c r="B4" s="115"/>
      <c r="C4" s="115"/>
      <c r="D4" s="115"/>
      <c r="E4" s="115"/>
      <c r="F4" s="115"/>
      <c r="G4">
        <f>'Income Statement'!B4</f>
        <v>82229</v>
      </c>
      <c r="H4">
        <f>'Income Statement'!C4</f>
        <v>74963</v>
      </c>
      <c r="I4">
        <f>'Income Statement'!D4</f>
        <v>66177</v>
      </c>
      <c r="P4" s="17"/>
      <c r="Q4" s="17"/>
      <c r="R4" s="17"/>
    </row>
    <row r="5" spans="1:18">
      <c r="A5" s="115" t="s">
        <v>19</v>
      </c>
      <c r="B5" s="115"/>
      <c r="C5" s="115"/>
      <c r="D5" s="115"/>
      <c r="E5" s="115"/>
      <c r="F5" s="115"/>
      <c r="G5">
        <f>'Income Statement'!B5</f>
        <v>20658</v>
      </c>
      <c r="H5">
        <f>'Income Statement'!C5</f>
        <v>19752</v>
      </c>
      <c r="I5">
        <f>'Income Statement'!D5</f>
        <v>18615</v>
      </c>
    </row>
    <row r="6" spans="1:18">
      <c r="A6" s="115" t="s">
        <v>133</v>
      </c>
      <c r="B6" s="115"/>
      <c r="C6" s="115"/>
      <c r="D6" s="115"/>
      <c r="E6" s="115"/>
      <c r="F6" s="115"/>
      <c r="G6">
        <f>'Income Statement'!B6</f>
        <v>2385</v>
      </c>
      <c r="H6">
        <f>'Income Statement'!C6</f>
        <v>2344</v>
      </c>
      <c r="I6">
        <f>'Income Statement'!D6</f>
        <v>2230</v>
      </c>
    </row>
    <row r="7" spans="1:18">
      <c r="A7" s="115" t="s">
        <v>15</v>
      </c>
      <c r="B7" s="115"/>
      <c r="C7" s="115"/>
      <c r="D7" s="115"/>
      <c r="E7" s="115"/>
      <c r="F7" s="115"/>
      <c r="G7" s="17">
        <f>'Income Statement'!B9</f>
        <v>-48</v>
      </c>
      <c r="H7" s="17">
        <f>'Income Statement'!C9</f>
        <v>-382</v>
      </c>
      <c r="I7" s="17">
        <f>'Income Statement'!D9</f>
        <v>16</v>
      </c>
    </row>
    <row r="8" spans="1:18">
      <c r="A8" s="117" t="s">
        <v>139</v>
      </c>
      <c r="B8" s="117"/>
      <c r="C8" s="117"/>
      <c r="D8" s="117"/>
      <c r="E8" s="117"/>
      <c r="F8" s="117"/>
      <c r="G8" s="32">
        <f>G3-G4-G5-G6-G7</f>
        <v>3896</v>
      </c>
      <c r="H8" s="32">
        <f>H3-H4-H5-H6-H7</f>
        <v>9328</v>
      </c>
      <c r="I8" s="32">
        <f>I3-I4-I5-I6-I7</f>
        <v>6523</v>
      </c>
      <c r="K8" s="117" t="s">
        <v>135</v>
      </c>
      <c r="L8" s="117"/>
      <c r="M8" s="117"/>
      <c r="N8" s="117"/>
      <c r="O8" s="117"/>
      <c r="P8" s="30">
        <f>P3+P4</f>
        <v>478</v>
      </c>
      <c r="Q8" s="30">
        <f t="shared" ref="Q8:R8" si="0">Q3+Q4</f>
        <v>421</v>
      </c>
      <c r="R8" s="30">
        <f t="shared" si="0"/>
        <v>977</v>
      </c>
    </row>
    <row r="9" spans="1:18">
      <c r="A9" s="119" t="s">
        <v>13</v>
      </c>
      <c r="B9" s="119"/>
      <c r="C9" s="119"/>
      <c r="D9" s="119"/>
      <c r="E9" s="119"/>
      <c r="F9" s="119"/>
      <c r="G9" s="17">
        <f>'Income Statement'!B11+P10</f>
        <v>752.72</v>
      </c>
      <c r="H9" s="17">
        <f>'Income Statement'!C11+Q10</f>
        <v>2065.8290000000002</v>
      </c>
      <c r="I9" s="17">
        <f>'Income Statement'!D11+R10</f>
        <v>1415.4110000000001</v>
      </c>
    </row>
    <row r="10" spans="1:18">
      <c r="A10" s="117" t="s">
        <v>140</v>
      </c>
      <c r="B10" s="117"/>
      <c r="C10" s="117"/>
      <c r="D10" s="117"/>
      <c r="E10" s="117"/>
      <c r="F10" s="117"/>
      <c r="G10" s="32">
        <f>G8-G9</f>
        <v>3143.2799999999997</v>
      </c>
      <c r="H10" s="32">
        <f t="shared" ref="H10:I10" si="1">H8-H9</f>
        <v>7262.1710000000003</v>
      </c>
      <c r="I10" s="32">
        <f t="shared" si="1"/>
        <v>5107.5889999999999</v>
      </c>
      <c r="K10" s="115" t="s">
        <v>136</v>
      </c>
      <c r="L10" s="115"/>
      <c r="M10" s="115"/>
      <c r="N10" s="115"/>
      <c r="O10" s="115"/>
      <c r="P10" s="21">
        <f>P8*P11</f>
        <v>114.72</v>
      </c>
      <c r="Q10" s="21">
        <f t="shared" ref="Q10:R10" si="2">Q8*Q11</f>
        <v>104.82899999999999</v>
      </c>
      <c r="R10" s="21">
        <f t="shared" si="2"/>
        <v>237.411</v>
      </c>
    </row>
    <row r="11" spans="1:18">
      <c r="K11" s="115" t="s">
        <v>137</v>
      </c>
      <c r="L11" s="115"/>
      <c r="M11" s="115"/>
      <c r="N11" s="115"/>
      <c r="O11" s="115"/>
      <c r="P11" s="35">
        <v>0.24</v>
      </c>
      <c r="Q11" s="5">
        <v>0.249</v>
      </c>
      <c r="R11" s="5">
        <v>0.24299999999999999</v>
      </c>
    </row>
    <row r="12" spans="1:18">
      <c r="A12" t="s">
        <v>141</v>
      </c>
      <c r="B12">
        <f>G10-P13-'Income Statement'!B12</f>
        <v>0</v>
      </c>
      <c r="C12">
        <f>H10-Q13-'Income Statement'!C12</f>
        <v>0</v>
      </c>
      <c r="D12">
        <f>I10-R13-'Income Statement'!D12</f>
        <v>0</v>
      </c>
    </row>
    <row r="13" spans="1:18">
      <c r="K13" s="117" t="s">
        <v>142</v>
      </c>
      <c r="L13" s="117"/>
      <c r="M13" s="117"/>
      <c r="N13" s="117"/>
      <c r="O13" s="117"/>
      <c r="P13" s="36">
        <f>P8-P10</f>
        <v>363.28</v>
      </c>
      <c r="Q13" s="36">
        <f>Q8-Q10</f>
        <v>316.17099999999999</v>
      </c>
      <c r="R13" s="36">
        <f>R8-R10</f>
        <v>739.58899999999994</v>
      </c>
    </row>
    <row r="18" spans="19:19">
      <c r="S18" t="s">
        <v>138</v>
      </c>
    </row>
  </sheetData>
  <mergeCells count="17">
    <mergeCell ref="A9:F9"/>
    <mergeCell ref="A10:F10"/>
    <mergeCell ref="K13:O13"/>
    <mergeCell ref="A5:F5"/>
    <mergeCell ref="A6:F6"/>
    <mergeCell ref="A7:F7"/>
    <mergeCell ref="A8:F8"/>
    <mergeCell ref="K1:R1"/>
    <mergeCell ref="K3:O3"/>
    <mergeCell ref="K8:O8"/>
    <mergeCell ref="K10:O10"/>
    <mergeCell ref="K11:O11"/>
    <mergeCell ref="A1:F1"/>
    <mergeCell ref="G1:I1"/>
    <mergeCell ref="A2:F2"/>
    <mergeCell ref="A3:F3"/>
    <mergeCell ref="A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7EEB-0200-B04E-8A20-FB25BD51B0F2}">
  <dimension ref="A1:P30"/>
  <sheetViews>
    <sheetView workbookViewId="0">
      <selection activeCell="G8" sqref="G8"/>
    </sheetView>
  </sheetViews>
  <sheetFormatPr defaultColWidth="11.42578125" defaultRowHeight="15"/>
  <cols>
    <col min="1" max="2" width="9.28515625" customWidth="1"/>
    <col min="5" max="5" width="10.85546875" customWidth="1"/>
    <col min="6" max="6" width="9.28515625" customWidth="1"/>
    <col min="7" max="7" width="10.85546875" customWidth="1"/>
    <col min="10" max="11" width="9.28515625" customWidth="1"/>
    <col min="12" max="12" width="24.140625" style="14" bestFit="1" customWidth="1"/>
  </cols>
  <sheetData>
    <row r="1" spans="1:16">
      <c r="A1" t="s">
        <v>129</v>
      </c>
      <c r="B1" t="s">
        <v>157</v>
      </c>
      <c r="C1" s="123" t="s">
        <v>70</v>
      </c>
      <c r="D1" s="123"/>
      <c r="E1" s="123"/>
      <c r="J1" t="s">
        <v>129</v>
      </c>
      <c r="K1" t="s">
        <v>130</v>
      </c>
    </row>
    <row r="2" spans="1:16">
      <c r="A2" s="5">
        <f>C2-D2</f>
        <v>-0.27838177480202247</v>
      </c>
      <c r="B2" s="5">
        <f>C2/D2-1</f>
        <v>-0.54640338709521641</v>
      </c>
      <c r="C2" s="13">
        <f>M2/M3</f>
        <v>0.23109854939939317</v>
      </c>
      <c r="D2" s="13">
        <f>N2/N3</f>
        <v>0.50948032420141565</v>
      </c>
      <c r="F2" s="5"/>
      <c r="L2" s="14" t="s">
        <v>72</v>
      </c>
      <c r="M2">
        <f>'Income Statement'!B12</f>
        <v>2780</v>
      </c>
      <c r="N2">
        <f>'Income Statement'!C12</f>
        <v>6946</v>
      </c>
      <c r="O2">
        <f>'Income Statement'!D12</f>
        <v>4368</v>
      </c>
    </row>
    <row r="3" spans="1:16">
      <c r="C3" s="17"/>
      <c r="D3" s="17"/>
      <c r="L3" s="14" t="s">
        <v>151</v>
      </c>
      <c r="M3">
        <f>('Reformulated Balance Sheet'!M29+'Reformulated Balance Sheet'!N29)/2</f>
        <v>12029.5</v>
      </c>
      <c r="N3">
        <f>('Reformulated Balance Sheet'!N29+'Reformulated Balance Sheet'!O29)/2</f>
        <v>13633.5</v>
      </c>
    </row>
    <row r="4" spans="1:16">
      <c r="C4" s="13"/>
      <c r="D4" s="13"/>
      <c r="L4" s="14" t="s">
        <v>140</v>
      </c>
      <c r="M4" s="17">
        <f>'Reformulated Income Statement'!G10</f>
        <v>3143.2799999999997</v>
      </c>
      <c r="N4" s="17">
        <f>'Reformulated Income Statement'!H10</f>
        <v>7262.1710000000003</v>
      </c>
      <c r="O4" s="17">
        <f>'Reformulated Income Statement'!I10</f>
        <v>5107.5889999999999</v>
      </c>
    </row>
    <row r="5" spans="1:16">
      <c r="L5" s="14" t="s">
        <v>145</v>
      </c>
      <c r="M5">
        <f>'Reformulated Income Statement'!G3</f>
        <v>109120</v>
      </c>
      <c r="N5">
        <f>'Reformulated Income Statement'!H3</f>
        <v>106005</v>
      </c>
      <c r="O5">
        <f>'Reformulated Income Statement'!I3</f>
        <v>93561</v>
      </c>
    </row>
    <row r="6" spans="1:16">
      <c r="C6" s="123" t="s">
        <v>150</v>
      </c>
      <c r="D6" s="123"/>
      <c r="E6" s="123"/>
      <c r="G6" s="123" t="s">
        <v>154</v>
      </c>
      <c r="H6" s="123"/>
      <c r="I6" s="123"/>
      <c r="J6" s="37"/>
      <c r="L6" s="14" t="s">
        <v>152</v>
      </c>
      <c r="M6">
        <f>('Reformulated Balance Sheet'!E30+'Reformulated Balance Sheet'!F30)/2</f>
        <v>22889</v>
      </c>
      <c r="N6">
        <f>('Reformulated Balance Sheet'!F30+'Reformulated Balance Sheet'!G30)/2</f>
        <v>19622.5</v>
      </c>
      <c r="O6" s="21"/>
      <c r="P6" s="21"/>
    </row>
    <row r="7" spans="1:16">
      <c r="A7" s="5">
        <f>C7-D7</f>
        <v>-3.9702097193998906E-2</v>
      </c>
      <c r="B7" s="5">
        <f>C7/D7-1</f>
        <v>-0.57952653731919201</v>
      </c>
      <c r="C7" s="13">
        <f>M4/M5</f>
        <v>2.8805718475073312E-2</v>
      </c>
      <c r="D7" s="13">
        <f>N4/N5</f>
        <v>6.8507815669072214E-2</v>
      </c>
      <c r="E7" s="17"/>
      <c r="F7" s="5"/>
      <c r="G7" s="13">
        <f>C7*C12</f>
        <v>0.13732710035388176</v>
      </c>
      <c r="H7" s="13">
        <f>D7*D12</f>
        <v>0.37009407567843039</v>
      </c>
      <c r="J7" s="5">
        <f>G7-H7</f>
        <v>-0.23276697532454863</v>
      </c>
      <c r="K7" s="5">
        <f>G7/H7-1</f>
        <v>-0.62894001990671322</v>
      </c>
      <c r="L7" s="14" t="s">
        <v>147</v>
      </c>
      <c r="M7">
        <f>('Reformulated Balance Sheet'!M22+'Reformulated Balance Sheet'!N22)/2</f>
        <v>10859.5</v>
      </c>
      <c r="N7">
        <f>('Reformulated Balance Sheet'!N22+'Reformulated Balance Sheet'!O22)/2</f>
        <v>5989</v>
      </c>
    </row>
    <row r="9" spans="1:16">
      <c r="C9" s="5"/>
      <c r="D9" s="5"/>
    </row>
    <row r="11" spans="1:16">
      <c r="C11" s="123" t="s">
        <v>144</v>
      </c>
      <c r="D11" s="123"/>
      <c r="E11" s="123"/>
    </row>
    <row r="12" spans="1:16">
      <c r="A12" s="23">
        <f>C12-D12</f>
        <v>-0.63486134463564525</v>
      </c>
      <c r="B12" s="5">
        <f>C12/D12-1</f>
        <v>-0.11751867114865289</v>
      </c>
      <c r="C12" s="24">
        <f>M5/M6</f>
        <v>4.7673554982742798</v>
      </c>
      <c r="D12" s="24">
        <f>N5/N6</f>
        <v>5.4022168429099251</v>
      </c>
      <c r="F12" s="23"/>
      <c r="G12" s="14"/>
      <c r="H12" s="14"/>
      <c r="I12" s="14"/>
      <c r="J12" s="14"/>
      <c r="K12" s="5"/>
      <c r="L12" s="13"/>
    </row>
    <row r="13" spans="1:16">
      <c r="C13" s="17"/>
      <c r="D13" s="17"/>
      <c r="G13" s="5"/>
      <c r="H13" s="5"/>
    </row>
    <row r="14" spans="1:16">
      <c r="C14" s="23"/>
      <c r="D14" s="23"/>
    </row>
    <row r="15" spans="1:16">
      <c r="G15" s="5"/>
      <c r="H15" s="5"/>
    </row>
    <row r="16" spans="1:16">
      <c r="C16" s="123" t="s">
        <v>146</v>
      </c>
      <c r="D16" s="123"/>
      <c r="E16" s="123"/>
      <c r="G16" s="123" t="s">
        <v>153</v>
      </c>
      <c r="H16" s="123"/>
      <c r="I16" s="123"/>
      <c r="J16" s="37"/>
    </row>
    <row r="17" spans="1:15">
      <c r="A17" s="23">
        <f>C17-D17</f>
        <v>0.46345351640737742</v>
      </c>
      <c r="B17" s="5">
        <f>C17/D17-1</f>
        <v>1.0550164494807115</v>
      </c>
      <c r="C17" s="24">
        <f>M7/M3</f>
        <v>0.90273909971320498</v>
      </c>
      <c r="D17" s="24">
        <f>N7/N3</f>
        <v>0.43928558330582756</v>
      </c>
      <c r="F17" s="23"/>
      <c r="G17" s="13">
        <f>C17*C22</f>
        <v>9.3771449045511365E-2</v>
      </c>
      <c r="H17" s="13">
        <f>D17*D22</f>
        <v>0.13938624852298526</v>
      </c>
      <c r="J17" s="5">
        <f>G17-H17</f>
        <v>-4.5614799477473891E-2</v>
      </c>
      <c r="K17" s="5">
        <f>G17/H17-1</f>
        <v>-0.32725466077775855</v>
      </c>
    </row>
    <row r="18" spans="1:15">
      <c r="C18" s="17"/>
      <c r="D18" s="17"/>
      <c r="E18" s="17"/>
    </row>
    <row r="19" spans="1:15">
      <c r="C19" s="23"/>
      <c r="D19" s="23"/>
    </row>
    <row r="21" spans="1:15">
      <c r="C21" s="123" t="s">
        <v>148</v>
      </c>
      <c r="D21" s="123"/>
      <c r="E21" s="123"/>
      <c r="G21" s="123" t="s">
        <v>155</v>
      </c>
      <c r="H21" s="123"/>
      <c r="I21" s="123"/>
      <c r="J21" s="37"/>
      <c r="L21" s="14" t="s">
        <v>149</v>
      </c>
      <c r="M21" s="21">
        <f>'Reformulated Income Statement'!P13</f>
        <v>363.28</v>
      </c>
      <c r="N21" s="21">
        <f>'Reformulated Income Statement'!Q13</f>
        <v>316.17099999999999</v>
      </c>
      <c r="O21" s="21">
        <f>'Reformulated Income Statement'!R13</f>
        <v>739.58899999999994</v>
      </c>
    </row>
    <row r="22" spans="1:15">
      <c r="A22" s="5">
        <f>C22-D22</f>
        <v>-0.21342776064738955</v>
      </c>
      <c r="B22" s="5">
        <f>C22/D22-1</f>
        <v>-0.67263262569395033</v>
      </c>
      <c r="C22" s="13">
        <f>G7-G22</f>
        <v>0.10387436311920245</v>
      </c>
      <c r="D22" s="13">
        <f>H7-H22</f>
        <v>0.317302123766592</v>
      </c>
      <c r="F22" s="5"/>
      <c r="G22" s="13">
        <f>M21/M22</f>
        <v>3.3452737234679314E-2</v>
      </c>
      <c r="H22" s="13">
        <f>N21/N22</f>
        <v>5.2791951911838372E-2</v>
      </c>
      <c r="J22" s="5">
        <f>G22-H22</f>
        <v>-1.9339214677159058E-2</v>
      </c>
      <c r="K22" s="5">
        <f>G22/H22-1</f>
        <v>-0.36632884325730564</v>
      </c>
      <c r="L22" s="38" t="s">
        <v>156</v>
      </c>
      <c r="M22" s="21">
        <f>('Reformulated Balance Sheet'!M22+'Reformulated Balance Sheet'!N22)/2</f>
        <v>10859.5</v>
      </c>
      <c r="N22" s="21">
        <f>('Reformulated Balance Sheet'!N22+'Reformulated Balance Sheet'!O22)/2</f>
        <v>5989</v>
      </c>
    </row>
    <row r="23" spans="1:15">
      <c r="C23" s="21"/>
      <c r="D23" s="21"/>
    </row>
    <row r="24" spans="1:15">
      <c r="C24" s="5"/>
      <c r="D24" s="5"/>
      <c r="J24" s="5"/>
    </row>
    <row r="26" spans="1:15">
      <c r="C26" t="s">
        <v>115</v>
      </c>
      <c r="D26" s="5">
        <f>G7+G17</f>
        <v>0.23109854939939312</v>
      </c>
      <c r="E26" s="5">
        <f>H7+H17</f>
        <v>0.50948032420141565</v>
      </c>
    </row>
    <row r="27" spans="1:15">
      <c r="F27" s="14"/>
      <c r="G27" s="14"/>
      <c r="H27" s="14"/>
    </row>
    <row r="28" spans="1:15">
      <c r="F28" s="21"/>
      <c r="G28" s="21"/>
      <c r="H28" s="21"/>
    </row>
    <row r="29" spans="1:15">
      <c r="F29" s="17"/>
      <c r="G29" s="17"/>
    </row>
    <row r="30" spans="1:15">
      <c r="F30" s="21"/>
      <c r="G30" s="21"/>
    </row>
  </sheetData>
  <mergeCells count="8">
    <mergeCell ref="C21:E21"/>
    <mergeCell ref="G16:I16"/>
    <mergeCell ref="G21:I21"/>
    <mergeCell ref="G6:I6"/>
    <mergeCell ref="C1:E1"/>
    <mergeCell ref="C6:E6"/>
    <mergeCell ref="C11:E11"/>
    <mergeCell ref="C16:E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32EE-0293-AE44-B865-DE31AB845690}">
  <dimension ref="C1:S56"/>
  <sheetViews>
    <sheetView topLeftCell="A22" workbookViewId="0">
      <selection activeCell="K35" sqref="K35"/>
    </sheetView>
  </sheetViews>
  <sheetFormatPr defaultColWidth="11.42578125" defaultRowHeight="15"/>
  <cols>
    <col min="3" max="3" width="18.28515625" bestFit="1" customWidth="1"/>
    <col min="5" max="6" width="10.85546875" customWidth="1"/>
    <col min="9" max="9" width="15" bestFit="1" customWidth="1"/>
    <col min="11" max="11" width="11" customWidth="1"/>
  </cols>
  <sheetData>
    <row r="1" spans="3:19">
      <c r="C1" s="115"/>
      <c r="D1" s="115"/>
      <c r="E1" s="115"/>
    </row>
    <row r="6" spans="3:19">
      <c r="C6" s="122" t="s">
        <v>158</v>
      </c>
      <c r="D6" s="122"/>
      <c r="E6" s="122"/>
      <c r="F6" s="122"/>
      <c r="G6" s="122"/>
      <c r="I6" s="122" t="s">
        <v>162</v>
      </c>
      <c r="J6" s="122"/>
      <c r="K6" s="122"/>
      <c r="L6" s="122"/>
      <c r="M6" s="122"/>
      <c r="O6" s="122" t="s">
        <v>197</v>
      </c>
      <c r="P6" s="122"/>
      <c r="Q6" s="122"/>
      <c r="R6" s="122"/>
      <c r="S6" s="122"/>
    </row>
    <row r="7" spans="3:19">
      <c r="E7" s="34">
        <v>2022</v>
      </c>
      <c r="F7" s="34">
        <v>2021</v>
      </c>
      <c r="G7" s="34">
        <v>2020</v>
      </c>
      <c r="K7" s="34">
        <v>2022</v>
      </c>
      <c r="L7" s="34">
        <v>2021</v>
      </c>
      <c r="M7" s="34">
        <v>2020</v>
      </c>
      <c r="O7" s="119">
        <v>1.2</v>
      </c>
      <c r="P7" s="119"/>
      <c r="Q7" s="119"/>
      <c r="R7" s="126">
        <f>('Balance Sheet'!B8-'Balance Sheet'!B24)/'Balance Sheet'!B19</f>
        <v>-3.1011530889659699E-2</v>
      </c>
      <c r="S7" s="126"/>
    </row>
    <row r="8" spans="3:19">
      <c r="C8" t="s">
        <v>159</v>
      </c>
      <c r="E8" s="17">
        <f>'Balance Sheet'!B8</f>
        <v>17846</v>
      </c>
      <c r="F8" s="17">
        <f>'Balance Sheet'!C8</f>
        <v>21573</v>
      </c>
      <c r="G8" s="17">
        <f>'Balance Sheet'!D8</f>
        <v>20756</v>
      </c>
      <c r="I8" t="s">
        <v>163</v>
      </c>
      <c r="K8">
        <v>286</v>
      </c>
      <c r="L8">
        <v>349</v>
      </c>
      <c r="O8" s="115">
        <v>1.4</v>
      </c>
      <c r="P8" s="115"/>
      <c r="Q8" s="115"/>
      <c r="R8" s="125">
        <f>'Balance Sheet'!B34/'Balance Sheet'!B19</f>
        <v>9.3840817474453928E-2</v>
      </c>
      <c r="S8" s="125"/>
    </row>
    <row r="9" spans="3:19">
      <c r="C9" s="40" t="s">
        <v>129</v>
      </c>
      <c r="E9" s="5">
        <f>'Balance Sheet'!J8</f>
        <v>-0.1727622491076809</v>
      </c>
      <c r="F9" s="5">
        <f>'Balance Sheet'!K8</f>
        <v>3.9362112160339136E-2</v>
      </c>
      <c r="I9" t="s">
        <v>164</v>
      </c>
      <c r="K9" s="17">
        <f>'Balance Sheet'!B23</f>
        <v>130</v>
      </c>
      <c r="L9" s="17">
        <f>'Balance Sheet'!C23</f>
        <v>171</v>
      </c>
      <c r="M9" s="17"/>
      <c r="O9" s="115">
        <v>3.3</v>
      </c>
      <c r="P9" s="115"/>
      <c r="Q9" s="115"/>
      <c r="R9" s="125">
        <f>('Income Statement'!B12+'Income Statement'!B8+'Income Statement'!B11)/'Balance Sheet'!B19</f>
        <v>7.3047717258835659E-2</v>
      </c>
      <c r="S9" s="125"/>
    </row>
    <row r="10" spans="3:19">
      <c r="C10" t="s">
        <v>160</v>
      </c>
      <c r="E10" s="17">
        <f>'Balance Sheet'!B24</f>
        <v>19500</v>
      </c>
      <c r="F10" s="17">
        <f>'Balance Sheet'!C24</f>
        <v>21747</v>
      </c>
      <c r="G10" s="17">
        <f>'Balance Sheet'!D24</f>
        <v>20125</v>
      </c>
      <c r="I10" s="34" t="s">
        <v>165</v>
      </c>
      <c r="J10" s="34"/>
      <c r="K10" s="34">
        <v>1343</v>
      </c>
      <c r="L10" s="34">
        <v>4985</v>
      </c>
      <c r="M10" s="34"/>
      <c r="O10" s="115">
        <v>0.6</v>
      </c>
      <c r="P10" s="115"/>
      <c r="Q10" s="115"/>
      <c r="R10" s="125">
        <f>(75322)/('Balance Sheet'!B24+'Balance Sheet'!B29)</f>
        <v>1.7889936584091395</v>
      </c>
      <c r="S10" s="125"/>
    </row>
    <row r="11" spans="3:19">
      <c r="C11" s="41" t="s">
        <v>161</v>
      </c>
      <c r="D11" s="34"/>
      <c r="E11" s="42">
        <f>'Balance Sheet'!J24</f>
        <v>-0.1033245964960684</v>
      </c>
      <c r="F11" s="42">
        <f>'Balance Sheet'!K24</f>
        <v>8.0596273291925424E-2</v>
      </c>
      <c r="G11" s="34"/>
      <c r="I11" t="s">
        <v>166</v>
      </c>
      <c r="K11">
        <f>'Balance Sheet'!B5</f>
        <v>2229</v>
      </c>
      <c r="L11">
        <f>'Balance Sheet'!C5</f>
        <v>5911</v>
      </c>
      <c r="O11" s="122">
        <v>1</v>
      </c>
      <c r="P11" s="122"/>
      <c r="Q11" s="122"/>
      <c r="R11" s="124">
        <f>'Income Statement'!B3/'Balance Sheet'!B19</f>
        <v>2.0459360644979845</v>
      </c>
      <c r="S11" s="124"/>
    </row>
    <row r="12" spans="3:19">
      <c r="C12" s="14" t="s">
        <v>158</v>
      </c>
      <c r="D12" s="14"/>
      <c r="E12" s="24">
        <f>E8/E10</f>
        <v>0.91517948717948716</v>
      </c>
      <c r="F12" s="24">
        <f>F8/F10</f>
        <v>0.99199889639950334</v>
      </c>
      <c r="G12" s="24">
        <f>G8/G10</f>
        <v>1.0313540372670806</v>
      </c>
      <c r="I12" s="43" t="s">
        <v>129</v>
      </c>
      <c r="K12" s="5">
        <f>K11/L11-1</f>
        <v>-0.62290644560987984</v>
      </c>
      <c r="L12" s="5"/>
      <c r="O12" s="115" t="s">
        <v>197</v>
      </c>
      <c r="P12" s="115"/>
      <c r="Q12" s="115"/>
      <c r="R12" s="125">
        <f>(O7*R7)+(O8*R8)+(O9*R9)+(O10*R10)+(O11*R11)</f>
        <v>3.4545530338942694</v>
      </c>
      <c r="S12" s="125"/>
    </row>
    <row r="13" spans="3:19">
      <c r="C13" s="43" t="s">
        <v>129</v>
      </c>
      <c r="E13" s="5">
        <f>E12/F12-1</f>
        <v>-7.7439006735627536E-2</v>
      </c>
      <c r="F13" s="5">
        <f>F12/G12-1</f>
        <v>-3.8158711214106411E-2</v>
      </c>
      <c r="I13" t="s">
        <v>160</v>
      </c>
      <c r="K13" s="17">
        <f>E10</f>
        <v>19500</v>
      </c>
      <c r="L13" s="17">
        <f>F10</f>
        <v>21747</v>
      </c>
      <c r="M13" s="17"/>
    </row>
    <row r="14" spans="3:19">
      <c r="I14" s="41" t="s">
        <v>161</v>
      </c>
      <c r="J14" s="34"/>
      <c r="K14" s="42">
        <f>E11</f>
        <v>-0.1033245964960684</v>
      </c>
      <c r="L14" s="42"/>
      <c r="M14" s="34"/>
    </row>
    <row r="15" spans="3:19">
      <c r="I15" s="14" t="s">
        <v>162</v>
      </c>
      <c r="J15" s="14"/>
      <c r="K15" s="24">
        <f>K11/K13</f>
        <v>0.1143076923076923</v>
      </c>
      <c r="L15" s="24">
        <f>L11/L13</f>
        <v>0.27180760564675588</v>
      </c>
      <c r="M15" s="23"/>
    </row>
    <row r="16" spans="3:19">
      <c r="I16" s="43" t="s">
        <v>129</v>
      </c>
      <c r="K16" s="5">
        <f>K15/L15-1</f>
        <v>-0.57945366526554143</v>
      </c>
      <c r="L16" s="5"/>
    </row>
    <row r="17" spans="3:18">
      <c r="C17" s="122" t="s">
        <v>167</v>
      </c>
      <c r="D17" s="122"/>
      <c r="E17" s="122"/>
      <c r="F17" s="122"/>
      <c r="G17" s="122"/>
    </row>
    <row r="18" spans="3:18">
      <c r="E18" s="34">
        <v>2022</v>
      </c>
      <c r="F18" s="34">
        <v>2021</v>
      </c>
      <c r="G18" s="34">
        <v>2020</v>
      </c>
      <c r="I18" s="115" t="s">
        <v>178</v>
      </c>
      <c r="J18" s="115"/>
      <c r="K18" s="115"/>
      <c r="L18" s="115"/>
      <c r="M18" s="115"/>
      <c r="N18" s="115"/>
      <c r="O18" s="115"/>
      <c r="P18" s="115"/>
      <c r="Q18" s="115"/>
      <c r="R18" s="115"/>
    </row>
    <row r="19" spans="3:18">
      <c r="C19" t="s">
        <v>168</v>
      </c>
      <c r="E19" s="17">
        <f>'Balance Sheet'!B23</f>
        <v>130</v>
      </c>
      <c r="F19" s="17">
        <f>'Balance Sheet'!C23</f>
        <v>171</v>
      </c>
      <c r="G19" s="17">
        <f>'Balance Sheet'!D23</f>
        <v>1144</v>
      </c>
      <c r="I19" s="115" t="s">
        <v>196</v>
      </c>
      <c r="J19" s="115"/>
      <c r="K19" s="115"/>
      <c r="L19" s="115"/>
      <c r="M19" s="115"/>
    </row>
    <row r="20" spans="3:18">
      <c r="C20" s="34" t="s">
        <v>169</v>
      </c>
      <c r="D20" s="34"/>
      <c r="E20" s="44">
        <f>'Balance Sheet'!B25</f>
        <v>16009</v>
      </c>
      <c r="F20" s="44">
        <f>'Balance Sheet'!C25</f>
        <v>13549</v>
      </c>
      <c r="G20" s="44">
        <f>'Balance Sheet'!D25</f>
        <v>11536</v>
      </c>
      <c r="K20" s="34">
        <v>2022</v>
      </c>
      <c r="L20" s="34">
        <v>2021</v>
      </c>
      <c r="M20" s="34">
        <v>2020</v>
      </c>
    </row>
    <row r="21" spans="3:18">
      <c r="C21" t="s">
        <v>170</v>
      </c>
      <c r="E21" s="17">
        <f>E19+E20</f>
        <v>16139</v>
      </c>
      <c r="F21" s="17">
        <f t="shared" ref="F21:G21" si="0">F19+F20</f>
        <v>13720</v>
      </c>
      <c r="G21" s="17">
        <f t="shared" si="0"/>
        <v>12680</v>
      </c>
      <c r="K21" s="24">
        <f>('Income Statement'!B12+'Income Statement'!B8+'Income Statement'!B11)/'Income Statement'!B8</f>
        <v>8.1506276150627617</v>
      </c>
      <c r="L21" s="24">
        <f>('Income Statement'!C12+'Income Statement'!C8+'Income Statement'!C11)/'Income Statement'!C8</f>
        <v>22.156769596199524</v>
      </c>
      <c r="M21" s="24">
        <f>('Income Statement'!D12+'Income Statement'!D8+'Income Statement'!D11)/'Income Statement'!D8</f>
        <v>6.6765609007164795</v>
      </c>
    </row>
    <row r="22" spans="3:18">
      <c r="C22" s="43" t="s">
        <v>129</v>
      </c>
      <c r="E22" s="5">
        <f>E21/F21-1</f>
        <v>0.17631195335276972</v>
      </c>
      <c r="F22" s="5">
        <f>F21/G21-1</f>
        <v>8.2018927444794887E-2</v>
      </c>
      <c r="I22" s="43" t="s">
        <v>129</v>
      </c>
      <c r="K22" s="5">
        <f>K21/L21-1</f>
        <v>-0.63213826908861248</v>
      </c>
      <c r="L22" s="5">
        <f>L21/M21-1</f>
        <v>2.318590203202044</v>
      </c>
    </row>
    <row r="23" spans="3:18">
      <c r="C23" t="s">
        <v>171</v>
      </c>
      <c r="E23">
        <f>'Income Statement'!B12</f>
        <v>2780</v>
      </c>
      <c r="F23">
        <f>'Income Statement'!C12</f>
        <v>6946</v>
      </c>
      <c r="G23">
        <f>'Income Statement'!D12</f>
        <v>4368</v>
      </c>
    </row>
    <row r="24" spans="3:18">
      <c r="C24" t="s">
        <v>172</v>
      </c>
      <c r="E24" s="17">
        <f>'Income Statement'!B11</f>
        <v>638</v>
      </c>
      <c r="F24" s="17">
        <f>'Income Statement'!C11</f>
        <v>1961</v>
      </c>
      <c r="G24" s="17">
        <f>'Income Statement'!D11</f>
        <v>1178</v>
      </c>
    </row>
    <row r="25" spans="3:18">
      <c r="C25" t="s">
        <v>174</v>
      </c>
      <c r="E25" s="17">
        <f>'Income Statement'!B8</f>
        <v>478</v>
      </c>
      <c r="F25" s="17">
        <f>'Income Statement'!C8</f>
        <v>421</v>
      </c>
      <c r="G25" s="17">
        <f>'Income Statement'!D8</f>
        <v>977</v>
      </c>
    </row>
    <row r="26" spans="3:18">
      <c r="C26" s="34" t="s">
        <v>175</v>
      </c>
      <c r="D26" s="34"/>
      <c r="E26" s="44">
        <f>'Cash Flow'!B6</f>
        <v>2700</v>
      </c>
      <c r="F26" s="44">
        <f>'Cash Flow'!C6</f>
        <v>2642</v>
      </c>
      <c r="G26" s="44">
        <f>'Cash Flow'!D6</f>
        <v>2485</v>
      </c>
    </row>
    <row r="27" spans="3:18">
      <c r="C27" t="s">
        <v>176</v>
      </c>
      <c r="E27" s="17">
        <f>E23+E24+E25+E26</f>
        <v>6596</v>
      </c>
      <c r="F27" s="17">
        <f>F23+F24+F25+F26</f>
        <v>11970</v>
      </c>
      <c r="G27" s="17">
        <f>G23+G24+G25+G26</f>
        <v>9008</v>
      </c>
    </row>
    <row r="28" spans="3:18">
      <c r="C28" s="41" t="s">
        <v>129</v>
      </c>
      <c r="D28" s="34"/>
      <c r="E28" s="42">
        <f>E27/F27-1</f>
        <v>-0.44895572263993322</v>
      </c>
      <c r="F28" s="42">
        <f>F27/G27-1</f>
        <v>0.32881882770870341</v>
      </c>
      <c r="G28" s="34"/>
    </row>
    <row r="29" spans="3:18">
      <c r="C29" s="14" t="s">
        <v>177</v>
      </c>
      <c r="D29" s="14"/>
      <c r="E29" s="24">
        <f>E21/E27</f>
        <v>2.4467859308671924</v>
      </c>
      <c r="F29" s="24">
        <f>F21/F27</f>
        <v>1.1461988304093567</v>
      </c>
      <c r="G29" s="24">
        <f t="shared" ref="G29" si="1">G21/G27</f>
        <v>1.4076376554174068</v>
      </c>
    </row>
    <row r="30" spans="3:18">
      <c r="C30" s="43" t="s">
        <v>129</v>
      </c>
      <c r="E30" s="5">
        <f>E29/F29-1</f>
        <v>1.1346958886647447</v>
      </c>
      <c r="F30" s="5">
        <f>F29/G29-1</f>
        <v>-0.18572878041581353</v>
      </c>
    </row>
    <row r="32" spans="3:18">
      <c r="C32" s="122" t="s">
        <v>179</v>
      </c>
      <c r="D32" s="122"/>
      <c r="E32" s="122"/>
      <c r="F32" s="122"/>
      <c r="G32" s="122"/>
      <c r="I32" s="122" t="s">
        <v>183</v>
      </c>
      <c r="J32" s="122"/>
      <c r="K32" s="122"/>
      <c r="L32" s="122"/>
      <c r="M32" s="122"/>
    </row>
    <row r="33" spans="3:13">
      <c r="E33" s="34">
        <v>2022</v>
      </c>
      <c r="F33" s="34">
        <v>2021</v>
      </c>
      <c r="G33" s="34">
        <v>2020</v>
      </c>
      <c r="K33" s="34">
        <v>2022</v>
      </c>
      <c r="L33" s="34">
        <v>2021</v>
      </c>
      <c r="M33" s="34">
        <v>2020</v>
      </c>
    </row>
    <row r="34" spans="3:13">
      <c r="C34" t="s">
        <v>176</v>
      </c>
      <c r="E34" s="17">
        <f>E27</f>
        <v>6596</v>
      </c>
      <c r="F34" s="17">
        <f t="shared" ref="F34:G34" si="2">F27</f>
        <v>11970</v>
      </c>
      <c r="G34" s="17">
        <f t="shared" si="2"/>
        <v>9008</v>
      </c>
      <c r="I34" t="s">
        <v>184</v>
      </c>
      <c r="K34" s="17">
        <f>'Cash Flow'!B17</f>
        <v>4018</v>
      </c>
      <c r="L34" s="17">
        <f>'Cash Flow'!C17</f>
        <v>8625</v>
      </c>
      <c r="M34" s="17">
        <f>'Cash Flow'!D17</f>
        <v>10525</v>
      </c>
    </row>
    <row r="35" spans="3:13">
      <c r="C35" s="34" t="s">
        <v>180</v>
      </c>
      <c r="D35" s="34"/>
      <c r="E35" s="44">
        <v>5528</v>
      </c>
      <c r="F35" s="44">
        <v>3544</v>
      </c>
      <c r="G35" s="34">
        <v>2649</v>
      </c>
      <c r="I35" s="34" t="s">
        <v>180</v>
      </c>
      <c r="J35" s="34"/>
      <c r="K35" s="44">
        <f>E35</f>
        <v>5528</v>
      </c>
      <c r="L35" s="44">
        <f t="shared" ref="L35" si="3">F35</f>
        <v>3544</v>
      </c>
      <c r="M35" s="44"/>
    </row>
    <row r="36" spans="3:13">
      <c r="C36" t="s">
        <v>181</v>
      </c>
      <c r="E36" s="17">
        <f>E34-E35</f>
        <v>1068</v>
      </c>
      <c r="F36" s="17">
        <f t="shared" ref="F36:G36" si="4">F34-F35</f>
        <v>8426</v>
      </c>
      <c r="G36" s="17">
        <f t="shared" si="4"/>
        <v>6359</v>
      </c>
      <c r="I36" t="s">
        <v>185</v>
      </c>
      <c r="K36" s="17">
        <f>K34-K35</f>
        <v>-1510</v>
      </c>
      <c r="L36" s="17">
        <f>L34-L35</f>
        <v>5081</v>
      </c>
    </row>
    <row r="37" spans="3:13">
      <c r="C37" s="43" t="s">
        <v>129</v>
      </c>
      <c r="E37" s="5">
        <f>E36/F36-1</f>
        <v>-0.87324946593876096</v>
      </c>
      <c r="F37" s="5">
        <f t="shared" ref="F37" si="5">F36/G36-1</f>
        <v>0.3250511086648844</v>
      </c>
      <c r="G37" s="23"/>
      <c r="I37" t="s">
        <v>129</v>
      </c>
      <c r="K37" s="5">
        <f>K36/L36-1</f>
        <v>-1.2971855933871286</v>
      </c>
    </row>
    <row r="38" spans="3:13">
      <c r="C38" t="s">
        <v>173</v>
      </c>
      <c r="E38" s="17">
        <f>'Income Statement'!B8</f>
        <v>478</v>
      </c>
      <c r="F38" s="17">
        <f>'Income Statement'!C8</f>
        <v>421</v>
      </c>
      <c r="G38" s="17">
        <f>'Income Statement'!D8</f>
        <v>977</v>
      </c>
      <c r="I38" t="s">
        <v>168</v>
      </c>
      <c r="K38" s="17">
        <f>E19</f>
        <v>130</v>
      </c>
      <c r="L38" s="17">
        <f t="shared" ref="L38:M38" si="6">F19</f>
        <v>171</v>
      </c>
      <c r="M38" s="17">
        <f t="shared" si="6"/>
        <v>1144</v>
      </c>
    </row>
    <row r="39" spans="3:13">
      <c r="C39" s="41" t="s">
        <v>129</v>
      </c>
      <c r="D39" s="34"/>
      <c r="E39" s="42">
        <f>E38/F38-1</f>
        <v>0.13539192399049882</v>
      </c>
      <c r="F39" s="42">
        <f>F38/G38-1</f>
        <v>-0.56908904810644834</v>
      </c>
      <c r="G39" s="34"/>
      <c r="I39" s="34" t="s">
        <v>169</v>
      </c>
      <c r="J39" s="34"/>
      <c r="K39" s="44">
        <f>E20</f>
        <v>16009</v>
      </c>
      <c r="L39" s="44">
        <f t="shared" ref="L39:M39" si="7">F20</f>
        <v>13549</v>
      </c>
      <c r="M39" s="44">
        <f t="shared" si="7"/>
        <v>11536</v>
      </c>
    </row>
    <row r="40" spans="3:13">
      <c r="C40" s="14" t="s">
        <v>182</v>
      </c>
      <c r="D40" s="14"/>
      <c r="E40" s="24">
        <f>E36/E38</f>
        <v>2.2343096234309625</v>
      </c>
      <c r="F40" s="24">
        <f>F36/F38</f>
        <v>20.014251781472684</v>
      </c>
      <c r="G40" s="24">
        <f>G36/G38</f>
        <v>6.5087001023541458</v>
      </c>
      <c r="I40" t="s">
        <v>186</v>
      </c>
      <c r="K40" s="17">
        <f>K38+K39</f>
        <v>16139</v>
      </c>
      <c r="L40" s="17">
        <f t="shared" ref="L40:M40" si="8">L38+L39</f>
        <v>13720</v>
      </c>
      <c r="M40" s="17">
        <f t="shared" si="8"/>
        <v>12680</v>
      </c>
    </row>
    <row r="41" spans="3:13">
      <c r="C41" s="43" t="s">
        <v>129</v>
      </c>
      <c r="E41" s="5">
        <f>E40/F40-1</f>
        <v>-0.88836406937284174</v>
      </c>
      <c r="F41" s="5">
        <f>F40/G40-1</f>
        <v>2.0749998412484372</v>
      </c>
      <c r="I41" s="34" t="s">
        <v>129</v>
      </c>
      <c r="J41" s="34"/>
      <c r="K41" s="42">
        <f>K40/L40-1</f>
        <v>0.17631195335276972</v>
      </c>
      <c r="L41" s="42">
        <f>L40/M40-1</f>
        <v>8.2018927444794887E-2</v>
      </c>
      <c r="M41" s="34"/>
    </row>
    <row r="42" spans="3:13">
      <c r="I42" s="14" t="s">
        <v>187</v>
      </c>
      <c r="J42" s="14"/>
      <c r="K42" s="13">
        <f>K36/K40</f>
        <v>-9.3562178573641491E-2</v>
      </c>
      <c r="L42" s="13">
        <f>L36/L40</f>
        <v>0.37033527696793</v>
      </c>
    </row>
    <row r="43" spans="3:13">
      <c r="I43" t="s">
        <v>129</v>
      </c>
      <c r="K43" s="5">
        <f>K42/L42-1</f>
        <v>-1.2526418205137495</v>
      </c>
    </row>
    <row r="45" spans="3:13">
      <c r="C45" s="122" t="s">
        <v>188</v>
      </c>
      <c r="D45" s="122"/>
      <c r="E45" s="122"/>
      <c r="F45" s="122"/>
      <c r="G45" s="122"/>
    </row>
    <row r="46" spans="3:13">
      <c r="E46" s="34">
        <v>2022</v>
      </c>
      <c r="F46" s="34">
        <v>2021</v>
      </c>
      <c r="G46" s="34">
        <v>2020</v>
      </c>
    </row>
    <row r="47" spans="3:13">
      <c r="C47" t="s">
        <v>184</v>
      </c>
      <c r="D47" s="17"/>
      <c r="E47" s="17">
        <f>K34</f>
        <v>4018</v>
      </c>
      <c r="F47" s="17">
        <f t="shared" ref="F47:G47" si="9">L34</f>
        <v>8625</v>
      </c>
      <c r="G47" s="17">
        <f t="shared" si="9"/>
        <v>10525</v>
      </c>
    </row>
    <row r="48" spans="3:13">
      <c r="C48" s="34" t="s">
        <v>189</v>
      </c>
      <c r="D48" s="34"/>
      <c r="E48" s="44">
        <f>'Cash Flow'!B27</f>
        <v>-1836</v>
      </c>
      <c r="F48" s="44">
        <f>'Cash Flow'!C27</f>
        <v>-1548</v>
      </c>
      <c r="G48" s="34"/>
    </row>
    <row r="49" spans="3:7">
      <c r="C49" t="s">
        <v>190</v>
      </c>
      <c r="E49" s="17">
        <f>E47+E48</f>
        <v>2182</v>
      </c>
      <c r="F49" s="17">
        <f>F47+F48</f>
        <v>7077</v>
      </c>
    </row>
    <row r="50" spans="3:7">
      <c r="C50" s="43" t="s">
        <v>129</v>
      </c>
      <c r="E50" s="5">
        <f>E49/F49-1</f>
        <v>-0.69167726437756105</v>
      </c>
    </row>
    <row r="51" spans="3:7">
      <c r="C51" t="s">
        <v>191</v>
      </c>
      <c r="E51" s="17">
        <f>K40</f>
        <v>16139</v>
      </c>
      <c r="F51" s="17">
        <f t="shared" ref="F51" si="10">L40</f>
        <v>13720</v>
      </c>
      <c r="G51" s="17">
        <f>M40</f>
        <v>12680</v>
      </c>
    </row>
    <row r="52" spans="3:7">
      <c r="C52" s="45" t="s">
        <v>192</v>
      </c>
      <c r="D52" s="34"/>
      <c r="E52" s="34">
        <f>'Balance Sheet'!B5</f>
        <v>2229</v>
      </c>
      <c r="F52" s="34">
        <f>'Balance Sheet'!C5</f>
        <v>5911</v>
      </c>
      <c r="G52" s="34">
        <f>'Balance Sheet'!D5</f>
        <v>8511</v>
      </c>
    </row>
    <row r="53" spans="3:7">
      <c r="C53" t="s">
        <v>193</v>
      </c>
      <c r="E53" s="17">
        <f>E51-E52</f>
        <v>13910</v>
      </c>
      <c r="F53" s="17">
        <f t="shared" ref="F53:G53" si="11">F51-F52</f>
        <v>7809</v>
      </c>
      <c r="G53" s="17">
        <f t="shared" si="11"/>
        <v>4169</v>
      </c>
    </row>
    <row r="54" spans="3:7">
      <c r="C54" s="41" t="s">
        <v>129</v>
      </c>
      <c r="D54" s="34"/>
      <c r="E54" s="42">
        <f>E53/F53-1</f>
        <v>0.78127801254962215</v>
      </c>
      <c r="F54" s="42">
        <f>F53/G53-1</f>
        <v>0.87311105780762777</v>
      </c>
      <c r="G54" s="34"/>
    </row>
    <row r="55" spans="3:7">
      <c r="C55" s="14" t="s">
        <v>194</v>
      </c>
      <c r="D55" s="14"/>
      <c r="E55" s="24">
        <f>E49/E53</f>
        <v>0.15686556434219986</v>
      </c>
      <c r="F55" s="24">
        <f>F49/F53</f>
        <v>0.90626200537840951</v>
      </c>
    </row>
    <row r="56" spans="3:7">
      <c r="C56" t="s">
        <v>161</v>
      </c>
      <c r="E56" s="5">
        <f>E55/F55-1</f>
        <v>-0.8269092564719176</v>
      </c>
      <c r="F56" s="5"/>
    </row>
  </sheetData>
  <mergeCells count="23">
    <mergeCell ref="N18:R18"/>
    <mergeCell ref="I19:M19"/>
    <mergeCell ref="I18:M18"/>
    <mergeCell ref="C32:G32"/>
    <mergeCell ref="I32:M32"/>
    <mergeCell ref="C45:G45"/>
    <mergeCell ref="C1:E1"/>
    <mergeCell ref="C6:G6"/>
    <mergeCell ref="I6:M6"/>
    <mergeCell ref="C17:G17"/>
    <mergeCell ref="O11:Q11"/>
    <mergeCell ref="R11:S11"/>
    <mergeCell ref="O12:Q12"/>
    <mergeCell ref="R12:S12"/>
    <mergeCell ref="O6:S6"/>
    <mergeCell ref="O7:Q7"/>
    <mergeCell ref="O8:Q8"/>
    <mergeCell ref="O9:Q9"/>
    <mergeCell ref="O10:Q10"/>
    <mergeCell ref="R10:S10"/>
    <mergeCell ref="R9:S9"/>
    <mergeCell ref="R8:S8"/>
    <mergeCell ref="R7:S7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10CAA-99AE-9040-AD6C-CA2CD050DF5F}">
  <dimension ref="B2:K54"/>
  <sheetViews>
    <sheetView topLeftCell="A34" zoomScale="99" workbookViewId="0">
      <selection activeCell="I38" sqref="I38"/>
    </sheetView>
  </sheetViews>
  <sheetFormatPr defaultColWidth="11.42578125" defaultRowHeight="15"/>
  <cols>
    <col min="2" max="2" width="20.42578125" bestFit="1" customWidth="1"/>
    <col min="3" max="3" width="12.42578125" customWidth="1"/>
    <col min="5" max="5" width="16.85546875" customWidth="1"/>
  </cols>
  <sheetData>
    <row r="2" spans="2:11">
      <c r="B2" s="127" t="s">
        <v>206</v>
      </c>
      <c r="C2" s="128"/>
      <c r="D2" s="128"/>
      <c r="E2" s="128"/>
      <c r="F2" s="128"/>
      <c r="G2" s="128"/>
      <c r="H2" s="128"/>
      <c r="I2" s="128"/>
    </row>
    <row r="4" spans="2:11">
      <c r="B4" s="122" t="s">
        <v>198</v>
      </c>
      <c r="C4" s="122"/>
      <c r="D4" s="122"/>
      <c r="E4" s="122"/>
      <c r="H4" s="122" t="s">
        <v>129</v>
      </c>
      <c r="I4" s="122"/>
    </row>
    <row r="5" spans="2:11">
      <c r="D5" s="46">
        <v>2022</v>
      </c>
      <c r="E5" s="46">
        <v>2021</v>
      </c>
      <c r="H5" s="5"/>
    </row>
    <row r="6" spans="2:11">
      <c r="B6" t="s">
        <v>4</v>
      </c>
      <c r="D6">
        <f>'Income Statement'!B3</f>
        <v>109120</v>
      </c>
      <c r="E6">
        <f>'Income Statement'!C3</f>
        <v>106005</v>
      </c>
    </row>
    <row r="7" spans="2:11">
      <c r="B7" s="34" t="s">
        <v>199</v>
      </c>
      <c r="C7" s="34"/>
      <c r="D7" s="34">
        <f>('Balance Sheet'!B16+'Balance Sheet'!C16)/2</f>
        <v>29846.5</v>
      </c>
      <c r="E7" s="34">
        <f>('Balance Sheet'!C16+'Balance Sheet'!D16)/2</f>
        <v>27530</v>
      </c>
    </row>
    <row r="8" spans="2:11">
      <c r="D8" s="47">
        <f>D6/D7</f>
        <v>3.6560400717001995</v>
      </c>
      <c r="E8" s="47">
        <f>E6/E7</f>
        <v>3.8505266981474753</v>
      </c>
      <c r="H8" s="48">
        <v>-5.0500000000000003E-2</v>
      </c>
    </row>
    <row r="10" spans="2:11">
      <c r="B10" s="122" t="s">
        <v>200</v>
      </c>
      <c r="C10" s="122"/>
      <c r="D10" s="122"/>
      <c r="E10" s="122"/>
      <c r="F10" s="122"/>
    </row>
    <row r="11" spans="2:11">
      <c r="D11" s="46">
        <v>2022</v>
      </c>
      <c r="E11" s="46">
        <v>2021</v>
      </c>
      <c r="F11" s="46">
        <v>2020</v>
      </c>
    </row>
    <row r="12" spans="2:11">
      <c r="B12" t="s">
        <v>202</v>
      </c>
      <c r="D12" s="17">
        <f>'Balance Sheet'!B15</f>
        <v>-22631</v>
      </c>
      <c r="E12" s="17">
        <f>'Balance Sheet'!C15</f>
        <v>-21137</v>
      </c>
      <c r="F12" s="17">
        <f>'Balance Sheet'!D15</f>
        <v>-20278</v>
      </c>
    </row>
    <row r="13" spans="2:11">
      <c r="B13" s="34" t="s">
        <v>203</v>
      </c>
      <c r="C13" s="34"/>
      <c r="D13" s="44">
        <f>'Balance Sheet'!B11+'Balance Sheet'!B12+'Balance Sheet'!B13</f>
        <v>45224</v>
      </c>
      <c r="E13" s="44">
        <f>'Balance Sheet'!C11+'Balance Sheet'!C12+'Balance Sheet'!C13</f>
        <v>41897</v>
      </c>
      <c r="F13" s="44">
        <f>'Balance Sheet'!D11+'Balance Sheet'!D12+'Balance Sheet'!D13</f>
        <v>40236</v>
      </c>
      <c r="H13" s="14"/>
      <c r="I13" s="14"/>
    </row>
    <row r="14" spans="2:11">
      <c r="D14" s="12">
        <f>-D12/D13</f>
        <v>0.50042013090394477</v>
      </c>
      <c r="E14" s="12">
        <f t="shared" ref="E14:F14" si="0">-E12/E13</f>
        <v>0.50449912881590564</v>
      </c>
      <c r="F14" s="12">
        <f t="shared" si="0"/>
        <v>0.50397653842330248</v>
      </c>
      <c r="H14" s="13">
        <f>D14/E14-1</f>
        <v>-8.0852427268498506E-3</v>
      </c>
      <c r="I14" s="13">
        <f>E14/F14-1</f>
        <v>1.0369339696607582E-3</v>
      </c>
    </row>
    <row r="16" spans="2:11">
      <c r="B16" s="122" t="s">
        <v>201</v>
      </c>
      <c r="C16" s="122"/>
      <c r="D16" s="122"/>
      <c r="E16" s="122"/>
      <c r="F16" s="122"/>
      <c r="G16" s="115" t="s">
        <v>205</v>
      </c>
      <c r="H16" s="115"/>
      <c r="I16" s="115"/>
      <c r="J16" s="115"/>
      <c r="K16" s="19"/>
    </row>
    <row r="17" spans="2:10">
      <c r="D17" s="46">
        <v>2022</v>
      </c>
      <c r="E17" s="46">
        <v>2021</v>
      </c>
      <c r="F17" s="46">
        <v>2020</v>
      </c>
    </row>
    <row r="18" spans="2:10">
      <c r="B18" t="s">
        <v>203</v>
      </c>
      <c r="D18" s="17">
        <f>D13</f>
        <v>45224</v>
      </c>
      <c r="E18" s="17">
        <f t="shared" ref="E18:F18" si="1">E13</f>
        <v>41897</v>
      </c>
      <c r="F18" s="17">
        <f t="shared" si="1"/>
        <v>40236</v>
      </c>
    </row>
    <row r="19" spans="2:10">
      <c r="B19" s="34" t="s">
        <v>204</v>
      </c>
      <c r="C19" s="34"/>
      <c r="D19" s="44">
        <f>'Cash Flow'!B6</f>
        <v>2700</v>
      </c>
      <c r="E19" s="44">
        <f>'Cash Flow'!C6</f>
        <v>2642</v>
      </c>
      <c r="F19" s="44">
        <f>'Cash Flow'!D6</f>
        <v>2485</v>
      </c>
    </row>
    <row r="20" spans="2:10">
      <c r="D20" s="47">
        <f>D18/D19</f>
        <v>16.749629629629631</v>
      </c>
      <c r="E20" s="47">
        <f t="shared" ref="E20:F20" si="2">E18/E19</f>
        <v>15.858062074186222</v>
      </c>
      <c r="F20" s="47">
        <f t="shared" si="2"/>
        <v>16.191549295774649</v>
      </c>
      <c r="H20" s="48">
        <f>D20/E20-1</f>
        <v>5.622172187701957E-2</v>
      </c>
      <c r="I20" s="48">
        <f>E20/F20-1</f>
        <v>-2.0596375028512859E-2</v>
      </c>
    </row>
    <row r="23" spans="2:10">
      <c r="B23" s="122" t="s">
        <v>207</v>
      </c>
      <c r="C23" s="122"/>
      <c r="D23" s="122"/>
      <c r="E23" s="122"/>
      <c r="F23" s="122"/>
      <c r="G23" s="122"/>
      <c r="H23" s="122"/>
      <c r="I23" s="122"/>
    </row>
    <row r="24" spans="2:10">
      <c r="B24" s="14" t="s">
        <v>208</v>
      </c>
      <c r="G24" s="119" t="s">
        <v>228</v>
      </c>
      <c r="H24" s="119"/>
      <c r="I24" s="119"/>
    </row>
    <row r="25" spans="2:10">
      <c r="G25" t="s">
        <v>229</v>
      </c>
      <c r="H25" t="s">
        <v>230</v>
      </c>
      <c r="I25" t="s">
        <v>231</v>
      </c>
    </row>
    <row r="26" spans="2:10">
      <c r="B26" t="s">
        <v>209</v>
      </c>
      <c r="C26">
        <v>-2072</v>
      </c>
      <c r="E26" t="s">
        <v>223</v>
      </c>
      <c r="G26">
        <v>1</v>
      </c>
      <c r="H26">
        <v>386</v>
      </c>
      <c r="I26" s="49">
        <f>PV($C$44,G26,0,H26)</f>
        <v>-372.54357701095739</v>
      </c>
    </row>
    <row r="27" spans="2:10">
      <c r="B27" t="s">
        <v>210</v>
      </c>
      <c r="C27">
        <v>194</v>
      </c>
      <c r="G27">
        <v>2</v>
      </c>
      <c r="H27">
        <v>379</v>
      </c>
      <c r="I27" s="49">
        <f>PV($C$44,G27,0,H27)</f>
        <v>-353.03581073742345</v>
      </c>
    </row>
    <row r="28" spans="2:10">
      <c r="B28" t="s">
        <v>211</v>
      </c>
      <c r="C28">
        <v>175</v>
      </c>
      <c r="E28" s="50" t="s">
        <v>249</v>
      </c>
      <c r="G28">
        <v>3</v>
      </c>
      <c r="H28">
        <v>362</v>
      </c>
      <c r="I28" s="49">
        <f>PV($C$44,G28,0,H28)</f>
        <v>-325.44521987039855</v>
      </c>
    </row>
    <row r="29" spans="2:10">
      <c r="B29" t="s">
        <v>212</v>
      </c>
      <c r="C29">
        <v>174</v>
      </c>
      <c r="E29">
        <f>1826/H30</f>
        <v>5.5166163141993954</v>
      </c>
      <c r="G29">
        <v>4</v>
      </c>
      <c r="H29">
        <v>345</v>
      </c>
      <c r="I29" s="49">
        <f>PV($C$44,G29,0,H29)</f>
        <v>-299.34926562572878</v>
      </c>
    </row>
    <row r="30" spans="2:10">
      <c r="B30" t="s">
        <v>213</v>
      </c>
      <c r="C30">
        <v>175</v>
      </c>
      <c r="G30">
        <v>5</v>
      </c>
      <c r="H30">
        <v>331</v>
      </c>
      <c r="I30" s="49">
        <f>PV($C$44,G30,0,H30)</f>
        <v>-277.18956138386909</v>
      </c>
    </row>
    <row r="31" spans="2:10">
      <c r="B31" t="s">
        <v>214</v>
      </c>
      <c r="C31">
        <v>175</v>
      </c>
      <c r="G31" s="119" t="s">
        <v>232</v>
      </c>
      <c r="H31" s="119"/>
      <c r="I31" s="49">
        <f>SUM(I26:I30)</f>
        <v>-1627.5634346283773</v>
      </c>
      <c r="J31" s="49"/>
    </row>
    <row r="32" spans="2:10">
      <c r="B32" t="s">
        <v>215</v>
      </c>
      <c r="C32">
        <v>175</v>
      </c>
    </row>
    <row r="33" spans="2:10">
      <c r="B33" t="s">
        <v>216</v>
      </c>
      <c r="C33">
        <v>175</v>
      </c>
      <c r="G33" s="122" t="s">
        <v>233</v>
      </c>
      <c r="H33" s="122"/>
      <c r="I33" s="122"/>
    </row>
    <row r="34" spans="2:10">
      <c r="B34" t="s">
        <v>217</v>
      </c>
      <c r="C34">
        <v>175</v>
      </c>
    </row>
    <row r="35" spans="2:10">
      <c r="B35" t="s">
        <v>218</v>
      </c>
      <c r="C35">
        <v>175</v>
      </c>
      <c r="G35" s="115" t="s">
        <v>234</v>
      </c>
      <c r="H35" s="115"/>
      <c r="I35" s="49">
        <f>PV(C44,E29,H30,0)</f>
        <v>-1629.1455368609309</v>
      </c>
      <c r="J35" s="49"/>
    </row>
    <row r="36" spans="2:10">
      <c r="B36" t="s">
        <v>219</v>
      </c>
      <c r="C36">
        <v>175</v>
      </c>
    </row>
    <row r="37" spans="2:10">
      <c r="B37" t="s">
        <v>220</v>
      </c>
      <c r="C37">
        <v>175</v>
      </c>
      <c r="G37" s="115" t="s">
        <v>235</v>
      </c>
      <c r="H37" s="115"/>
      <c r="I37" s="49">
        <f>PV(C44,5,0,I35)</f>
        <v>1364.2964857793636</v>
      </c>
      <c r="J37" s="49"/>
    </row>
    <row r="38" spans="2:10">
      <c r="B38" t="s">
        <v>221</v>
      </c>
      <c r="C38">
        <v>175</v>
      </c>
    </row>
    <row r="39" spans="2:10">
      <c r="B39" t="s">
        <v>222</v>
      </c>
      <c r="C39">
        <v>175</v>
      </c>
      <c r="G39" s="115" t="s">
        <v>236</v>
      </c>
      <c r="H39" s="115"/>
      <c r="I39" s="49">
        <f>-I35+I37</f>
        <v>2993.4420226402945</v>
      </c>
    </row>
    <row r="40" spans="2:10">
      <c r="B40" t="s">
        <v>224</v>
      </c>
      <c r="C40">
        <v>175</v>
      </c>
    </row>
    <row r="41" spans="2:10">
      <c r="B41" t="s">
        <v>225</v>
      </c>
      <c r="C41">
        <v>175</v>
      </c>
    </row>
    <row r="42" spans="2:10">
      <c r="B42" t="s">
        <v>226</v>
      </c>
      <c r="C42">
        <v>97</v>
      </c>
    </row>
    <row r="44" spans="2:10">
      <c r="B44" t="s">
        <v>227</v>
      </c>
      <c r="C44" s="5">
        <f>IRR(C26:C42)</f>
        <v>3.6120399919408186E-2</v>
      </c>
    </row>
    <row r="46" spans="2:10">
      <c r="B46" s="49" t="s">
        <v>237</v>
      </c>
      <c r="C46" s="49"/>
      <c r="D46" s="49">
        <f>I39*C44</f>
        <v>108.12432299332957</v>
      </c>
    </row>
    <row r="48" spans="2:10" ht="15" customHeight="1">
      <c r="B48" s="122" t="s">
        <v>250</v>
      </c>
      <c r="C48" s="122"/>
      <c r="D48" s="122"/>
      <c r="E48" s="122"/>
      <c r="F48" s="122"/>
      <c r="G48" s="122"/>
      <c r="H48" s="122"/>
      <c r="I48" s="122"/>
    </row>
    <row r="49" spans="2:9" ht="45">
      <c r="B49" s="34"/>
      <c r="C49" s="50" t="s">
        <v>243</v>
      </c>
      <c r="D49" s="50" t="s">
        <v>244</v>
      </c>
      <c r="E49" s="51" t="s">
        <v>245</v>
      </c>
      <c r="F49" s="50" t="s">
        <v>157</v>
      </c>
    </row>
    <row r="50" spans="2:9">
      <c r="B50" t="s">
        <v>238</v>
      </c>
      <c r="C50">
        <v>364</v>
      </c>
      <c r="D50">
        <v>-364</v>
      </c>
      <c r="E50">
        <v>0</v>
      </c>
      <c r="F50" s="35">
        <v>1</v>
      </c>
    </row>
    <row r="51" spans="2:9">
      <c r="B51" t="s">
        <v>239</v>
      </c>
      <c r="C51" s="49">
        <f>D19</f>
        <v>2700</v>
      </c>
      <c r="D51" s="49">
        <f>I54</f>
        <v>284.63927305197859</v>
      </c>
      <c r="E51" s="49">
        <f>C51+D51</f>
        <v>2984.6392730519788</v>
      </c>
      <c r="F51" s="5">
        <f>E51/C51-1</f>
        <v>0.10542195298221446</v>
      </c>
      <c r="H51" s="122" t="s">
        <v>246</v>
      </c>
      <c r="I51" s="122"/>
    </row>
    <row r="52" spans="2:9">
      <c r="B52" t="s">
        <v>240</v>
      </c>
      <c r="C52" s="17">
        <f>'Income Statement'!B7</f>
        <v>3848</v>
      </c>
      <c r="D52" s="49">
        <f>364-D51</f>
        <v>79.360726948021409</v>
      </c>
      <c r="E52" s="49">
        <f>C52+D52</f>
        <v>3927.3607269480212</v>
      </c>
      <c r="F52" s="5">
        <f>E52/C52-1</f>
        <v>2.0623889539506557E-2</v>
      </c>
      <c r="H52" t="s">
        <v>247</v>
      </c>
      <c r="I52" s="49">
        <f>I39</f>
        <v>2993.4420226402945</v>
      </c>
    </row>
    <row r="53" spans="2:9">
      <c r="B53" t="s">
        <v>241</v>
      </c>
      <c r="C53" s="17">
        <f>'Income Statement'!B8</f>
        <v>478</v>
      </c>
      <c r="D53" s="49">
        <f>I39*C44</f>
        <v>108.12432299332957</v>
      </c>
      <c r="E53" s="17">
        <f>C53+D53</f>
        <v>586.12432299332954</v>
      </c>
      <c r="F53" s="5">
        <f>E53/C53-1</f>
        <v>0.22620151253834631</v>
      </c>
      <c r="H53" s="34" t="s">
        <v>248</v>
      </c>
      <c r="I53" s="34">
        <f>5+E29</f>
        <v>10.516616314199396</v>
      </c>
    </row>
    <row r="54" spans="2:9">
      <c r="B54" t="s">
        <v>242</v>
      </c>
      <c r="C54" s="17">
        <f>'Cash Flow'!B17</f>
        <v>4018</v>
      </c>
      <c r="D54" s="49">
        <f>364-D53</f>
        <v>255.87567700667043</v>
      </c>
      <c r="E54" s="17">
        <f>C54+D54</f>
        <v>4273.8756770066702</v>
      </c>
      <c r="F54" s="5">
        <f>E54/C54-1</f>
        <v>6.3682348682595924E-2</v>
      </c>
      <c r="I54" s="49">
        <f>I52/I53</f>
        <v>284.63927305197859</v>
      </c>
    </row>
  </sheetData>
  <mergeCells count="15">
    <mergeCell ref="H51:I51"/>
    <mergeCell ref="B48:I48"/>
    <mergeCell ref="G31:H31"/>
    <mergeCell ref="G33:I33"/>
    <mergeCell ref="G35:H35"/>
    <mergeCell ref="G37:H37"/>
    <mergeCell ref="G39:H39"/>
    <mergeCell ref="G24:I24"/>
    <mergeCell ref="B4:E4"/>
    <mergeCell ref="H4:I4"/>
    <mergeCell ref="B2:I2"/>
    <mergeCell ref="B16:F16"/>
    <mergeCell ref="B10:F10"/>
    <mergeCell ref="G16:J16"/>
    <mergeCell ref="B23:I23"/>
  </mergeCells>
  <phoneticPr fontId="14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Cash Flow</vt:lpstr>
      <vt:lpstr>Balance Sheet</vt:lpstr>
      <vt:lpstr>Reformulated Balance Sheet</vt:lpstr>
      <vt:lpstr>Income Statement</vt:lpstr>
      <vt:lpstr>Dupont Analysis</vt:lpstr>
      <vt:lpstr>Reformulated Income Statement</vt:lpstr>
      <vt:lpstr>Penman Analysis</vt:lpstr>
      <vt:lpstr>Credit Risk </vt:lpstr>
      <vt:lpstr>Accouting Analysis</vt:lpstr>
      <vt:lpstr>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Fernandez</dc:creator>
  <cp:lastModifiedBy>Melvin Fernandez</cp:lastModifiedBy>
  <dcterms:created xsi:type="dcterms:W3CDTF">2024-02-14T16:56:50Z</dcterms:created>
  <dcterms:modified xsi:type="dcterms:W3CDTF">2025-08-29T05:47:29Z</dcterms:modified>
</cp:coreProperties>
</file>