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029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coola\Downloads\"/>
    </mc:Choice>
  </mc:AlternateContent>
  <xr:revisionPtr revIDLastSave="0" documentId="13_ncr:1_{6BB98998-7FC6-4801-8BD6-5E168FE2F5F8}" xr6:coauthVersionLast="47" xr6:coauthVersionMax="47" xr10:uidLastSave="{00000000-0000-0000-0000-000000000000}"/>
  <bookViews>
    <workbookView xWindow="-120" yWindow="-120" windowWidth="29040" windowHeight="15720" activeTab="4" xr2:uid="{00000000-000D-0000-FFFF-FFFF00000000}"/>
  </bookViews>
  <sheets>
    <sheet name="IS" sheetId="192" r:id="rId1"/>
    <sheet name="Reform_BS" sheetId="190" r:id="rId2"/>
    <sheet name="Reform_IS" sheetId="179" r:id="rId3"/>
    <sheet name="Forecast" sheetId="185" r:id="rId4"/>
    <sheet name="Valuation" sheetId="193" r:id="rId5"/>
  </sheets>
  <definedNames>
    <definedName name="_xlnm.Print_Area" localSheetId="3">Forecast!$A$2:$I$47</definedName>
    <definedName name="_xlnm.Print_Area" localSheetId="0">IS!$A$1:$K$26</definedName>
    <definedName name="_xlnm.Print_Area" localSheetId="1">Reform_BS!$G$2:$N$39</definedName>
    <definedName name="_xlnm.Print_Area" localSheetId="2">Reform_IS!$F$1:$M$23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6" i="185" l="1"/>
  <c r="B5" i="185" l="1"/>
  <c r="C8" i="193" l="1"/>
  <c r="C12" i="193"/>
  <c r="J5" i="193"/>
  <c r="C35" i="193"/>
  <c r="C10" i="193"/>
  <c r="C51" i="193"/>
  <c r="C44" i="193"/>
  <c r="D43" i="193"/>
  <c r="E43" i="193"/>
  <c r="F43" i="193"/>
  <c r="G43" i="193"/>
  <c r="C43" i="193"/>
  <c r="C27" i="193"/>
  <c r="D26" i="193"/>
  <c r="E26" i="193"/>
  <c r="F26" i="193"/>
  <c r="G26" i="193"/>
  <c r="C26" i="193"/>
  <c r="J11" i="193"/>
  <c r="J6" i="193"/>
  <c r="J7" i="193"/>
  <c r="J8" i="193"/>
  <c r="J9" i="193"/>
  <c r="J10" i="193"/>
  <c r="H11" i="193"/>
  <c r="C15" i="193"/>
  <c r="C16" i="193" s="1"/>
  <c r="C18" i="193" s="1"/>
  <c r="H24" i="185"/>
  <c r="G24" i="185"/>
  <c r="D23" i="185"/>
  <c r="C23" i="185"/>
  <c r="B23" i="185"/>
  <c r="D8" i="185"/>
  <c r="C8" i="185"/>
  <c r="D5" i="185"/>
  <c r="C5" i="185"/>
  <c r="B8" i="185"/>
  <c r="K26" i="192"/>
  <c r="J26" i="192"/>
  <c r="K25" i="192"/>
  <c r="J25" i="192"/>
  <c r="K23" i="192"/>
  <c r="J23" i="192"/>
  <c r="K21" i="192"/>
  <c r="J21" i="192"/>
  <c r="K17" i="192"/>
  <c r="J17" i="192"/>
  <c r="H17" i="192"/>
  <c r="G17" i="192"/>
  <c r="K15" i="192"/>
  <c r="J15" i="192"/>
  <c r="K14" i="192"/>
  <c r="J14" i="192"/>
  <c r="H14" i="192"/>
  <c r="G14" i="192"/>
  <c r="F14" i="192"/>
  <c r="K12" i="192"/>
  <c r="J12" i="192"/>
  <c r="H12" i="192"/>
  <c r="K11" i="192"/>
  <c r="J11" i="192"/>
  <c r="K9" i="192"/>
  <c r="J9" i="192"/>
  <c r="H9" i="192"/>
  <c r="G9" i="192"/>
  <c r="F9" i="192"/>
  <c r="D8" i="192"/>
  <c r="H7" i="192" s="1"/>
  <c r="C8" i="192"/>
  <c r="G12" i="192" s="1"/>
  <c r="B8" i="192"/>
  <c r="F17" i="192" s="1"/>
  <c r="K7" i="192"/>
  <c r="J7" i="192"/>
  <c r="K6" i="192"/>
  <c r="J6" i="192"/>
  <c r="G6" i="192"/>
  <c r="F6" i="192"/>
  <c r="K4" i="192"/>
  <c r="J4" i="192"/>
  <c r="H4" i="192"/>
  <c r="G4" i="192"/>
  <c r="F4" i="192"/>
  <c r="C19" i="193" l="1"/>
  <c r="C20" i="193" s="1"/>
  <c r="B10" i="192"/>
  <c r="F11" i="192"/>
  <c r="H6" i="192"/>
  <c r="G11" i="192"/>
  <c r="F8" i="192"/>
  <c r="H11" i="192"/>
  <c r="G8" i="192"/>
  <c r="C10" i="192"/>
  <c r="F15" i="192"/>
  <c r="F7" i="192"/>
  <c r="H8" i="192"/>
  <c r="D10" i="192"/>
  <c r="G15" i="192"/>
  <c r="G7" i="192"/>
  <c r="J8" i="192"/>
  <c r="F12" i="192"/>
  <c r="H15" i="192"/>
  <c r="K8" i="192"/>
  <c r="D45" i="193" l="1"/>
  <c r="D46" i="193"/>
  <c r="E46" i="193"/>
  <c r="H46" i="193"/>
  <c r="G46" i="193"/>
  <c r="F46" i="193"/>
  <c r="D30" i="193"/>
  <c r="E30" i="193"/>
  <c r="F30" i="193"/>
  <c r="G30" i="193"/>
  <c r="H30" i="193"/>
  <c r="G10" i="192"/>
  <c r="C13" i="192"/>
  <c r="K10" i="192"/>
  <c r="D13" i="192"/>
  <c r="H10" i="192"/>
  <c r="F10" i="192"/>
  <c r="J10" i="192"/>
  <c r="B13" i="192"/>
  <c r="D47" i="193" l="1"/>
  <c r="G13" i="192"/>
  <c r="C16" i="192"/>
  <c r="K13" i="192"/>
  <c r="H13" i="192"/>
  <c r="D16" i="192"/>
  <c r="J13" i="192"/>
  <c r="F13" i="192"/>
  <c r="B16" i="192"/>
  <c r="J16" i="192" l="1"/>
  <c r="B18" i="192"/>
  <c r="F16" i="192"/>
  <c r="D18" i="192"/>
  <c r="H18" i="192" s="1"/>
  <c r="H16" i="192"/>
  <c r="K16" i="192"/>
  <c r="C18" i="192"/>
  <c r="G16" i="192"/>
  <c r="G18" i="192" l="1"/>
  <c r="K18" i="192"/>
  <c r="F18" i="192"/>
  <c r="J18" i="192"/>
  <c r="I36" i="185" l="1"/>
  <c r="H36" i="185"/>
  <c r="G36" i="185"/>
  <c r="F36" i="185"/>
  <c r="C9" i="185" l="1"/>
  <c r="D13" i="185"/>
  <c r="C13" i="185"/>
  <c r="E13" i="185" s="1"/>
  <c r="E12" i="185" s="1"/>
  <c r="C33" i="185"/>
  <c r="B33" i="185"/>
  <c r="E14" i="185" l="1"/>
  <c r="D33" i="185"/>
  <c r="B15" i="185" l="1"/>
  <c r="D14" i="185" l="1"/>
  <c r="C14" i="185"/>
  <c r="D15" i="185"/>
  <c r="E15" i="185" s="1"/>
  <c r="E19" i="185" l="1"/>
  <c r="E18" i="185"/>
  <c r="C24" i="185"/>
  <c r="E24" i="185" s="1"/>
  <c r="D24" i="185"/>
  <c r="F24" i="185" l="1"/>
  <c r="E23" i="185" l="1"/>
  <c r="F23" i="185" l="1"/>
  <c r="G23" i="185"/>
  <c r="H23" i="185" l="1"/>
  <c r="I23" i="185" l="1"/>
  <c r="B9" i="185" l="1"/>
  <c r="D9" i="185"/>
  <c r="C21" i="185"/>
  <c r="C26" i="185" s="1"/>
  <c r="I41" i="185"/>
  <c r="H41" i="185"/>
  <c r="G41" i="185"/>
  <c r="F41" i="185"/>
  <c r="E41" i="185"/>
  <c r="D41" i="185"/>
  <c r="C41" i="185"/>
  <c r="B41" i="185"/>
  <c r="C10" i="185" l="1"/>
  <c r="D21" i="185"/>
  <c r="D26" i="185" s="1"/>
  <c r="D10" i="185"/>
  <c r="B21" i="185"/>
  <c r="B26" i="185" s="1"/>
  <c r="C29" i="185"/>
  <c r="C34" i="185" s="1"/>
  <c r="F15" i="185"/>
  <c r="C7" i="185"/>
  <c r="D7" i="185"/>
  <c r="C15" i="185"/>
  <c r="D16" i="185" s="1"/>
  <c r="C36" i="185" l="1"/>
  <c r="E5" i="185"/>
  <c r="F13" i="185"/>
  <c r="G13" i="185" s="1"/>
  <c r="H13" i="185" s="1"/>
  <c r="G15" i="185"/>
  <c r="H15" i="185" s="1"/>
  <c r="F19" i="185"/>
  <c r="B29" i="185"/>
  <c r="B34" i="185" s="1"/>
  <c r="B36" i="185" s="1"/>
  <c r="D29" i="185"/>
  <c r="D34" i="185" s="1"/>
  <c r="C16" i="185"/>
  <c r="C27" i="185"/>
  <c r="D27" i="185"/>
  <c r="I15" i="185" l="1"/>
  <c r="E7" i="185"/>
  <c r="F12" i="185"/>
  <c r="F14" i="185" s="1"/>
  <c r="F10" i="185"/>
  <c r="G10" i="185" s="1"/>
  <c r="H10" i="185" s="1"/>
  <c r="D35" i="185"/>
  <c r="E8" i="185"/>
  <c r="C35" i="185"/>
  <c r="D36" i="185"/>
  <c r="C42" i="185"/>
  <c r="C46" i="185" s="1"/>
  <c r="B42" i="185"/>
  <c r="B43" i="185" s="1"/>
  <c r="D42" i="185"/>
  <c r="D46" i="185" s="1"/>
  <c r="G12" i="185" l="1"/>
  <c r="G19" i="185"/>
  <c r="E21" i="185"/>
  <c r="F18" i="185"/>
  <c r="F5" i="185" s="1"/>
  <c r="F8" i="185"/>
  <c r="B46" i="185"/>
  <c r="B47" i="185"/>
  <c r="H12" i="185"/>
  <c r="H18" i="185" s="1"/>
  <c r="G18" i="185"/>
  <c r="C43" i="185"/>
  <c r="D44" i="185"/>
  <c r="D43" i="185"/>
  <c r="D47" i="185" s="1"/>
  <c r="C44" i="185"/>
  <c r="G5" i="185" l="1"/>
  <c r="G7" i="185" s="1"/>
  <c r="I19" i="185"/>
  <c r="G14" i="185"/>
  <c r="H19" i="185"/>
  <c r="H5" i="185" s="1"/>
  <c r="E6" i="185"/>
  <c r="E26" i="185"/>
  <c r="E34" i="185" s="1"/>
  <c r="F7" i="185"/>
  <c r="F21" i="185"/>
  <c r="F26" i="185" s="1"/>
  <c r="G8" i="185"/>
  <c r="E9" i="185"/>
  <c r="H14" i="185"/>
  <c r="I12" i="185"/>
  <c r="E43" i="185"/>
  <c r="E47" i="185" s="1"/>
  <c r="C47" i="185"/>
  <c r="E27" i="185" l="1"/>
  <c r="F6" i="185"/>
  <c r="F9" i="185"/>
  <c r="F34" i="185"/>
  <c r="F27" i="185"/>
  <c r="I14" i="185"/>
  <c r="I18" i="185"/>
  <c r="I5" i="185" s="1"/>
  <c r="H7" i="185"/>
  <c r="G21" i="185"/>
  <c r="H8" i="185"/>
  <c r="I8" i="185" s="1"/>
  <c r="E42" i="185"/>
  <c r="E35" i="185"/>
  <c r="F43" i="185"/>
  <c r="G43" i="185" s="1"/>
  <c r="D27" i="193" l="1"/>
  <c r="D28" i="193" s="1"/>
  <c r="D29" i="193" s="1"/>
  <c r="D31" i="193" s="1"/>
  <c r="D44" i="193"/>
  <c r="E45" i="193" s="1"/>
  <c r="E47" i="193" s="1"/>
  <c r="F35" i="185"/>
  <c r="G6" i="185"/>
  <c r="G26" i="185"/>
  <c r="G42" i="185" s="1"/>
  <c r="G9" i="185"/>
  <c r="I7" i="185"/>
  <c r="I21" i="185"/>
  <c r="I26" i="185" s="1"/>
  <c r="H21" i="185"/>
  <c r="E44" i="185"/>
  <c r="G47" i="185"/>
  <c r="F42" i="185"/>
  <c r="F47" i="185"/>
  <c r="H43" i="185"/>
  <c r="H47" i="185" s="1"/>
  <c r="E44" i="193" l="1"/>
  <c r="F45" i="193" s="1"/>
  <c r="F47" i="193" s="1"/>
  <c r="E27" i="193"/>
  <c r="E28" i="193" s="1"/>
  <c r="E29" i="193" s="1"/>
  <c r="E31" i="193" s="1"/>
  <c r="F44" i="193"/>
  <c r="G45" i="193" s="1"/>
  <c r="G47" i="193" s="1"/>
  <c r="F27" i="193"/>
  <c r="F28" i="193" s="1"/>
  <c r="F29" i="193" s="1"/>
  <c r="F31" i="193" s="1"/>
  <c r="G44" i="185"/>
  <c r="H6" i="185"/>
  <c r="H26" i="185"/>
  <c r="H42" i="185" s="1"/>
  <c r="G34" i="185"/>
  <c r="G27" i="185"/>
  <c r="I6" i="185"/>
  <c r="I9" i="185"/>
  <c r="H9" i="185"/>
  <c r="F46" i="185"/>
  <c r="F44" i="185"/>
  <c r="I43" i="185"/>
  <c r="I47" i="185" s="1"/>
  <c r="G27" i="193" l="1"/>
  <c r="G28" i="193" s="1"/>
  <c r="G29" i="193" s="1"/>
  <c r="G31" i="193" s="1"/>
  <c r="G44" i="193"/>
  <c r="H27" i="185"/>
  <c r="H34" i="185"/>
  <c r="H46" i="185" s="1"/>
  <c r="G46" i="185"/>
  <c r="G35" i="185"/>
  <c r="I34" i="185"/>
  <c r="I27" i="185"/>
  <c r="H44" i="185"/>
  <c r="I42" i="185"/>
  <c r="H27" i="193" l="1"/>
  <c r="H28" i="193" s="1"/>
  <c r="H44" i="193"/>
  <c r="H43" i="193"/>
  <c r="H45" i="193" s="1"/>
  <c r="H26" i="193"/>
  <c r="H35" i="185"/>
  <c r="I35" i="185"/>
  <c r="I46" i="185"/>
  <c r="I44" i="185"/>
  <c r="H47" i="193" l="1"/>
  <c r="C50" i="193" s="1"/>
  <c r="C52" i="193" s="1"/>
  <c r="C54" i="193" s="1"/>
  <c r="C56" i="193" s="1"/>
  <c r="H29" i="193"/>
  <c r="H31" i="193" s="1"/>
  <c r="C34" i="193" s="1"/>
  <c r="C36" i="193" s="1"/>
  <c r="C38" i="193" s="1"/>
  <c r="C40" i="193" s="1"/>
</calcChain>
</file>

<file path=xl/sharedStrings.xml><?xml version="1.0" encoding="utf-8"?>
<sst xmlns="http://schemas.openxmlformats.org/spreadsheetml/2006/main" count="261" uniqueCount="157">
  <si>
    <t>Consolidated Statements of Operations (USD $)</t>
  </si>
  <si>
    <t>In Millions, except Per Share data, unless otherwise specified</t>
  </si>
  <si>
    <t>Sales</t>
  </si>
  <si>
    <t>Cost of sales</t>
  </si>
  <si>
    <t>Selling, general and administrative expenses</t>
  </si>
  <si>
    <t>Depreciation and amortization</t>
  </si>
  <si>
    <t>Net interest expense</t>
  </si>
  <si>
    <t>Provision for income taxes</t>
  </si>
  <si>
    <t>Weighted average common shares outstanding</t>
  </si>
  <si>
    <t>Basic (in shares)</t>
  </si>
  <si>
    <t>Assets</t>
  </si>
  <si>
    <t>Inventory</t>
  </si>
  <si>
    <t>Other current assets</t>
  </si>
  <si>
    <t>Total current assets</t>
  </si>
  <si>
    <t>Land</t>
  </si>
  <si>
    <t>Buildings and improvements</t>
  </si>
  <si>
    <t>Fixtures and equipment</t>
  </si>
  <si>
    <t>Computer hardware and software</t>
  </si>
  <si>
    <t>Construction-in-progress</t>
  </si>
  <si>
    <t>Accumulated depreciation</t>
  </si>
  <si>
    <t>Other noncurrent assets</t>
  </si>
  <si>
    <t>Total assets</t>
  </si>
  <si>
    <t>Liabilities and shareholders' investment</t>
  </si>
  <si>
    <t>Accounts payable</t>
  </si>
  <si>
    <t>Accrued and other current liabilities</t>
  </si>
  <si>
    <t>Current portion of long-term debt and other borrowings</t>
  </si>
  <si>
    <t>Total current liabilities</t>
  </si>
  <si>
    <t>Long-term debt and other borrowings</t>
  </si>
  <si>
    <t>Deferred income taxes</t>
  </si>
  <si>
    <t>Other noncurrent liabilities</t>
  </si>
  <si>
    <t>Total noncurrent liabilities</t>
  </si>
  <si>
    <t>Shareholders' investment</t>
  </si>
  <si>
    <t>Common stock</t>
  </si>
  <si>
    <t>Additional paid-in capital</t>
  </si>
  <si>
    <t>Retained earnings</t>
  </si>
  <si>
    <t>Accumulated other comprehensive loss</t>
  </si>
  <si>
    <t>Total shareholders' investment</t>
  </si>
  <si>
    <t>Total liabilities and shareholders' investment</t>
  </si>
  <si>
    <t>Nominal Value</t>
  </si>
  <si>
    <t>Net Operating Assets</t>
  </si>
  <si>
    <t>Non-Operating Obligations &amp; Shareholders Equity</t>
  </si>
  <si>
    <t>Operating/Non-Operating</t>
  </si>
  <si>
    <t>N</t>
  </si>
  <si>
    <t>O</t>
  </si>
  <si>
    <t>Total Operating Assets</t>
  </si>
  <si>
    <t>Total Non-Operating Assets</t>
  </si>
  <si>
    <t>Total Non-Operating Liabilities</t>
  </si>
  <si>
    <t>Net Non-Operating Obligations</t>
  </si>
  <si>
    <t>Total Operating Liabilities</t>
  </si>
  <si>
    <t>Total Non-Operating Obligations &amp; Shareholders Equity</t>
  </si>
  <si>
    <t>Operating</t>
  </si>
  <si>
    <t>Non-Operating</t>
  </si>
  <si>
    <t>BOTH</t>
  </si>
  <si>
    <t>Provision for income taxes (on operations)</t>
  </si>
  <si>
    <t>Provision for income taxes (on non-operations)</t>
  </si>
  <si>
    <t>NOPAT</t>
  </si>
  <si>
    <t>Net Non-Operating Expense</t>
  </si>
  <si>
    <t>GROSS MARGIN</t>
  </si>
  <si>
    <t>Consolidated Statements of Operations</t>
  </si>
  <si>
    <t>Nominal Values</t>
  </si>
  <si>
    <t>Common Size</t>
  </si>
  <si>
    <t>% Change</t>
  </si>
  <si>
    <t>NOAT</t>
  </si>
  <si>
    <t>Check (NOPAT-NNE-Net Earnings from Cont Ops=0)</t>
  </si>
  <si>
    <t>REFORMULATED INCOME STATEMENT</t>
  </si>
  <si>
    <t>REFORMULATED BALANCE SHEET</t>
  </si>
  <si>
    <t>TERMINAL</t>
  </si>
  <si>
    <t>NOPAT Growth</t>
  </si>
  <si>
    <t>Income Statement</t>
  </si>
  <si>
    <t>Balance Sheet</t>
  </si>
  <si>
    <t>Total noncurrent assets</t>
  </si>
  <si>
    <t>Stores</t>
  </si>
  <si>
    <t>% Growth</t>
  </si>
  <si>
    <t>Revenues per store</t>
  </si>
  <si>
    <t>Store sales</t>
  </si>
  <si>
    <t>Digital sales</t>
  </si>
  <si>
    <t>Total Revenues</t>
  </si>
  <si>
    <t>Operating tax rate</t>
  </si>
  <si>
    <t>NOPAT, as reported</t>
  </si>
  <si>
    <t>Adjustments</t>
  </si>
  <si>
    <t>NOPAT, adjusted</t>
  </si>
  <si>
    <t>Check</t>
  </si>
  <si>
    <t>NOPM, adjusted</t>
  </si>
  <si>
    <t xml:space="preserve">RNOA </t>
  </si>
  <si>
    <t>NOA Growth</t>
  </si>
  <si>
    <t>Adjustment for: Other</t>
  </si>
  <si>
    <t>Adjustment for: Tax matters</t>
  </si>
  <si>
    <t>PP&amp;E, gross</t>
  </si>
  <si>
    <t>Net earnings</t>
  </si>
  <si>
    <t>New stores</t>
  </si>
  <si>
    <t>Net other (income) / expense</t>
  </si>
  <si>
    <t>Cash and cash equivalents</t>
  </si>
  <si>
    <t>Operating lease assets</t>
  </si>
  <si>
    <t>Noncurrent operating lease liabilities</t>
  </si>
  <si>
    <t>Total Revenue</t>
  </si>
  <si>
    <t>Other Revenue</t>
  </si>
  <si>
    <t>Sales from new stores (50% of existing store rev)</t>
  </si>
  <si>
    <t>Sales from existing stores</t>
  </si>
  <si>
    <t>Operating Income</t>
  </si>
  <si>
    <t>Diluted (in shares)</t>
  </si>
  <si>
    <t>Diluted earnings per share</t>
  </si>
  <si>
    <t>Basic earnings per share</t>
  </si>
  <si>
    <t>Statutory tax rate (fromFootnote 18 in 10k)</t>
  </si>
  <si>
    <t>2023E</t>
  </si>
  <si>
    <t>Note: The adjusted closing price has fluctuated from 178.72 to around 177.94. The non-adjusted close was 181.17 -- this is also fine to use.</t>
  </si>
  <si>
    <t>2020A</t>
  </si>
  <si>
    <t>2024E</t>
  </si>
  <si>
    <t>PP&amp;E, net</t>
  </si>
  <si>
    <t>2021A</t>
  </si>
  <si>
    <t>2025E</t>
  </si>
  <si>
    <t>Adjustment for: Gain on Dermstore Sale</t>
  </si>
  <si>
    <t>Total Sales</t>
  </si>
  <si>
    <t>Store Common-size %</t>
  </si>
  <si>
    <t>Digital Common-size %</t>
  </si>
  <si>
    <t>Net earnings per share</t>
  </si>
  <si>
    <t>Net earnigns per share</t>
  </si>
  <si>
    <t>Earnings before income taxes</t>
  </si>
  <si>
    <t>2022A</t>
  </si>
  <si>
    <t>2026E</t>
  </si>
  <si>
    <t>PV of FCFF</t>
  </si>
  <si>
    <t>WACC</t>
  </si>
  <si>
    <t>NOPAT - Decrease in NOA</t>
  </si>
  <si>
    <t>Increase in NOA</t>
  </si>
  <si>
    <t>NOA</t>
  </si>
  <si>
    <t>Terminal</t>
  </si>
  <si>
    <t>Year</t>
  </si>
  <si>
    <t>Equity/Firm</t>
  </si>
  <si>
    <t>Debt/Firm</t>
  </si>
  <si>
    <t>Market Value of Firm</t>
  </si>
  <si>
    <t>Market Value of Equity</t>
  </si>
  <si>
    <t>Market Value of Debt</t>
  </si>
  <si>
    <t>Cost of Debt Capital</t>
  </si>
  <si>
    <t>Statutory tax rate</t>
  </si>
  <si>
    <t>2048-2052</t>
  </si>
  <si>
    <t>Average Rate for Debt</t>
  </si>
  <si>
    <t>2043-2047</t>
  </si>
  <si>
    <t>2038-2042</t>
  </si>
  <si>
    <t>Cost of Equity</t>
  </si>
  <si>
    <t>2033-2037</t>
  </si>
  <si>
    <t>Market return</t>
  </si>
  <si>
    <t>2028-2032</t>
  </si>
  <si>
    <t>Risk Free Rate</t>
  </si>
  <si>
    <t>2023-2027</t>
  </si>
  <si>
    <t>Beta</t>
  </si>
  <si>
    <t>Weighted</t>
  </si>
  <si>
    <t>Interest Rate</t>
  </si>
  <si>
    <t>Debt</t>
  </si>
  <si>
    <t>TGT</t>
  </si>
  <si>
    <t>Firm Value</t>
  </si>
  <si>
    <t>NNO</t>
  </si>
  <si>
    <t>Equity Value</t>
  </si>
  <si>
    <t>Shares O/S</t>
  </si>
  <si>
    <t>Share Price</t>
  </si>
  <si>
    <t>Actual Price</t>
  </si>
  <si>
    <t>ROPI</t>
  </si>
  <si>
    <t>PV of ROPI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</si>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</sst>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6" formatCode="&quot;$&quot;#,##0_);[Red]\(&quot;$&quot;#,##0\)"/>
    <numFmt numFmtId="43" formatCode="_(* #,##0.00_);_(* \(#,##0.00\);_(* &quot;-&quot;??_);_(@_)"/>
    <numFmt numFmtId="164" formatCode="_-* #,##0.00_-;\-* #,##0.00_-;_-* &quot;-&quot;??_-;_-@_-"/>
    <numFmt numFmtId="165" formatCode="0.0%"/>
    <numFmt numFmtId="166" formatCode="_(* #,##0_);_(* \(#,##0\);_(* &quot;-&quot;??_);_(@_)"/>
    <numFmt numFmtId="167" formatCode="_-* #,##0_-;\-* #,##0_-;_-* &quot;-&quot;??_-;_-@_-"/>
    <numFmt numFmtId="168" formatCode="_(&quot;$ &quot;#,##0_);_(&quot;$ &quot;\(#,##0\)"/>
    <numFmt numFmtId="169" formatCode="_(&quot;$ &quot;#,##0.00_);_(&quot;$ &quot;\(#,##0.00\)"/>
    <numFmt numFmtId="170" formatCode="0.0000000000000000%"/>
    <numFmt numFmtId="171" formatCode="0.000000000000000%"/>
  </numFmts>
  <fonts count="3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  <font>
      <b/>
      <sz val="11"/>
      <color theme="1"/>
      <name val="Book Antiqua"/>
      <family val="1"/>
    </font>
    <font>
      <sz val="11"/>
      <color theme="1"/>
      <name val="Book Antiqua"/>
      <family val="1"/>
    </font>
    <font>
      <sz val="11"/>
      <name val="Book Antiqua"/>
      <family val="1"/>
    </font>
    <font>
      <u/>
      <sz val="11"/>
      <name val="Book Antiqua"/>
      <family val="1"/>
    </font>
    <font>
      <b/>
      <sz val="11"/>
      <name val="Book Antiqua"/>
      <family val="1"/>
    </font>
    <font>
      <u/>
      <sz val="11"/>
      <color theme="1"/>
      <name val="Book Antiqua"/>
      <family val="1"/>
    </font>
    <font>
      <b/>
      <sz val="11"/>
      <color rgb="FF000000"/>
      <name val="Book Antiqua"/>
      <family val="1"/>
    </font>
    <font>
      <sz val="11"/>
      <color rgb="FF000000"/>
      <name val="Book Antiqua"/>
      <family val="1"/>
    </font>
    <font>
      <i/>
      <sz val="11"/>
      <color theme="0" tint="-0.499984740745262"/>
      <name val="Book Antiqua"/>
      <family val="1"/>
    </font>
    <font>
      <b/>
      <u/>
      <sz val="11"/>
      <color theme="1"/>
      <name val="Book Antiqua"/>
      <family val="1"/>
    </font>
    <font>
      <i/>
      <sz val="11"/>
      <color rgb="FF808080"/>
      <name val="Book Antiqua"/>
      <family val="1"/>
    </font>
    <font>
      <b/>
      <i/>
      <sz val="11"/>
      <color theme="0" tint="-0.499984740745262"/>
      <name val="Book Antiqua"/>
      <family val="1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theme="4" tint="-0.249977111117893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theme="1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theme="1"/>
      </bottom>
      <diagonal/>
    </border>
    <border>
      <left/>
      <right style="thin">
        <color indexed="64"/>
      </right>
      <top/>
      <bottom style="thin">
        <color theme="1"/>
      </bottom>
      <diagonal/>
    </border>
  </borders>
  <cellStyleXfs count="1355">
    <xf numFmtId="0" fontId="0" fillId="0" borderId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3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19" fillId="12" borderId="0" applyNumberFormat="0" applyBorder="0" applyAlignment="0" applyProtection="0"/>
    <xf numFmtId="0" fontId="19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19" fillId="16" borderId="0" applyNumberFormat="0" applyBorder="0" applyAlignment="0" applyProtection="0"/>
    <xf numFmtId="0" fontId="19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19" fillId="20" borderId="0" applyNumberFormat="0" applyBorder="0" applyAlignment="0" applyProtection="0"/>
    <xf numFmtId="0" fontId="19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19" fillId="24" borderId="0" applyNumberFormat="0" applyBorder="0" applyAlignment="0" applyProtection="0"/>
    <xf numFmtId="0" fontId="19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19" fillId="28" borderId="0" applyNumberFormat="0" applyBorder="0" applyAlignment="0" applyProtection="0"/>
    <xf numFmtId="0" fontId="19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19" fillId="32" borderId="0" applyNumberFormat="0" applyBorder="0" applyAlignment="0" applyProtection="0"/>
    <xf numFmtId="9" fontId="3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" fillId="0" borderId="0"/>
    <xf numFmtId="43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164" fontId="3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1" fillId="0" borderId="0"/>
  </cellStyleXfs>
  <cellXfs count="182">
    <xf numFmtId="0" fontId="0" fillId="0" borderId="0" xfId="0"/>
    <xf numFmtId="0" fontId="24" fillId="0" borderId="0" xfId="0" applyFont="1" applyAlignment="1">
      <alignment horizontal="center" vertical="center" wrapText="1"/>
    </xf>
    <xf numFmtId="0" fontId="24" fillId="0" borderId="0" xfId="0" applyFont="1" applyAlignment="1">
      <alignment vertical="center" wrapText="1"/>
    </xf>
    <xf numFmtId="0" fontId="25" fillId="0" borderId="0" xfId="0" applyFont="1"/>
    <xf numFmtId="0" fontId="24" fillId="0" borderId="0" xfId="0" applyFont="1" applyAlignment="1">
      <alignment vertical="top" wrapText="1"/>
    </xf>
    <xf numFmtId="0" fontId="25" fillId="0" borderId="0" xfId="0" applyFont="1" applyAlignment="1">
      <alignment vertical="top" wrapText="1"/>
    </xf>
    <xf numFmtId="168" fontId="26" fillId="0" borderId="0" xfId="0" applyNumberFormat="1" applyFont="1" applyAlignment="1">
      <alignment horizontal="right" vertical="top"/>
    </xf>
    <xf numFmtId="10" fontId="25" fillId="0" borderId="0" xfId="42" applyNumberFormat="1" applyFont="1"/>
    <xf numFmtId="168" fontId="27" fillId="0" borderId="0" xfId="0" applyNumberFormat="1" applyFont="1" applyAlignment="1">
      <alignment horizontal="right" vertical="top"/>
    </xf>
    <xf numFmtId="168" fontId="28" fillId="0" borderId="0" xfId="0" applyNumberFormat="1" applyFont="1" applyAlignment="1">
      <alignment horizontal="right" vertical="top"/>
    </xf>
    <xf numFmtId="37" fontId="27" fillId="0" borderId="0" xfId="0" applyNumberFormat="1" applyFont="1" applyAlignment="1">
      <alignment horizontal="right" vertical="top"/>
    </xf>
    <xf numFmtId="10" fontId="29" fillId="0" borderId="0" xfId="42" applyNumberFormat="1" applyFont="1"/>
    <xf numFmtId="37" fontId="28" fillId="0" borderId="0" xfId="0" applyNumberFormat="1" applyFont="1" applyAlignment="1">
      <alignment horizontal="right" vertical="top"/>
    </xf>
    <xf numFmtId="0" fontId="24" fillId="0" borderId="0" xfId="0" applyFont="1"/>
    <xf numFmtId="10" fontId="24" fillId="0" borderId="0" xfId="42" applyNumberFormat="1" applyFont="1"/>
    <xf numFmtId="37" fontId="26" fillId="0" borderId="0" xfId="0" applyNumberFormat="1" applyFont="1" applyAlignment="1">
      <alignment horizontal="right" vertical="top"/>
    </xf>
    <xf numFmtId="0" fontId="24" fillId="0" borderId="0" xfId="0" applyFont="1" applyAlignment="1">
      <alignment wrapText="1"/>
    </xf>
    <xf numFmtId="37" fontId="28" fillId="0" borderId="0" xfId="0" applyNumberFormat="1" applyFont="1" applyAlignment="1">
      <alignment horizontal="right"/>
    </xf>
    <xf numFmtId="10" fontId="24" fillId="0" borderId="0" xfId="42" applyNumberFormat="1" applyFont="1" applyAlignment="1"/>
    <xf numFmtId="165" fontId="24" fillId="0" borderId="0" xfId="42" applyNumberFormat="1" applyFont="1"/>
    <xf numFmtId="0" fontId="28" fillId="0" borderId="0" xfId="0" applyFont="1" applyAlignment="1">
      <alignment vertical="top" wrapText="1"/>
    </xf>
    <xf numFmtId="165" fontId="25" fillId="0" borderId="0" xfId="42" applyNumberFormat="1" applyFont="1"/>
    <xf numFmtId="0" fontId="26" fillId="0" borderId="0" xfId="0" applyFont="1" applyAlignment="1">
      <alignment vertical="top" wrapText="1"/>
    </xf>
    <xf numFmtId="169" fontId="26" fillId="0" borderId="0" xfId="0" applyNumberFormat="1" applyFont="1" applyAlignment="1">
      <alignment horizontal="right" vertical="top"/>
    </xf>
    <xf numFmtId="39" fontId="26" fillId="0" borderId="0" xfId="0" applyNumberFormat="1" applyFont="1" applyAlignment="1">
      <alignment horizontal="right" vertical="top"/>
    </xf>
    <xf numFmtId="0" fontId="25" fillId="0" borderId="0" xfId="0" applyFont="1" applyAlignment="1">
      <alignment horizontal="left"/>
    </xf>
    <xf numFmtId="0" fontId="24" fillId="0" borderId="0" xfId="0" applyFont="1" applyAlignment="1">
      <alignment horizontal="center" wrapText="1"/>
    </xf>
    <xf numFmtId="0" fontId="30" fillId="0" borderId="0" xfId="0" applyFont="1" applyAlignment="1">
      <alignment vertical="top" wrapText="1"/>
    </xf>
    <xf numFmtId="0" fontId="25" fillId="0" borderId="0" xfId="0" applyFont="1" applyAlignment="1">
      <alignment wrapText="1"/>
    </xf>
    <xf numFmtId="9" fontId="25" fillId="0" borderId="0" xfId="42" applyFont="1"/>
    <xf numFmtId="9" fontId="24" fillId="0" borderId="0" xfId="42" applyFont="1"/>
    <xf numFmtId="37" fontId="24" fillId="0" borderId="0" xfId="0" applyNumberFormat="1" applyFont="1" applyAlignment="1">
      <alignment horizontal="right"/>
    </xf>
    <xf numFmtId="0" fontId="31" fillId="0" borderId="0" xfId="0" applyFont="1" applyAlignment="1">
      <alignment vertical="top" wrapText="1"/>
    </xf>
    <xf numFmtId="0" fontId="25" fillId="0" borderId="0" xfId="0" applyFont="1" applyAlignment="1">
      <alignment horizontal="center" vertical="center" wrapText="1"/>
    </xf>
    <xf numFmtId="6" fontId="25" fillId="0" borderId="0" xfId="0" applyNumberFormat="1" applyFont="1"/>
    <xf numFmtId="0" fontId="24" fillId="0" borderId="0" xfId="0" applyFont="1" applyAlignment="1">
      <alignment horizontal="center"/>
    </xf>
    <xf numFmtId="0" fontId="25" fillId="0" borderId="0" xfId="0" applyFont="1" applyAlignment="1">
      <alignment horizontal="left" vertical="center" wrapText="1"/>
    </xf>
    <xf numFmtId="0" fontId="24" fillId="0" borderId="0" xfId="0" applyFont="1" applyAlignment="1">
      <alignment horizontal="left" vertical="center" wrapText="1"/>
    </xf>
    <xf numFmtId="167" fontId="25" fillId="0" borderId="0" xfId="249" applyNumberFormat="1" applyFont="1" applyAlignment="1">
      <alignment horizontal="center" vertical="center" wrapText="1"/>
    </xf>
    <xf numFmtId="0" fontId="25" fillId="0" borderId="0" xfId="0" applyFont="1" applyAlignment="1">
      <alignment horizontal="center" wrapText="1"/>
    </xf>
    <xf numFmtId="168" fontId="25" fillId="0" borderId="0" xfId="0" applyNumberFormat="1" applyFont="1" applyAlignment="1">
      <alignment horizontal="right"/>
    </xf>
    <xf numFmtId="6" fontId="25" fillId="0" borderId="0" xfId="0" applyNumberFormat="1" applyFont="1" applyAlignment="1">
      <alignment wrapText="1"/>
    </xf>
    <xf numFmtId="37" fontId="25" fillId="0" borderId="0" xfId="0" applyNumberFormat="1" applyFont="1" applyAlignment="1">
      <alignment horizontal="right"/>
    </xf>
    <xf numFmtId="3" fontId="25" fillId="0" borderId="0" xfId="0" applyNumberFormat="1" applyFont="1" applyAlignment="1">
      <alignment wrapText="1"/>
    </xf>
    <xf numFmtId="167" fontId="24" fillId="0" borderId="0" xfId="249" applyNumberFormat="1" applyFont="1" applyAlignment="1">
      <alignment horizontal="center" vertical="center" wrapText="1"/>
    </xf>
    <xf numFmtId="3" fontId="24" fillId="0" borderId="0" xfId="0" applyNumberFormat="1" applyFont="1" applyAlignment="1">
      <alignment wrapText="1"/>
    </xf>
    <xf numFmtId="0" fontId="24" fillId="0" borderId="11" xfId="0" applyFont="1" applyBorder="1" applyAlignment="1">
      <alignment wrapText="1"/>
    </xf>
    <xf numFmtId="3" fontId="24" fillId="0" borderId="11" xfId="0" applyNumberFormat="1" applyFont="1" applyBorder="1" applyAlignment="1">
      <alignment wrapText="1"/>
    </xf>
    <xf numFmtId="3" fontId="24" fillId="0" borderId="0" xfId="0" applyNumberFormat="1" applyFont="1"/>
    <xf numFmtId="37" fontId="25" fillId="34" borderId="0" xfId="0" applyNumberFormat="1" applyFont="1" applyFill="1" applyAlignment="1">
      <alignment horizontal="right"/>
    </xf>
    <xf numFmtId="37" fontId="24" fillId="0" borderId="0" xfId="0" applyNumberFormat="1" applyFont="1"/>
    <xf numFmtId="0" fontId="31" fillId="0" borderId="0" xfId="0" applyFont="1" applyAlignment="1">
      <alignment horizontal="center" wrapText="1"/>
    </xf>
    <xf numFmtId="6" fontId="24" fillId="0" borderId="11" xfId="0" applyNumberFormat="1" applyFont="1" applyBorder="1" applyAlignment="1">
      <alignment wrapText="1"/>
    </xf>
    <xf numFmtId="0" fontId="25" fillId="0" borderId="0" xfId="0" applyFont="1" applyAlignment="1">
      <alignment vertical="center"/>
    </xf>
    <xf numFmtId="0" fontId="25" fillId="0" borderId="0" xfId="0" applyFont="1" applyAlignment="1">
      <alignment vertical="center" wrapText="1"/>
    </xf>
    <xf numFmtId="167" fontId="25" fillId="0" borderId="0" xfId="249" applyNumberFormat="1" applyFont="1" applyAlignment="1">
      <alignment vertical="top" wrapText="1"/>
    </xf>
    <xf numFmtId="168" fontId="25" fillId="0" borderId="0" xfId="0" applyNumberFormat="1" applyFont="1" applyAlignment="1">
      <alignment horizontal="right" vertical="top"/>
    </xf>
    <xf numFmtId="0" fontId="24" fillId="0" borderId="0" xfId="0" applyFont="1" applyAlignment="1">
      <alignment vertical="center"/>
    </xf>
    <xf numFmtId="3" fontId="29" fillId="0" borderId="0" xfId="0" applyNumberFormat="1" applyFont="1" applyAlignment="1">
      <alignment wrapText="1"/>
    </xf>
    <xf numFmtId="167" fontId="24" fillId="0" borderId="0" xfId="249" applyNumberFormat="1" applyFont="1" applyAlignment="1">
      <alignment wrapText="1"/>
    </xf>
    <xf numFmtId="37" fontId="25" fillId="0" borderId="0" xfId="0" applyNumberFormat="1" applyFont="1" applyAlignment="1">
      <alignment horizontal="right" vertical="top"/>
    </xf>
    <xf numFmtId="167" fontId="25" fillId="0" borderId="0" xfId="249" applyNumberFormat="1" applyFont="1" applyAlignment="1">
      <alignment horizontal="right" vertical="top"/>
    </xf>
    <xf numFmtId="167" fontId="24" fillId="0" borderId="0" xfId="249" applyNumberFormat="1" applyFont="1" applyAlignment="1">
      <alignment horizontal="right" vertical="top"/>
    </xf>
    <xf numFmtId="1" fontId="25" fillId="0" borderId="0" xfId="0" applyNumberFormat="1" applyFont="1" applyAlignment="1">
      <alignment vertical="top" wrapText="1"/>
    </xf>
    <xf numFmtId="167" fontId="25" fillId="0" borderId="0" xfId="249" applyNumberFormat="1" applyFont="1" applyAlignment="1">
      <alignment vertical="center" wrapText="1"/>
    </xf>
    <xf numFmtId="164" fontId="25" fillId="0" borderId="0" xfId="249" applyFont="1" applyAlignment="1">
      <alignment vertical="center" wrapText="1"/>
    </xf>
    <xf numFmtId="167" fontId="25" fillId="0" borderId="0" xfId="249" applyNumberFormat="1" applyFont="1" applyAlignment="1">
      <alignment vertical="center"/>
    </xf>
    <xf numFmtId="165" fontId="25" fillId="0" borderId="0" xfId="42" applyNumberFormat="1" applyFont="1" applyAlignment="1">
      <alignment vertical="center"/>
    </xf>
    <xf numFmtId="0" fontId="24" fillId="0" borderId="11" xfId="0" applyFont="1" applyBorder="1" applyAlignment="1">
      <alignment vertical="center"/>
    </xf>
    <xf numFmtId="167" fontId="24" fillId="0" borderId="11" xfId="249" applyNumberFormat="1" applyFont="1" applyBorder="1" applyAlignment="1">
      <alignment vertical="center"/>
    </xf>
    <xf numFmtId="43" fontId="24" fillId="0" borderId="11" xfId="249" applyNumberFormat="1" applyFont="1" applyBorder="1" applyAlignment="1">
      <alignment vertical="center"/>
    </xf>
    <xf numFmtId="166" fontId="25" fillId="0" borderId="0" xfId="0" applyNumberFormat="1" applyFont="1" applyAlignment="1">
      <alignment vertical="center"/>
    </xf>
    <xf numFmtId="0" fontId="25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3" fontId="25" fillId="0" borderId="0" xfId="0" applyNumberFormat="1" applyFont="1"/>
    <xf numFmtId="0" fontId="29" fillId="0" borderId="0" xfId="0" applyFont="1" applyAlignment="1">
      <alignment horizontal="center" vertical="center"/>
    </xf>
    <xf numFmtId="0" fontId="33" fillId="0" borderId="0" xfId="0" applyFont="1" applyAlignment="1">
      <alignment horizontal="center" vertical="center"/>
    </xf>
    <xf numFmtId="0" fontId="25" fillId="0" borderId="0" xfId="0" applyFont="1" applyAlignment="1">
      <alignment horizontal="left" vertical="center"/>
    </xf>
    <xf numFmtId="164" fontId="25" fillId="0" borderId="0" xfId="249" applyFont="1" applyAlignment="1">
      <alignment horizontal="right" vertical="center"/>
    </xf>
    <xf numFmtId="167" fontId="25" fillId="0" borderId="0" xfId="0" applyNumberFormat="1" applyFont="1" applyAlignment="1">
      <alignment horizontal="right" vertical="center"/>
    </xf>
    <xf numFmtId="10" fontId="32" fillId="33" borderId="10" xfId="42" applyNumberFormat="1" applyFont="1" applyFill="1" applyBorder="1" applyAlignment="1">
      <alignment horizontal="right" vertical="center" wrapText="1"/>
    </xf>
    <xf numFmtId="165" fontId="25" fillId="0" borderId="0" xfId="42" applyNumberFormat="1" applyFont="1" applyBorder="1" applyAlignment="1">
      <alignment horizontal="right" vertical="center"/>
    </xf>
    <xf numFmtId="165" fontId="25" fillId="0" borderId="0" xfId="42" applyNumberFormat="1" applyFont="1" applyAlignment="1">
      <alignment horizontal="right" vertical="center"/>
    </xf>
    <xf numFmtId="0" fontId="25" fillId="34" borderId="0" xfId="0" applyFont="1" applyFill="1" applyAlignment="1">
      <alignment horizontal="left" vertical="center"/>
    </xf>
    <xf numFmtId="165" fontId="25" fillId="34" borderId="0" xfId="42" applyNumberFormat="1" applyFont="1" applyFill="1" applyAlignment="1">
      <alignment horizontal="right" vertical="center"/>
    </xf>
    <xf numFmtId="165" fontId="25" fillId="34" borderId="0" xfId="42" applyNumberFormat="1" applyFont="1" applyFill="1" applyBorder="1" applyAlignment="1">
      <alignment horizontal="right" vertical="center"/>
    </xf>
    <xf numFmtId="10" fontId="32" fillId="34" borderId="0" xfId="42" applyNumberFormat="1" applyFont="1" applyFill="1" applyBorder="1" applyAlignment="1">
      <alignment horizontal="right" vertical="center" wrapText="1"/>
    </xf>
    <xf numFmtId="0" fontId="25" fillId="34" borderId="0" xfId="0" applyFont="1" applyFill="1" applyAlignment="1">
      <alignment vertical="center"/>
    </xf>
    <xf numFmtId="167" fontId="25" fillId="0" borderId="0" xfId="249" applyNumberFormat="1" applyFont="1" applyBorder="1" applyAlignment="1">
      <alignment horizontal="right" vertical="center"/>
    </xf>
    <xf numFmtId="0" fontId="25" fillId="0" borderId="0" xfId="0" applyFont="1" applyAlignment="1">
      <alignment horizontal="right" vertical="center"/>
    </xf>
    <xf numFmtId="10" fontId="25" fillId="0" borderId="0" xfId="42" applyNumberFormat="1" applyFont="1" applyBorder="1" applyAlignment="1">
      <alignment horizontal="right" vertical="center"/>
    </xf>
    <xf numFmtId="164" fontId="25" fillId="0" borderId="0" xfId="249" applyFont="1" applyBorder="1" applyAlignment="1">
      <alignment horizontal="right" vertical="center"/>
    </xf>
    <xf numFmtId="164" fontId="25" fillId="0" borderId="0" xfId="0" applyNumberFormat="1" applyFont="1" applyAlignment="1">
      <alignment horizontal="right" vertical="center"/>
    </xf>
    <xf numFmtId="10" fontId="34" fillId="35" borderId="10" xfId="0" applyNumberFormat="1" applyFont="1" applyFill="1" applyBorder="1" applyAlignment="1">
      <alignment horizontal="right" vertical="center" wrapText="1"/>
    </xf>
    <xf numFmtId="10" fontId="34" fillId="36" borderId="0" xfId="0" applyNumberFormat="1" applyFont="1" applyFill="1" applyAlignment="1">
      <alignment horizontal="right" vertical="center" wrapText="1"/>
    </xf>
    <xf numFmtId="164" fontId="25" fillId="36" borderId="0" xfId="249" applyFont="1" applyFill="1" applyBorder="1" applyAlignment="1">
      <alignment horizontal="right" vertical="center" wrapText="1"/>
    </xf>
    <xf numFmtId="0" fontId="24" fillId="0" borderId="0" xfId="0" applyFont="1" applyAlignment="1">
      <alignment horizontal="left" vertical="center"/>
    </xf>
    <xf numFmtId="43" fontId="24" fillId="0" borderId="0" xfId="0" applyNumberFormat="1" applyFont="1" applyAlignment="1">
      <alignment horizontal="right" vertical="center"/>
    </xf>
    <xf numFmtId="0" fontId="24" fillId="0" borderId="0" xfId="0" applyFont="1" applyAlignment="1">
      <alignment horizontal="right" vertical="center"/>
    </xf>
    <xf numFmtId="165" fontId="24" fillId="0" borderId="0" xfId="42" applyNumberFormat="1" applyFont="1" applyBorder="1" applyAlignment="1">
      <alignment horizontal="right" vertical="center"/>
    </xf>
    <xf numFmtId="0" fontId="32" fillId="0" borderId="0" xfId="0" applyFont="1" applyAlignment="1">
      <alignment horizontal="left" vertical="center" wrapText="1" indent="1"/>
    </xf>
    <xf numFmtId="9" fontId="32" fillId="0" borderId="0" xfId="42" applyFont="1" applyAlignment="1">
      <alignment vertical="center" wrapText="1"/>
    </xf>
    <xf numFmtId="0" fontId="32" fillId="0" borderId="0" xfId="0" applyFont="1" applyAlignment="1">
      <alignment vertical="center"/>
    </xf>
    <xf numFmtId="10" fontId="32" fillId="34" borderId="0" xfId="42" applyNumberFormat="1" applyFont="1" applyFill="1" applyBorder="1" applyAlignment="1">
      <alignment vertical="center" wrapText="1"/>
    </xf>
    <xf numFmtId="3" fontId="24" fillId="0" borderId="0" xfId="249" applyNumberFormat="1" applyFont="1" applyBorder="1" applyAlignment="1">
      <alignment horizontal="right" vertical="center"/>
    </xf>
    <xf numFmtId="164" fontId="24" fillId="0" borderId="0" xfId="249" applyFont="1" applyAlignment="1">
      <alignment horizontal="right" vertical="center"/>
    </xf>
    <xf numFmtId="0" fontId="25" fillId="0" borderId="0" xfId="0" applyFont="1" applyAlignment="1">
      <alignment horizontal="left" vertical="center" indent="1"/>
    </xf>
    <xf numFmtId="1" fontId="25" fillId="0" borderId="0" xfId="249" applyNumberFormat="1" applyFont="1" applyAlignment="1">
      <alignment horizontal="right" vertical="center"/>
    </xf>
    <xf numFmtId="1" fontId="25" fillId="0" borderId="0" xfId="249" applyNumberFormat="1" applyFont="1" applyAlignment="1">
      <alignment horizontal="right" vertical="center" wrapText="1"/>
    </xf>
    <xf numFmtId="164" fontId="24" fillId="0" borderId="0" xfId="0" applyNumberFormat="1" applyFont="1" applyAlignment="1">
      <alignment horizontal="right" vertical="center"/>
    </xf>
    <xf numFmtId="0" fontId="35" fillId="0" borderId="0" xfId="0" applyFont="1" applyAlignment="1">
      <alignment horizontal="left" vertical="center" indent="1"/>
    </xf>
    <xf numFmtId="10" fontId="32" fillId="0" borderId="0" xfId="42" applyNumberFormat="1" applyFont="1" applyAlignment="1">
      <alignment horizontal="right" vertical="center" wrapText="1"/>
    </xf>
    <xf numFmtId="0" fontId="35" fillId="0" borderId="0" xfId="0" applyFont="1" applyAlignment="1">
      <alignment vertical="center"/>
    </xf>
    <xf numFmtId="10" fontId="32" fillId="33" borderId="13" xfId="42" applyNumberFormat="1" applyFont="1" applyFill="1" applyBorder="1" applyAlignment="1">
      <alignment horizontal="right" vertical="center" wrapText="1"/>
    </xf>
    <xf numFmtId="170" fontId="25" fillId="0" borderId="0" xfId="0" applyNumberFormat="1" applyFont="1" applyAlignment="1">
      <alignment vertical="center"/>
    </xf>
    <xf numFmtId="0" fontId="24" fillId="0" borderId="0" xfId="0" applyFont="1" applyAlignment="1">
      <alignment horizontal="right"/>
    </xf>
    <xf numFmtId="3" fontId="25" fillId="0" borderId="0" xfId="0" applyNumberFormat="1" applyFont="1" applyAlignment="1">
      <alignment horizontal="right" wrapText="1"/>
    </xf>
    <xf numFmtId="167" fontId="25" fillId="0" borderId="0" xfId="249" applyNumberFormat="1" applyFont="1" applyAlignment="1">
      <alignment horizontal="right" vertical="center"/>
    </xf>
    <xf numFmtId="164" fontId="32" fillId="0" borderId="0" xfId="249" applyFont="1" applyAlignment="1">
      <alignment horizontal="right" vertical="center" wrapText="1"/>
    </xf>
    <xf numFmtId="164" fontId="25" fillId="33" borderId="10" xfId="0" applyNumberFormat="1" applyFont="1" applyFill="1" applyBorder="1" applyAlignment="1">
      <alignment horizontal="right" vertical="center"/>
    </xf>
    <xf numFmtId="3" fontId="25" fillId="0" borderId="0" xfId="0" applyNumberFormat="1" applyFont="1" applyAlignment="1">
      <alignment horizontal="right"/>
    </xf>
    <xf numFmtId="165" fontId="25" fillId="0" borderId="0" xfId="42" applyNumberFormat="1" applyFont="1" applyAlignment="1">
      <alignment horizontal="right"/>
    </xf>
    <xf numFmtId="10" fontId="25" fillId="0" borderId="0" xfId="42" applyNumberFormat="1" applyFont="1" applyAlignment="1">
      <alignment horizontal="right"/>
    </xf>
    <xf numFmtId="3" fontId="28" fillId="0" borderId="0" xfId="0" applyNumberFormat="1" applyFont="1"/>
    <xf numFmtId="10" fontId="28" fillId="0" borderId="0" xfId="42" applyNumberFormat="1" applyFont="1" applyAlignment="1">
      <alignment horizontal="right"/>
    </xf>
    <xf numFmtId="0" fontId="26" fillId="0" borderId="0" xfId="0" applyFont="1" applyAlignment="1">
      <alignment vertical="center"/>
    </xf>
    <xf numFmtId="3" fontId="35" fillId="0" borderId="0" xfId="0" applyNumberFormat="1" applyFont="1"/>
    <xf numFmtId="10" fontId="25" fillId="0" borderId="0" xfId="42" applyNumberFormat="1" applyFont="1" applyAlignment="1">
      <alignment horizontal="right" vertical="center"/>
    </xf>
    <xf numFmtId="171" fontId="25" fillId="0" borderId="0" xfId="0" applyNumberFormat="1" applyFont="1" applyAlignment="1">
      <alignment vertical="center"/>
    </xf>
    <xf numFmtId="1" fontId="25" fillId="0" borderId="12" xfId="249" applyNumberFormat="1" applyFont="1" applyBorder="1" applyAlignment="1">
      <alignment horizontal="right" vertical="center"/>
    </xf>
    <xf numFmtId="164" fontId="25" fillId="34" borderId="0" xfId="249" applyFont="1" applyFill="1" applyAlignment="1">
      <alignment horizontal="right" vertical="center"/>
    </xf>
    <xf numFmtId="43" fontId="25" fillId="34" borderId="0" xfId="0" applyNumberFormat="1" applyFont="1" applyFill="1" applyAlignment="1">
      <alignment vertical="center"/>
    </xf>
    <xf numFmtId="43" fontId="25" fillId="0" borderId="0" xfId="0" applyNumberFormat="1" applyFont="1" applyAlignment="1">
      <alignment vertical="center"/>
    </xf>
    <xf numFmtId="10" fontId="24" fillId="0" borderId="0" xfId="42" applyNumberFormat="1" applyFont="1" applyFill="1" applyBorder="1" applyAlignment="1">
      <alignment horizontal="right" vertical="center"/>
    </xf>
    <xf numFmtId="10" fontId="0" fillId="0" borderId="0" xfId="0" applyNumberFormat="1"/>
    <xf numFmtId="43" fontId="0" fillId="0" borderId="0" xfId="0" applyNumberFormat="1"/>
    <xf numFmtId="0" fontId="0" fillId="34" borderId="12" xfId="0" applyFill="1" applyBorder="1"/>
    <xf numFmtId="10" fontId="0" fillId="34" borderId="12" xfId="0" applyNumberFormat="1" applyFill="1" applyBorder="1"/>
    <xf numFmtId="0" fontId="0" fillId="34" borderId="14" xfId="0" applyFill="1" applyBorder="1"/>
    <xf numFmtId="2" fontId="0" fillId="0" borderId="0" xfId="0" applyNumberFormat="1"/>
    <xf numFmtId="0" fontId="19" fillId="37" borderId="19" xfId="0" applyFont="1" applyFill="1" applyBorder="1"/>
    <xf numFmtId="0" fontId="19" fillId="37" borderId="15" xfId="0" applyFont="1" applyFill="1" applyBorder="1"/>
    <xf numFmtId="0" fontId="19" fillId="37" borderId="20" xfId="0" applyFont="1" applyFill="1" applyBorder="1"/>
    <xf numFmtId="0" fontId="0" fillId="34" borderId="17" xfId="0" applyFill="1" applyBorder="1"/>
    <xf numFmtId="0" fontId="0" fillId="34" borderId="18" xfId="0" applyFill="1" applyBorder="1"/>
    <xf numFmtId="10" fontId="0" fillId="34" borderId="18" xfId="0" applyNumberFormat="1" applyFill="1" applyBorder="1"/>
    <xf numFmtId="9" fontId="0" fillId="34" borderId="18" xfId="0" applyNumberFormat="1" applyFill="1" applyBorder="1"/>
    <xf numFmtId="0" fontId="0" fillId="34" borderId="19" xfId="0" applyFill="1" applyBorder="1"/>
    <xf numFmtId="10" fontId="0" fillId="34" borderId="20" xfId="42" applyNumberFormat="1" applyFont="1" applyFill="1" applyBorder="1"/>
    <xf numFmtId="0" fontId="0" fillId="34" borderId="21" xfId="0" applyFill="1" applyBorder="1"/>
    <xf numFmtId="9" fontId="0" fillId="34" borderId="22" xfId="0" applyNumberFormat="1" applyFill="1" applyBorder="1"/>
    <xf numFmtId="2" fontId="0" fillId="34" borderId="18" xfId="0" applyNumberFormat="1" applyFill="1" applyBorder="1"/>
    <xf numFmtId="10" fontId="0" fillId="34" borderId="22" xfId="0" applyNumberFormat="1" applyFill="1" applyBorder="1"/>
    <xf numFmtId="0" fontId="0" fillId="34" borderId="0" xfId="0" applyFill="1"/>
    <xf numFmtId="10" fontId="0" fillId="34" borderId="0" xfId="0" applyNumberFormat="1" applyFill="1"/>
    <xf numFmtId="9" fontId="0" fillId="34" borderId="0" xfId="0" applyNumberFormat="1" applyFill="1"/>
    <xf numFmtId="10" fontId="0" fillId="34" borderId="14" xfId="0" applyNumberFormat="1" applyFill="1" applyBorder="1"/>
    <xf numFmtId="0" fontId="19" fillId="37" borderId="13" xfId="0" applyFont="1" applyFill="1" applyBorder="1" applyAlignment="1">
      <alignment horizontal="left"/>
    </xf>
    <xf numFmtId="0" fontId="19" fillId="37" borderId="11" xfId="0" applyFont="1" applyFill="1" applyBorder="1"/>
    <xf numFmtId="0" fontId="19" fillId="37" borderId="16" xfId="0" applyFont="1" applyFill="1" applyBorder="1"/>
    <xf numFmtId="2" fontId="0" fillId="34" borderId="0" xfId="0" applyNumberFormat="1" applyFill="1"/>
    <xf numFmtId="3" fontId="0" fillId="34" borderId="0" xfId="0" applyNumberFormat="1" applyFill="1"/>
    <xf numFmtId="3" fontId="0" fillId="34" borderId="18" xfId="0" applyNumberFormat="1" applyFill="1" applyBorder="1"/>
    <xf numFmtId="0" fontId="0" fillId="34" borderId="23" xfId="0" applyFill="1" applyBorder="1"/>
    <xf numFmtId="10" fontId="0" fillId="34" borderId="24" xfId="0" applyNumberFormat="1" applyFill="1" applyBorder="1"/>
    <xf numFmtId="2" fontId="0" fillId="34" borderId="12" xfId="0" applyNumberFormat="1" applyFill="1" applyBorder="1"/>
    <xf numFmtId="2" fontId="0" fillId="34" borderId="22" xfId="0" applyNumberFormat="1" applyFill="1" applyBorder="1"/>
    <xf numFmtId="0" fontId="19" fillId="37" borderId="13" xfId="0" applyFont="1" applyFill="1" applyBorder="1"/>
    <xf numFmtId="43" fontId="19" fillId="37" borderId="20" xfId="0" applyNumberFormat="1" applyFont="1" applyFill="1" applyBorder="1"/>
    <xf numFmtId="37" fontId="0" fillId="34" borderId="18" xfId="0" applyNumberFormat="1" applyFill="1" applyBorder="1"/>
    <xf numFmtId="43" fontId="0" fillId="34" borderId="18" xfId="0" applyNumberFormat="1" applyFill="1" applyBorder="1"/>
    <xf numFmtId="10" fontId="0" fillId="34" borderId="22" xfId="42" applyNumberFormat="1" applyFont="1" applyFill="1" applyBorder="1"/>
    <xf numFmtId="4" fontId="19" fillId="37" borderId="20" xfId="0" applyNumberFormat="1" applyFont="1" applyFill="1" applyBorder="1"/>
    <xf numFmtId="4" fontId="0" fillId="34" borderId="18" xfId="0" applyNumberFormat="1" applyFill="1" applyBorder="1"/>
    <xf numFmtId="9" fontId="0" fillId="0" borderId="0" xfId="0" applyNumberFormat="1"/>
    <xf numFmtId="0" fontId="24" fillId="0" borderId="0" xfId="0" applyFont="1" applyAlignment="1">
      <alignment horizontal="center" vertical="center" wrapText="1"/>
    </xf>
    <xf numFmtId="0" fontId="24" fillId="0" borderId="11" xfId="0" applyFont="1" applyBorder="1" applyAlignment="1">
      <alignment horizontal="center"/>
    </xf>
    <xf numFmtId="0" fontId="24" fillId="0" borderId="0" xfId="0" applyFont="1" applyAlignment="1">
      <alignment horizontal="center"/>
    </xf>
    <xf numFmtId="0" fontId="24" fillId="0" borderId="11" xfId="0" applyFont="1" applyBorder="1" applyAlignment="1">
      <alignment horizontal="center" vertical="center" wrapText="1"/>
    </xf>
    <xf numFmtId="0" fontId="24" fillId="0" borderId="11" xfId="0" applyFont="1" applyBorder="1" applyAlignment="1">
      <alignment horizontal="center" vertical="center"/>
    </xf>
    <xf numFmtId="0" fontId="19" fillId="37" borderId="13" xfId="0" applyFont="1" applyFill="1" applyBorder="1" applyAlignment="1">
      <alignment horizontal="center"/>
    </xf>
    <xf numFmtId="0" fontId="19" fillId="37" borderId="16" xfId="0" applyFont="1" applyFill="1" applyBorder="1" applyAlignment="1">
      <alignment horizontal="center"/>
    </xf>
  </cellXfs>
  <cellStyles count="135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249" builtinId="3"/>
    <cellStyle name="Comma 2" xfId="96" xr:uid="{00000000-0005-0000-0000-00001C000000}"/>
    <cellStyle name="Comma 3" xfId="98" xr:uid="{00000000-0005-0000-0000-00001D000000}"/>
    <cellStyle name="Explanatory Text" xfId="16" builtinId="53" customBuilti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Followed Hyperlink" xfId="635" builtinId="9" hidden="1"/>
    <cellStyle name="Followed Hyperlink" xfId="637" builtinId="9" hidden="1"/>
    <cellStyle name="Followed Hyperlink" xfId="639" builtinId="9" hidden="1"/>
    <cellStyle name="Followed Hyperlink" xfId="641" builtinId="9" hidden="1"/>
    <cellStyle name="Followed Hyperlink" xfId="643" builtinId="9" hidden="1"/>
    <cellStyle name="Followed Hyperlink" xfId="645" builtinId="9" hidden="1"/>
    <cellStyle name="Followed Hyperlink" xfId="647" builtinId="9" hidden="1"/>
    <cellStyle name="Followed Hyperlink" xfId="649" builtinId="9" hidden="1"/>
    <cellStyle name="Followed Hyperlink" xfId="651" builtinId="9" hidden="1"/>
    <cellStyle name="Followed Hyperlink" xfId="653" builtinId="9" hidden="1"/>
    <cellStyle name="Followed Hyperlink" xfId="655" builtinId="9" hidden="1"/>
    <cellStyle name="Followed Hyperlink" xfId="657" builtinId="9" hidden="1"/>
    <cellStyle name="Followed Hyperlink" xfId="659" builtinId="9" hidden="1"/>
    <cellStyle name="Followed Hyperlink" xfId="661" builtinId="9" hidden="1"/>
    <cellStyle name="Followed Hyperlink" xfId="663" builtinId="9" hidden="1"/>
    <cellStyle name="Followed Hyperlink" xfId="665" builtinId="9" hidden="1"/>
    <cellStyle name="Followed Hyperlink" xfId="667" builtinId="9" hidden="1"/>
    <cellStyle name="Followed Hyperlink" xfId="669" builtinId="9" hidden="1"/>
    <cellStyle name="Followed Hyperlink" xfId="671" builtinId="9" hidden="1"/>
    <cellStyle name="Followed Hyperlink" xfId="673" builtinId="9" hidden="1"/>
    <cellStyle name="Followed Hyperlink" xfId="675" builtinId="9" hidden="1"/>
    <cellStyle name="Followed Hyperlink" xfId="677" builtinId="9" hidden="1"/>
    <cellStyle name="Followed Hyperlink" xfId="679" builtinId="9" hidden="1"/>
    <cellStyle name="Followed Hyperlink" xfId="681" builtinId="9" hidden="1"/>
    <cellStyle name="Followed Hyperlink" xfId="683" builtinId="9" hidden="1"/>
    <cellStyle name="Followed Hyperlink" xfId="685" builtinId="9" hidden="1"/>
    <cellStyle name="Followed Hyperlink" xfId="687" builtinId="9" hidden="1"/>
    <cellStyle name="Followed Hyperlink" xfId="689" builtinId="9" hidden="1"/>
    <cellStyle name="Followed Hyperlink" xfId="691" builtinId="9" hidden="1"/>
    <cellStyle name="Followed Hyperlink" xfId="693" builtinId="9" hidden="1"/>
    <cellStyle name="Followed Hyperlink" xfId="695" builtinId="9" hidden="1"/>
    <cellStyle name="Followed Hyperlink" xfId="697" builtinId="9" hidden="1"/>
    <cellStyle name="Followed Hyperlink" xfId="699" builtinId="9" hidden="1"/>
    <cellStyle name="Followed Hyperlink" xfId="701" builtinId="9" hidden="1"/>
    <cellStyle name="Followed Hyperlink" xfId="703" builtinId="9" hidden="1"/>
    <cellStyle name="Followed Hyperlink" xfId="705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15" builtinId="9" hidden="1"/>
    <cellStyle name="Followed Hyperlink" xfId="717" builtinId="9" hidden="1"/>
    <cellStyle name="Followed Hyperlink" xfId="719" builtinId="9" hidden="1"/>
    <cellStyle name="Followed Hyperlink" xfId="721" builtinId="9" hidden="1"/>
    <cellStyle name="Followed Hyperlink" xfId="723" builtinId="9" hidden="1"/>
    <cellStyle name="Followed Hyperlink" xfId="725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5" builtinId="9" hidden="1"/>
    <cellStyle name="Followed Hyperlink" xfId="757" builtinId="9" hidden="1"/>
    <cellStyle name="Followed Hyperlink" xfId="759" builtinId="9" hidden="1"/>
    <cellStyle name="Followed Hyperlink" xfId="761" builtinId="9" hidden="1"/>
    <cellStyle name="Followed Hyperlink" xfId="763" builtinId="9" hidden="1"/>
    <cellStyle name="Followed Hyperlink" xfId="765" builtinId="9" hidden="1"/>
    <cellStyle name="Followed Hyperlink" xfId="767" builtinId="9" hidden="1"/>
    <cellStyle name="Followed Hyperlink" xfId="769" builtinId="9" hidden="1"/>
    <cellStyle name="Followed Hyperlink" xfId="771" builtinId="9" hidden="1"/>
    <cellStyle name="Followed Hyperlink" xfId="773" builtinId="9" hidden="1"/>
    <cellStyle name="Followed Hyperlink" xfId="775" builtinId="9" hidden="1"/>
    <cellStyle name="Followed Hyperlink" xfId="777" builtinId="9" hidden="1"/>
    <cellStyle name="Followed Hyperlink" xfId="779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Followed Hyperlink" xfId="791" builtinId="9" hidden="1"/>
    <cellStyle name="Followed Hyperlink" xfId="793" builtinId="9" hidden="1"/>
    <cellStyle name="Followed Hyperlink" xfId="795" builtinId="9" hidden="1"/>
    <cellStyle name="Followed Hyperlink" xfId="797" builtinId="9" hidden="1"/>
    <cellStyle name="Followed Hyperlink" xfId="799" builtinId="9" hidden="1"/>
    <cellStyle name="Followed Hyperlink" xfId="801" builtinId="9" hidden="1"/>
    <cellStyle name="Followed Hyperlink" xfId="803" builtinId="9" hidden="1"/>
    <cellStyle name="Followed Hyperlink" xfId="805" builtinId="9" hidden="1"/>
    <cellStyle name="Followed Hyperlink" xfId="807" builtinId="9" hidden="1"/>
    <cellStyle name="Followed Hyperlink" xfId="809" builtinId="9" hidden="1"/>
    <cellStyle name="Followed Hyperlink" xfId="811" builtinId="9" hidden="1"/>
    <cellStyle name="Followed Hyperlink" xfId="813" builtinId="9" hidden="1"/>
    <cellStyle name="Followed Hyperlink" xfId="815" builtinId="9" hidden="1"/>
    <cellStyle name="Followed Hyperlink" xfId="817" builtinId="9" hidden="1"/>
    <cellStyle name="Followed Hyperlink" xfId="819" builtinId="9" hidden="1"/>
    <cellStyle name="Followed Hyperlink" xfId="821" builtinId="9" hidden="1"/>
    <cellStyle name="Followed Hyperlink" xfId="823" builtinId="9" hidden="1"/>
    <cellStyle name="Followed Hyperlink" xfId="825" builtinId="9" hidden="1"/>
    <cellStyle name="Followed Hyperlink" xfId="827" builtinId="9" hidden="1"/>
    <cellStyle name="Followed Hyperlink" xfId="829" builtinId="9" hidden="1"/>
    <cellStyle name="Followed Hyperlink" xfId="831" builtinId="9" hidden="1"/>
    <cellStyle name="Followed Hyperlink" xfId="833" builtinId="9" hidden="1"/>
    <cellStyle name="Followed Hyperlink" xfId="835" builtinId="9" hidden="1"/>
    <cellStyle name="Followed Hyperlink" xfId="837" builtinId="9" hidden="1"/>
    <cellStyle name="Followed Hyperlink" xfId="839" builtinId="9" hidden="1"/>
    <cellStyle name="Followed Hyperlink" xfId="841" builtinId="9" hidden="1"/>
    <cellStyle name="Followed Hyperlink" xfId="843" builtinId="9" hidden="1"/>
    <cellStyle name="Followed Hyperlink" xfId="845" builtinId="9" hidden="1"/>
    <cellStyle name="Followed Hyperlink" xfId="847" builtinId="9" hidden="1"/>
    <cellStyle name="Followed Hyperlink" xfId="849" builtinId="9" hidden="1"/>
    <cellStyle name="Followed Hyperlink" xfId="851" builtinId="9" hidden="1"/>
    <cellStyle name="Followed Hyperlink" xfId="853" builtinId="9" hidden="1"/>
    <cellStyle name="Followed Hyperlink" xfId="855" builtinId="9" hidden="1"/>
    <cellStyle name="Followed Hyperlink" xfId="857" builtinId="9" hidden="1"/>
    <cellStyle name="Followed Hyperlink" xfId="859" builtinId="9" hidden="1"/>
    <cellStyle name="Followed Hyperlink" xfId="861" builtinId="9" hidden="1"/>
    <cellStyle name="Followed Hyperlink" xfId="863" builtinId="9" hidden="1"/>
    <cellStyle name="Followed Hyperlink" xfId="865" builtinId="9" hidden="1"/>
    <cellStyle name="Followed Hyperlink" xfId="867" builtinId="9" hidden="1"/>
    <cellStyle name="Followed Hyperlink" xfId="869" builtinId="9" hidden="1"/>
    <cellStyle name="Followed Hyperlink" xfId="871" builtinId="9" hidden="1"/>
    <cellStyle name="Followed Hyperlink" xfId="873" builtinId="9" hidden="1"/>
    <cellStyle name="Followed Hyperlink" xfId="875" builtinId="9" hidden="1"/>
    <cellStyle name="Followed Hyperlink" xfId="877" builtinId="9" hidden="1"/>
    <cellStyle name="Followed Hyperlink" xfId="879" builtinId="9" hidden="1"/>
    <cellStyle name="Followed Hyperlink" xfId="881" builtinId="9" hidden="1"/>
    <cellStyle name="Followed Hyperlink" xfId="883" builtinId="9" hidden="1"/>
    <cellStyle name="Followed Hyperlink" xfId="885" builtinId="9" hidden="1"/>
    <cellStyle name="Followed Hyperlink" xfId="887" builtinId="9" hidden="1"/>
    <cellStyle name="Followed Hyperlink" xfId="889" builtinId="9" hidden="1"/>
    <cellStyle name="Followed Hyperlink" xfId="891" builtinId="9" hidden="1"/>
    <cellStyle name="Followed Hyperlink" xfId="893" builtinId="9" hidden="1"/>
    <cellStyle name="Followed Hyperlink" xfId="895" builtinId="9" hidden="1"/>
    <cellStyle name="Followed Hyperlink" xfId="897" builtinId="9" hidden="1"/>
    <cellStyle name="Followed Hyperlink" xfId="899" builtinId="9" hidden="1"/>
    <cellStyle name="Followed Hyperlink" xfId="901" builtinId="9" hidden="1"/>
    <cellStyle name="Followed Hyperlink" xfId="903" builtinId="9" hidden="1"/>
    <cellStyle name="Followed Hyperlink" xfId="905" builtinId="9" hidden="1"/>
    <cellStyle name="Followed Hyperlink" xfId="907" builtinId="9" hidden="1"/>
    <cellStyle name="Followed Hyperlink" xfId="909" builtinId="9" hidden="1"/>
    <cellStyle name="Followed Hyperlink" xfId="911" builtinId="9" hidden="1"/>
    <cellStyle name="Followed Hyperlink" xfId="913" builtinId="9" hidden="1"/>
    <cellStyle name="Followed Hyperlink" xfId="915" builtinId="9" hidden="1"/>
    <cellStyle name="Followed Hyperlink" xfId="917" builtinId="9" hidden="1"/>
    <cellStyle name="Followed Hyperlink" xfId="919" builtinId="9" hidden="1"/>
    <cellStyle name="Followed Hyperlink" xfId="921" builtinId="9" hidden="1"/>
    <cellStyle name="Followed Hyperlink" xfId="923" builtinId="9" hidden="1"/>
    <cellStyle name="Followed Hyperlink" xfId="925" builtinId="9" hidden="1"/>
    <cellStyle name="Followed Hyperlink" xfId="927" builtinId="9" hidden="1"/>
    <cellStyle name="Followed Hyperlink" xfId="929" builtinId="9" hidden="1"/>
    <cellStyle name="Followed Hyperlink" xfId="931" builtinId="9" hidden="1"/>
    <cellStyle name="Followed Hyperlink" xfId="933" builtinId="9" hidden="1"/>
    <cellStyle name="Followed Hyperlink" xfId="935" builtinId="9" hidden="1"/>
    <cellStyle name="Followed Hyperlink" xfId="937" builtinId="9" hidden="1"/>
    <cellStyle name="Followed Hyperlink" xfId="939" builtinId="9" hidden="1"/>
    <cellStyle name="Followed Hyperlink" xfId="941" builtinId="9" hidden="1"/>
    <cellStyle name="Followed Hyperlink" xfId="943" builtinId="9" hidden="1"/>
    <cellStyle name="Followed Hyperlink" xfId="945" builtinId="9" hidden="1"/>
    <cellStyle name="Followed Hyperlink" xfId="947" builtinId="9" hidden="1"/>
    <cellStyle name="Followed Hyperlink" xfId="949" builtinId="9" hidden="1"/>
    <cellStyle name="Followed Hyperlink" xfId="951" builtinId="9" hidden="1"/>
    <cellStyle name="Followed Hyperlink" xfId="953" builtinId="9" hidden="1"/>
    <cellStyle name="Followed Hyperlink" xfId="955" builtinId="9" hidden="1"/>
    <cellStyle name="Followed Hyperlink" xfId="957" builtinId="9" hidden="1"/>
    <cellStyle name="Followed Hyperlink" xfId="959" builtinId="9" hidden="1"/>
    <cellStyle name="Followed Hyperlink" xfId="961" builtinId="9" hidden="1"/>
    <cellStyle name="Followed Hyperlink" xfId="963" builtinId="9" hidden="1"/>
    <cellStyle name="Followed Hyperlink" xfId="965" builtinId="9" hidden="1"/>
    <cellStyle name="Followed Hyperlink" xfId="967" builtinId="9" hidden="1"/>
    <cellStyle name="Followed Hyperlink" xfId="969" builtinId="9" hidden="1"/>
    <cellStyle name="Followed Hyperlink" xfId="971" builtinId="9" hidden="1"/>
    <cellStyle name="Followed Hyperlink" xfId="973" builtinId="9" hidden="1"/>
    <cellStyle name="Followed Hyperlink" xfId="975" builtinId="9" hidden="1"/>
    <cellStyle name="Followed Hyperlink" xfId="977" builtinId="9" hidden="1"/>
    <cellStyle name="Followed Hyperlink" xfId="979" builtinId="9" hidden="1"/>
    <cellStyle name="Followed Hyperlink" xfId="981" builtinId="9" hidden="1"/>
    <cellStyle name="Followed Hyperlink" xfId="983" builtinId="9" hidden="1"/>
    <cellStyle name="Followed Hyperlink" xfId="985" builtinId="9" hidden="1"/>
    <cellStyle name="Followed Hyperlink" xfId="987" builtinId="9" hidden="1"/>
    <cellStyle name="Followed Hyperlink" xfId="989" builtinId="9" hidden="1"/>
    <cellStyle name="Followed Hyperlink" xfId="991" builtinId="9" hidden="1"/>
    <cellStyle name="Followed Hyperlink" xfId="993" builtinId="9" hidden="1"/>
    <cellStyle name="Followed Hyperlink" xfId="995" builtinId="9" hidden="1"/>
    <cellStyle name="Followed Hyperlink" xfId="997" builtinId="9" hidden="1"/>
    <cellStyle name="Followed Hyperlink" xfId="999" builtinId="9" hidden="1"/>
    <cellStyle name="Followed Hyperlink" xfId="1001" builtinId="9" hidden="1"/>
    <cellStyle name="Followed Hyperlink" xfId="1003" builtinId="9" hidden="1"/>
    <cellStyle name="Followed Hyperlink" xfId="1005" builtinId="9" hidden="1"/>
    <cellStyle name="Followed Hyperlink" xfId="1007" builtinId="9" hidden="1"/>
    <cellStyle name="Followed Hyperlink" xfId="1009" builtinId="9" hidden="1"/>
    <cellStyle name="Followed Hyperlink" xfId="1011" builtinId="9" hidden="1"/>
    <cellStyle name="Followed Hyperlink" xfId="1013" builtinId="9" hidden="1"/>
    <cellStyle name="Followed Hyperlink" xfId="1015" builtinId="9" hidden="1"/>
    <cellStyle name="Followed Hyperlink" xfId="1017" builtinId="9" hidden="1"/>
    <cellStyle name="Followed Hyperlink" xfId="1019" builtinId="9" hidden="1"/>
    <cellStyle name="Followed Hyperlink" xfId="1021" builtinId="9" hidden="1"/>
    <cellStyle name="Followed Hyperlink" xfId="1023" builtinId="9" hidden="1"/>
    <cellStyle name="Followed Hyperlink" xfId="1025" builtinId="9" hidden="1"/>
    <cellStyle name="Followed Hyperlink" xfId="1027" builtinId="9" hidden="1"/>
    <cellStyle name="Followed Hyperlink" xfId="1029" builtinId="9" hidden="1"/>
    <cellStyle name="Followed Hyperlink" xfId="1031" builtinId="9" hidden="1"/>
    <cellStyle name="Followed Hyperlink" xfId="1033" builtinId="9" hidden="1"/>
    <cellStyle name="Followed Hyperlink" xfId="1035" builtinId="9" hidden="1"/>
    <cellStyle name="Followed Hyperlink" xfId="1037" builtinId="9" hidden="1"/>
    <cellStyle name="Followed Hyperlink" xfId="1039" builtinId="9" hidden="1"/>
    <cellStyle name="Followed Hyperlink" xfId="1041" builtinId="9" hidden="1"/>
    <cellStyle name="Followed Hyperlink" xfId="1043" builtinId="9" hidden="1"/>
    <cellStyle name="Followed Hyperlink" xfId="1045" builtinId="9" hidden="1"/>
    <cellStyle name="Followed Hyperlink" xfId="1047" builtinId="9" hidden="1"/>
    <cellStyle name="Followed Hyperlink" xfId="1049" builtinId="9" hidden="1"/>
    <cellStyle name="Followed Hyperlink" xfId="1051" builtinId="9" hidden="1"/>
    <cellStyle name="Followed Hyperlink" xfId="1053" builtinId="9" hidden="1"/>
    <cellStyle name="Followed Hyperlink" xfId="1055" builtinId="9" hidden="1"/>
    <cellStyle name="Followed Hyperlink" xfId="1057" builtinId="9" hidden="1"/>
    <cellStyle name="Followed Hyperlink" xfId="1059" builtinId="9" hidden="1"/>
    <cellStyle name="Followed Hyperlink" xfId="1061" builtinId="9" hidden="1"/>
    <cellStyle name="Followed Hyperlink" xfId="1063" builtinId="9" hidden="1"/>
    <cellStyle name="Followed Hyperlink" xfId="1065" builtinId="9" hidden="1"/>
    <cellStyle name="Followed Hyperlink" xfId="1067" builtinId="9" hidden="1"/>
    <cellStyle name="Followed Hyperlink" xfId="1069" builtinId="9" hidden="1"/>
    <cellStyle name="Followed Hyperlink" xfId="1071" builtinId="9" hidden="1"/>
    <cellStyle name="Followed Hyperlink" xfId="1073" builtinId="9" hidden="1"/>
    <cellStyle name="Followed Hyperlink" xfId="1075" builtinId="9" hidden="1"/>
    <cellStyle name="Followed Hyperlink" xfId="1077" builtinId="9" hidden="1"/>
    <cellStyle name="Followed Hyperlink" xfId="1079" builtinId="9" hidden="1"/>
    <cellStyle name="Followed Hyperlink" xfId="1081" builtinId="9" hidden="1"/>
    <cellStyle name="Followed Hyperlink" xfId="1083" builtinId="9" hidden="1"/>
    <cellStyle name="Followed Hyperlink" xfId="1085" builtinId="9" hidden="1"/>
    <cellStyle name="Followed Hyperlink" xfId="1087" builtinId="9" hidden="1"/>
    <cellStyle name="Followed Hyperlink" xfId="1089" builtinId="9" hidden="1"/>
    <cellStyle name="Followed Hyperlink" xfId="1091" builtinId="9" hidden="1"/>
    <cellStyle name="Followed Hyperlink" xfId="1093" builtinId="9" hidden="1"/>
    <cellStyle name="Followed Hyperlink" xfId="1095" builtinId="9" hidden="1"/>
    <cellStyle name="Followed Hyperlink" xfId="1097" builtinId="9" hidden="1"/>
    <cellStyle name="Followed Hyperlink" xfId="1099" builtinId="9" hidden="1"/>
    <cellStyle name="Followed Hyperlink" xfId="1101" builtinId="9" hidden="1"/>
    <cellStyle name="Followed Hyperlink" xfId="1103" builtinId="9" hidden="1"/>
    <cellStyle name="Followed Hyperlink" xfId="1105" builtinId="9" hidden="1"/>
    <cellStyle name="Followed Hyperlink" xfId="1107" builtinId="9" hidden="1"/>
    <cellStyle name="Followed Hyperlink" xfId="1109" builtinId="9" hidden="1"/>
    <cellStyle name="Followed Hyperlink" xfId="1111" builtinId="9" hidden="1"/>
    <cellStyle name="Followed Hyperlink" xfId="1113" builtinId="9" hidden="1"/>
    <cellStyle name="Followed Hyperlink" xfId="1115" builtinId="9" hidden="1"/>
    <cellStyle name="Followed Hyperlink" xfId="1117" builtinId="9" hidden="1"/>
    <cellStyle name="Followed Hyperlink" xfId="1119" builtinId="9" hidden="1"/>
    <cellStyle name="Followed Hyperlink" xfId="1121" builtinId="9" hidden="1"/>
    <cellStyle name="Followed Hyperlink" xfId="1123" builtinId="9" hidden="1"/>
    <cellStyle name="Followed Hyperlink" xfId="1125" builtinId="9" hidden="1"/>
    <cellStyle name="Followed Hyperlink" xfId="1127" builtinId="9" hidden="1"/>
    <cellStyle name="Followed Hyperlink" xfId="1129" builtinId="9" hidden="1"/>
    <cellStyle name="Followed Hyperlink" xfId="1131" builtinId="9" hidden="1"/>
    <cellStyle name="Followed Hyperlink" xfId="1133" builtinId="9" hidden="1"/>
    <cellStyle name="Followed Hyperlink" xfId="1135" builtinId="9" hidden="1"/>
    <cellStyle name="Followed Hyperlink" xfId="1137" builtinId="9" hidden="1"/>
    <cellStyle name="Followed Hyperlink" xfId="1139" builtinId="9" hidden="1"/>
    <cellStyle name="Followed Hyperlink" xfId="1141" builtinId="9" hidden="1"/>
    <cellStyle name="Followed Hyperlink" xfId="1143" builtinId="9" hidden="1"/>
    <cellStyle name="Followed Hyperlink" xfId="1145" builtinId="9" hidden="1"/>
    <cellStyle name="Followed Hyperlink" xfId="1147" builtinId="9" hidden="1"/>
    <cellStyle name="Followed Hyperlink" xfId="1149" builtinId="9" hidden="1"/>
    <cellStyle name="Followed Hyperlink" xfId="1151" builtinId="9" hidden="1"/>
    <cellStyle name="Followed Hyperlink" xfId="1153" builtinId="9" hidden="1"/>
    <cellStyle name="Followed Hyperlink" xfId="1155" builtinId="9" hidden="1"/>
    <cellStyle name="Followed Hyperlink" xfId="1157" builtinId="9" hidden="1"/>
    <cellStyle name="Followed Hyperlink" xfId="1159" builtinId="9" hidden="1"/>
    <cellStyle name="Followed Hyperlink" xfId="1161" builtinId="9" hidden="1"/>
    <cellStyle name="Followed Hyperlink" xfId="1163" builtinId="9" hidden="1"/>
    <cellStyle name="Followed Hyperlink" xfId="1165" builtinId="9" hidden="1"/>
    <cellStyle name="Followed Hyperlink" xfId="1167" builtinId="9" hidden="1"/>
    <cellStyle name="Followed Hyperlink" xfId="1169" builtinId="9" hidden="1"/>
    <cellStyle name="Followed Hyperlink" xfId="1171" builtinId="9" hidden="1"/>
    <cellStyle name="Followed Hyperlink" xfId="1173" builtinId="9" hidden="1"/>
    <cellStyle name="Followed Hyperlink" xfId="1175" builtinId="9" hidden="1"/>
    <cellStyle name="Followed Hyperlink" xfId="1177" builtinId="9" hidden="1"/>
    <cellStyle name="Followed Hyperlink" xfId="1179" builtinId="9" hidden="1"/>
    <cellStyle name="Followed Hyperlink" xfId="1181" builtinId="9" hidden="1"/>
    <cellStyle name="Followed Hyperlink" xfId="1183" builtinId="9" hidden="1"/>
    <cellStyle name="Followed Hyperlink" xfId="1185" builtinId="9" hidden="1"/>
    <cellStyle name="Followed Hyperlink" xfId="1187" builtinId="9" hidden="1"/>
    <cellStyle name="Followed Hyperlink" xfId="1189" builtinId="9" hidden="1"/>
    <cellStyle name="Followed Hyperlink" xfId="1191" builtinId="9" hidden="1"/>
    <cellStyle name="Followed Hyperlink" xfId="1193" builtinId="9" hidden="1"/>
    <cellStyle name="Followed Hyperlink" xfId="1195" builtinId="9" hidden="1"/>
    <cellStyle name="Followed Hyperlink" xfId="1197" builtinId="9" hidden="1"/>
    <cellStyle name="Followed Hyperlink" xfId="1199" builtinId="9" hidden="1"/>
    <cellStyle name="Followed Hyperlink" xfId="1201" builtinId="9" hidden="1"/>
    <cellStyle name="Followed Hyperlink" xfId="1203" builtinId="9" hidden="1"/>
    <cellStyle name="Followed Hyperlink" xfId="1205" builtinId="9" hidden="1"/>
    <cellStyle name="Followed Hyperlink" xfId="1207" builtinId="9" hidden="1"/>
    <cellStyle name="Followed Hyperlink" xfId="1209" builtinId="9" hidden="1"/>
    <cellStyle name="Followed Hyperlink" xfId="1211" builtinId="9" hidden="1"/>
    <cellStyle name="Followed Hyperlink" xfId="1213" builtinId="9" hidden="1"/>
    <cellStyle name="Followed Hyperlink" xfId="1215" builtinId="9" hidden="1"/>
    <cellStyle name="Followed Hyperlink" xfId="1217" builtinId="9" hidden="1"/>
    <cellStyle name="Followed Hyperlink" xfId="1219" builtinId="9" hidden="1"/>
    <cellStyle name="Followed Hyperlink" xfId="1221" builtinId="9" hidden="1"/>
    <cellStyle name="Followed Hyperlink" xfId="1223" builtinId="9" hidden="1"/>
    <cellStyle name="Followed Hyperlink" xfId="1225" builtinId="9" hidden="1"/>
    <cellStyle name="Followed Hyperlink" xfId="1227" builtinId="9" hidden="1"/>
    <cellStyle name="Followed Hyperlink" xfId="1229" builtinId="9" hidden="1"/>
    <cellStyle name="Followed Hyperlink" xfId="1231" builtinId="9" hidden="1"/>
    <cellStyle name="Followed Hyperlink" xfId="1233" builtinId="9" hidden="1"/>
    <cellStyle name="Followed Hyperlink" xfId="1235" builtinId="9" hidden="1"/>
    <cellStyle name="Followed Hyperlink" xfId="1237" builtinId="9" hidden="1"/>
    <cellStyle name="Followed Hyperlink" xfId="1239" builtinId="9" hidden="1"/>
    <cellStyle name="Followed Hyperlink" xfId="1241" builtinId="9" hidden="1"/>
    <cellStyle name="Followed Hyperlink" xfId="1243" builtinId="9" hidden="1"/>
    <cellStyle name="Followed Hyperlink" xfId="1245" builtinId="9" hidden="1"/>
    <cellStyle name="Followed Hyperlink" xfId="1247" builtinId="9" hidden="1"/>
    <cellStyle name="Followed Hyperlink" xfId="1249" builtinId="9" hidden="1"/>
    <cellStyle name="Followed Hyperlink" xfId="1251" builtinId="9" hidden="1"/>
    <cellStyle name="Followed Hyperlink" xfId="1253" builtinId="9" hidden="1"/>
    <cellStyle name="Followed Hyperlink" xfId="1255" builtinId="9" hidden="1"/>
    <cellStyle name="Followed Hyperlink" xfId="1257" builtinId="9" hidden="1"/>
    <cellStyle name="Followed Hyperlink" xfId="1259" builtinId="9" hidden="1"/>
    <cellStyle name="Followed Hyperlink" xfId="1261" builtinId="9" hidden="1"/>
    <cellStyle name="Followed Hyperlink" xfId="1263" builtinId="9" hidden="1"/>
    <cellStyle name="Followed Hyperlink" xfId="1265" builtinId="9" hidden="1"/>
    <cellStyle name="Followed Hyperlink" xfId="1267" builtinId="9" hidden="1"/>
    <cellStyle name="Followed Hyperlink" xfId="1269" builtinId="9" hidden="1"/>
    <cellStyle name="Followed Hyperlink" xfId="1271" builtinId="9" hidden="1"/>
    <cellStyle name="Followed Hyperlink" xfId="1273" builtinId="9" hidden="1"/>
    <cellStyle name="Followed Hyperlink" xfId="1275" builtinId="9" hidden="1"/>
    <cellStyle name="Followed Hyperlink" xfId="1277" builtinId="9" hidden="1"/>
    <cellStyle name="Followed Hyperlink" xfId="1279" builtinId="9" hidden="1"/>
    <cellStyle name="Followed Hyperlink" xfId="1281" builtinId="9" hidden="1"/>
    <cellStyle name="Followed Hyperlink" xfId="1283" builtinId="9" hidden="1"/>
    <cellStyle name="Followed Hyperlink" xfId="1285" builtinId="9" hidden="1"/>
    <cellStyle name="Followed Hyperlink" xfId="1287" builtinId="9" hidden="1"/>
    <cellStyle name="Followed Hyperlink" xfId="1289" builtinId="9" hidden="1"/>
    <cellStyle name="Followed Hyperlink" xfId="1291" builtinId="9" hidden="1"/>
    <cellStyle name="Followed Hyperlink" xfId="1293" builtinId="9" hidden="1"/>
    <cellStyle name="Followed Hyperlink" xfId="1295" builtinId="9" hidden="1"/>
    <cellStyle name="Followed Hyperlink" xfId="1297" builtinId="9" hidden="1"/>
    <cellStyle name="Followed Hyperlink" xfId="1299" builtinId="9" hidden="1"/>
    <cellStyle name="Followed Hyperlink" xfId="1301" builtinId="9" hidden="1"/>
    <cellStyle name="Followed Hyperlink" xfId="1303" builtinId="9" hidden="1"/>
    <cellStyle name="Followed Hyperlink" xfId="1305" builtinId="9" hidden="1"/>
    <cellStyle name="Followed Hyperlink" xfId="1307" builtinId="9" hidden="1"/>
    <cellStyle name="Followed Hyperlink" xfId="1309" builtinId="9" hidden="1"/>
    <cellStyle name="Followed Hyperlink" xfId="1311" builtinId="9" hidden="1"/>
    <cellStyle name="Followed Hyperlink" xfId="1313" builtinId="9" hidden="1"/>
    <cellStyle name="Followed Hyperlink" xfId="1315" builtinId="9" hidden="1"/>
    <cellStyle name="Followed Hyperlink" xfId="1317" builtinId="9" hidden="1"/>
    <cellStyle name="Followed Hyperlink" xfId="1319" builtinId="9" hidden="1"/>
    <cellStyle name="Followed Hyperlink" xfId="1321" builtinId="9" hidden="1"/>
    <cellStyle name="Followed Hyperlink" xfId="1323" builtinId="9" hidden="1"/>
    <cellStyle name="Followed Hyperlink" xfId="1325" builtinId="9" hidden="1"/>
    <cellStyle name="Followed Hyperlink" xfId="1327" builtinId="9" hidden="1"/>
    <cellStyle name="Followed Hyperlink" xfId="1329" builtinId="9" hidden="1"/>
    <cellStyle name="Followed Hyperlink" xfId="1331" builtinId="9" hidden="1"/>
    <cellStyle name="Followed Hyperlink" xfId="1333" builtinId="9" hidden="1"/>
    <cellStyle name="Followed Hyperlink" xfId="1335" builtinId="9" hidden="1"/>
    <cellStyle name="Followed Hyperlink" xfId="1337" builtinId="9" hidden="1"/>
    <cellStyle name="Followed Hyperlink" xfId="1339" builtinId="9" hidden="1"/>
    <cellStyle name="Followed Hyperlink" xfId="1341" builtinId="9" hidden="1"/>
    <cellStyle name="Followed Hyperlink" xfId="1343" builtinId="9" hidden="1"/>
    <cellStyle name="Followed Hyperlink" xfId="1345" builtinId="9" hidden="1"/>
    <cellStyle name="Followed Hyperlink" xfId="1347" builtinId="9" hidden="1"/>
    <cellStyle name="Followed Hyperlink" xfId="1349" builtinId="9" hidden="1"/>
    <cellStyle name="Followed Hyperlink" xfId="1351" builtinId="9" hidden="1"/>
    <cellStyle name="Followed Hyperlink" xfId="1353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Hyperlink" xfId="638" builtinId="8" hidden="1"/>
    <cellStyle name="Hyperlink" xfId="640" builtinId="8" hidden="1"/>
    <cellStyle name="Hyperlink" xfId="642" builtinId="8" hidden="1"/>
    <cellStyle name="Hyperlink" xfId="644" builtinId="8" hidden="1"/>
    <cellStyle name="Hyperlink" xfId="646" builtinId="8" hidden="1"/>
    <cellStyle name="Hyperlink" xfId="648" builtinId="8" hidden="1"/>
    <cellStyle name="Hyperlink" xfId="650" builtinId="8" hidden="1"/>
    <cellStyle name="Hyperlink" xfId="652" builtinId="8" hidden="1"/>
    <cellStyle name="Hyperlink" xfId="654" builtinId="8" hidden="1"/>
    <cellStyle name="Hyperlink" xfId="656" builtinId="8" hidden="1"/>
    <cellStyle name="Hyperlink" xfId="658" builtinId="8" hidden="1"/>
    <cellStyle name="Hyperlink" xfId="660" builtinId="8" hidden="1"/>
    <cellStyle name="Hyperlink" xfId="662" builtinId="8" hidden="1"/>
    <cellStyle name="Hyperlink" xfId="664" builtinId="8" hidden="1"/>
    <cellStyle name="Hyperlink" xfId="666" builtinId="8" hidden="1"/>
    <cellStyle name="Hyperlink" xfId="668" builtinId="8" hidden="1"/>
    <cellStyle name="Hyperlink" xfId="670" builtinId="8" hidden="1"/>
    <cellStyle name="Hyperlink" xfId="672" builtinId="8" hidden="1"/>
    <cellStyle name="Hyperlink" xfId="674" builtinId="8" hidden="1"/>
    <cellStyle name="Hyperlink" xfId="676" builtinId="8" hidden="1"/>
    <cellStyle name="Hyperlink" xfId="678" builtinId="8" hidden="1"/>
    <cellStyle name="Hyperlink" xfId="680" builtinId="8" hidden="1"/>
    <cellStyle name="Hyperlink" xfId="682" builtinId="8" hidden="1"/>
    <cellStyle name="Hyperlink" xfId="684" builtinId="8" hidden="1"/>
    <cellStyle name="Hyperlink" xfId="686" builtinId="8" hidden="1"/>
    <cellStyle name="Hyperlink" xfId="688" builtinId="8" hidden="1"/>
    <cellStyle name="Hyperlink" xfId="690" builtinId="8" hidden="1"/>
    <cellStyle name="Hyperlink" xfId="692" builtinId="8" hidden="1"/>
    <cellStyle name="Hyperlink" xfId="694" builtinId="8" hidden="1"/>
    <cellStyle name="Hyperlink" xfId="696" builtinId="8" hidden="1"/>
    <cellStyle name="Hyperlink" xfId="698" builtinId="8" hidden="1"/>
    <cellStyle name="Hyperlink" xfId="700" builtinId="8" hidden="1"/>
    <cellStyle name="Hyperlink" xfId="702" builtinId="8" hidden="1"/>
    <cellStyle name="Hyperlink" xfId="704" builtinId="8" hidden="1"/>
    <cellStyle name="Hyperlink" xfId="706" builtinId="8" hidden="1"/>
    <cellStyle name="Hyperlink" xfId="708" builtinId="8" hidden="1"/>
    <cellStyle name="Hyperlink" xfId="710" builtinId="8" hidden="1"/>
    <cellStyle name="Hyperlink" xfId="712" builtinId="8" hidden="1"/>
    <cellStyle name="Hyperlink" xfId="714" builtinId="8" hidden="1"/>
    <cellStyle name="Hyperlink" xfId="716" builtinId="8" hidden="1"/>
    <cellStyle name="Hyperlink" xfId="718" builtinId="8" hidden="1"/>
    <cellStyle name="Hyperlink" xfId="720" builtinId="8" hidden="1"/>
    <cellStyle name="Hyperlink" xfId="722" builtinId="8" hidden="1"/>
    <cellStyle name="Hyperlink" xfId="724" builtinId="8" hidden="1"/>
    <cellStyle name="Hyperlink" xfId="726" builtinId="8" hidden="1"/>
    <cellStyle name="Hyperlink" xfId="728" builtinId="8" hidden="1"/>
    <cellStyle name="Hyperlink" xfId="730" builtinId="8" hidden="1"/>
    <cellStyle name="Hyperlink" xfId="732" builtinId="8" hidden="1"/>
    <cellStyle name="Hyperlink" xfId="734" builtinId="8" hidden="1"/>
    <cellStyle name="Hyperlink" xfId="736" builtinId="8" hidden="1"/>
    <cellStyle name="Hyperlink" xfId="738" builtinId="8" hidden="1"/>
    <cellStyle name="Hyperlink" xfId="740" builtinId="8" hidden="1"/>
    <cellStyle name="Hyperlink" xfId="742" builtinId="8" hidden="1"/>
    <cellStyle name="Hyperlink" xfId="744" builtinId="8" hidden="1"/>
    <cellStyle name="Hyperlink" xfId="746" builtinId="8" hidden="1"/>
    <cellStyle name="Hyperlink" xfId="748" builtinId="8" hidden="1"/>
    <cellStyle name="Hyperlink" xfId="750" builtinId="8" hidden="1"/>
    <cellStyle name="Hyperlink" xfId="752" builtinId="8" hidden="1"/>
    <cellStyle name="Hyperlink" xfId="754" builtinId="8" hidden="1"/>
    <cellStyle name="Hyperlink" xfId="756" builtinId="8" hidden="1"/>
    <cellStyle name="Hyperlink" xfId="758" builtinId="8" hidden="1"/>
    <cellStyle name="Hyperlink" xfId="760" builtinId="8" hidden="1"/>
    <cellStyle name="Hyperlink" xfId="762" builtinId="8" hidden="1"/>
    <cellStyle name="Hyperlink" xfId="764" builtinId="8" hidden="1"/>
    <cellStyle name="Hyperlink" xfId="766" builtinId="8" hidden="1"/>
    <cellStyle name="Hyperlink" xfId="768" builtinId="8" hidden="1"/>
    <cellStyle name="Hyperlink" xfId="770" builtinId="8" hidden="1"/>
    <cellStyle name="Hyperlink" xfId="772" builtinId="8" hidden="1"/>
    <cellStyle name="Hyperlink" xfId="774" builtinId="8" hidden="1"/>
    <cellStyle name="Hyperlink" xfId="776" builtinId="8" hidden="1"/>
    <cellStyle name="Hyperlink" xfId="778" builtinId="8" hidden="1"/>
    <cellStyle name="Hyperlink" xfId="780" builtinId="8" hidden="1"/>
    <cellStyle name="Hyperlink" xfId="782" builtinId="8" hidden="1"/>
    <cellStyle name="Hyperlink" xfId="784" builtinId="8" hidden="1"/>
    <cellStyle name="Hyperlink" xfId="786" builtinId="8" hidden="1"/>
    <cellStyle name="Hyperlink" xfId="788" builtinId="8" hidden="1"/>
    <cellStyle name="Hyperlink" xfId="790" builtinId="8" hidden="1"/>
    <cellStyle name="Hyperlink" xfId="792" builtinId="8" hidden="1"/>
    <cellStyle name="Hyperlink" xfId="794" builtinId="8" hidden="1"/>
    <cellStyle name="Hyperlink" xfId="796" builtinId="8" hidden="1"/>
    <cellStyle name="Hyperlink" xfId="798" builtinId="8" hidden="1"/>
    <cellStyle name="Hyperlink" xfId="800" builtinId="8" hidden="1"/>
    <cellStyle name="Hyperlink" xfId="802" builtinId="8" hidden="1"/>
    <cellStyle name="Hyperlink" xfId="804" builtinId="8" hidden="1"/>
    <cellStyle name="Hyperlink" xfId="806" builtinId="8" hidden="1"/>
    <cellStyle name="Hyperlink" xfId="808" builtinId="8" hidden="1"/>
    <cellStyle name="Hyperlink" xfId="810" builtinId="8" hidden="1"/>
    <cellStyle name="Hyperlink" xfId="812" builtinId="8" hidden="1"/>
    <cellStyle name="Hyperlink" xfId="814" builtinId="8" hidden="1"/>
    <cellStyle name="Hyperlink" xfId="816" builtinId="8" hidden="1"/>
    <cellStyle name="Hyperlink" xfId="818" builtinId="8" hidden="1"/>
    <cellStyle name="Hyperlink" xfId="820" builtinId="8" hidden="1"/>
    <cellStyle name="Hyperlink" xfId="822" builtinId="8" hidden="1"/>
    <cellStyle name="Hyperlink" xfId="824" builtinId="8" hidden="1"/>
    <cellStyle name="Hyperlink" xfId="826" builtinId="8" hidden="1"/>
    <cellStyle name="Hyperlink" xfId="828" builtinId="8" hidden="1"/>
    <cellStyle name="Hyperlink" xfId="830" builtinId="8" hidden="1"/>
    <cellStyle name="Hyperlink" xfId="832" builtinId="8" hidden="1"/>
    <cellStyle name="Hyperlink" xfId="834" builtinId="8" hidden="1"/>
    <cellStyle name="Hyperlink" xfId="836" builtinId="8" hidden="1"/>
    <cellStyle name="Hyperlink" xfId="838" builtinId="8" hidden="1"/>
    <cellStyle name="Hyperlink" xfId="840" builtinId="8" hidden="1"/>
    <cellStyle name="Hyperlink" xfId="842" builtinId="8" hidden="1"/>
    <cellStyle name="Hyperlink" xfId="844" builtinId="8" hidden="1"/>
    <cellStyle name="Hyperlink" xfId="846" builtinId="8" hidden="1"/>
    <cellStyle name="Hyperlink" xfId="848" builtinId="8" hidden="1"/>
    <cellStyle name="Hyperlink" xfId="850" builtinId="8" hidden="1"/>
    <cellStyle name="Hyperlink" xfId="852" builtinId="8" hidden="1"/>
    <cellStyle name="Hyperlink" xfId="854" builtinId="8" hidden="1"/>
    <cellStyle name="Hyperlink" xfId="856" builtinId="8" hidden="1"/>
    <cellStyle name="Hyperlink" xfId="858" builtinId="8" hidden="1"/>
    <cellStyle name="Hyperlink" xfId="860" builtinId="8" hidden="1"/>
    <cellStyle name="Hyperlink" xfId="862" builtinId="8" hidden="1"/>
    <cellStyle name="Hyperlink" xfId="864" builtinId="8" hidden="1"/>
    <cellStyle name="Hyperlink" xfId="866" builtinId="8" hidden="1"/>
    <cellStyle name="Hyperlink" xfId="868" builtinId="8" hidden="1"/>
    <cellStyle name="Hyperlink" xfId="870" builtinId="8" hidden="1"/>
    <cellStyle name="Hyperlink" xfId="872" builtinId="8" hidden="1"/>
    <cellStyle name="Hyperlink" xfId="874" builtinId="8" hidden="1"/>
    <cellStyle name="Hyperlink" xfId="876" builtinId="8" hidden="1"/>
    <cellStyle name="Hyperlink" xfId="878" builtinId="8" hidden="1"/>
    <cellStyle name="Hyperlink" xfId="880" builtinId="8" hidden="1"/>
    <cellStyle name="Hyperlink" xfId="882" builtinId="8" hidden="1"/>
    <cellStyle name="Hyperlink" xfId="884" builtinId="8" hidden="1"/>
    <cellStyle name="Hyperlink" xfId="886" builtinId="8" hidden="1"/>
    <cellStyle name="Hyperlink" xfId="888" builtinId="8" hidden="1"/>
    <cellStyle name="Hyperlink" xfId="890" builtinId="8" hidden="1"/>
    <cellStyle name="Hyperlink" xfId="892" builtinId="8" hidden="1"/>
    <cellStyle name="Hyperlink" xfId="894" builtinId="8" hidden="1"/>
    <cellStyle name="Hyperlink" xfId="896" builtinId="8" hidden="1"/>
    <cellStyle name="Hyperlink" xfId="898" builtinId="8" hidden="1"/>
    <cellStyle name="Hyperlink" xfId="900" builtinId="8" hidden="1"/>
    <cellStyle name="Hyperlink" xfId="902" builtinId="8" hidden="1"/>
    <cellStyle name="Hyperlink" xfId="904" builtinId="8" hidden="1"/>
    <cellStyle name="Hyperlink" xfId="906" builtinId="8" hidden="1"/>
    <cellStyle name="Hyperlink" xfId="908" builtinId="8" hidden="1"/>
    <cellStyle name="Hyperlink" xfId="910" builtinId="8" hidden="1"/>
    <cellStyle name="Hyperlink" xfId="912" builtinId="8" hidden="1"/>
    <cellStyle name="Hyperlink" xfId="914" builtinId="8" hidden="1"/>
    <cellStyle name="Hyperlink" xfId="916" builtinId="8" hidden="1"/>
    <cellStyle name="Hyperlink" xfId="918" builtinId="8" hidden="1"/>
    <cellStyle name="Hyperlink" xfId="920" builtinId="8" hidden="1"/>
    <cellStyle name="Hyperlink" xfId="922" builtinId="8" hidden="1"/>
    <cellStyle name="Hyperlink" xfId="924" builtinId="8" hidden="1"/>
    <cellStyle name="Hyperlink" xfId="926" builtinId="8" hidden="1"/>
    <cellStyle name="Hyperlink" xfId="928" builtinId="8" hidden="1"/>
    <cellStyle name="Hyperlink" xfId="930" builtinId="8" hidden="1"/>
    <cellStyle name="Hyperlink" xfId="932" builtinId="8" hidden="1"/>
    <cellStyle name="Hyperlink" xfId="934" builtinId="8" hidden="1"/>
    <cellStyle name="Hyperlink" xfId="936" builtinId="8" hidden="1"/>
    <cellStyle name="Hyperlink" xfId="938" builtinId="8" hidden="1"/>
    <cellStyle name="Hyperlink" xfId="940" builtinId="8" hidden="1"/>
    <cellStyle name="Hyperlink" xfId="942" builtinId="8" hidden="1"/>
    <cellStyle name="Hyperlink" xfId="944" builtinId="8" hidden="1"/>
    <cellStyle name="Hyperlink" xfId="946" builtinId="8" hidden="1"/>
    <cellStyle name="Hyperlink" xfId="948" builtinId="8" hidden="1"/>
    <cellStyle name="Hyperlink" xfId="950" builtinId="8" hidden="1"/>
    <cellStyle name="Hyperlink" xfId="952" builtinId="8" hidden="1"/>
    <cellStyle name="Hyperlink" xfId="954" builtinId="8" hidden="1"/>
    <cellStyle name="Hyperlink" xfId="956" builtinId="8" hidden="1"/>
    <cellStyle name="Hyperlink" xfId="958" builtinId="8" hidden="1"/>
    <cellStyle name="Hyperlink" xfId="960" builtinId="8" hidden="1"/>
    <cellStyle name="Hyperlink" xfId="962" builtinId="8" hidden="1"/>
    <cellStyle name="Hyperlink" xfId="964" builtinId="8" hidden="1"/>
    <cellStyle name="Hyperlink" xfId="966" builtinId="8" hidden="1"/>
    <cellStyle name="Hyperlink" xfId="968" builtinId="8" hidden="1"/>
    <cellStyle name="Hyperlink" xfId="970" builtinId="8" hidden="1"/>
    <cellStyle name="Hyperlink" xfId="972" builtinId="8" hidden="1"/>
    <cellStyle name="Hyperlink" xfId="974" builtinId="8" hidden="1"/>
    <cellStyle name="Hyperlink" xfId="976" builtinId="8" hidden="1"/>
    <cellStyle name="Hyperlink" xfId="978" builtinId="8" hidden="1"/>
    <cellStyle name="Hyperlink" xfId="980" builtinId="8" hidden="1"/>
    <cellStyle name="Hyperlink" xfId="982" builtinId="8" hidden="1"/>
    <cellStyle name="Hyperlink" xfId="984" builtinId="8" hidden="1"/>
    <cellStyle name="Hyperlink" xfId="986" builtinId="8" hidden="1"/>
    <cellStyle name="Hyperlink" xfId="988" builtinId="8" hidden="1"/>
    <cellStyle name="Hyperlink" xfId="990" builtinId="8" hidden="1"/>
    <cellStyle name="Hyperlink" xfId="992" builtinId="8" hidden="1"/>
    <cellStyle name="Hyperlink" xfId="994" builtinId="8" hidden="1"/>
    <cellStyle name="Hyperlink" xfId="996" builtinId="8" hidden="1"/>
    <cellStyle name="Hyperlink" xfId="998" builtinId="8" hidden="1"/>
    <cellStyle name="Hyperlink" xfId="1000" builtinId="8" hidden="1"/>
    <cellStyle name="Hyperlink" xfId="1002" builtinId="8" hidden="1"/>
    <cellStyle name="Hyperlink" xfId="1004" builtinId="8" hidden="1"/>
    <cellStyle name="Hyperlink" xfId="1006" builtinId="8" hidden="1"/>
    <cellStyle name="Hyperlink" xfId="1008" builtinId="8" hidden="1"/>
    <cellStyle name="Hyperlink" xfId="1010" builtinId="8" hidden="1"/>
    <cellStyle name="Hyperlink" xfId="1012" builtinId="8" hidden="1"/>
    <cellStyle name="Hyperlink" xfId="1014" builtinId="8" hidden="1"/>
    <cellStyle name="Hyperlink" xfId="1016" builtinId="8" hidden="1"/>
    <cellStyle name="Hyperlink" xfId="1018" builtinId="8" hidden="1"/>
    <cellStyle name="Hyperlink" xfId="1020" builtinId="8" hidden="1"/>
    <cellStyle name="Hyperlink" xfId="1022" builtinId="8" hidden="1"/>
    <cellStyle name="Hyperlink" xfId="1024" builtinId="8" hidden="1"/>
    <cellStyle name="Hyperlink" xfId="1026" builtinId="8" hidden="1"/>
    <cellStyle name="Hyperlink" xfId="1028" builtinId="8" hidden="1"/>
    <cellStyle name="Hyperlink" xfId="1030" builtinId="8" hidden="1"/>
    <cellStyle name="Hyperlink" xfId="1032" builtinId="8" hidden="1"/>
    <cellStyle name="Hyperlink" xfId="1034" builtinId="8" hidden="1"/>
    <cellStyle name="Hyperlink" xfId="1036" builtinId="8" hidden="1"/>
    <cellStyle name="Hyperlink" xfId="1038" builtinId="8" hidden="1"/>
    <cellStyle name="Hyperlink" xfId="1040" builtinId="8" hidden="1"/>
    <cellStyle name="Hyperlink" xfId="1042" builtinId="8" hidden="1"/>
    <cellStyle name="Hyperlink" xfId="1044" builtinId="8" hidden="1"/>
    <cellStyle name="Hyperlink" xfId="1046" builtinId="8" hidden="1"/>
    <cellStyle name="Hyperlink" xfId="1048" builtinId="8" hidden="1"/>
    <cellStyle name="Hyperlink" xfId="1050" builtinId="8" hidden="1"/>
    <cellStyle name="Hyperlink" xfId="1052" builtinId="8" hidden="1"/>
    <cellStyle name="Hyperlink" xfId="1054" builtinId="8" hidden="1"/>
    <cellStyle name="Hyperlink" xfId="1056" builtinId="8" hidden="1"/>
    <cellStyle name="Hyperlink" xfId="1058" builtinId="8" hidden="1"/>
    <cellStyle name="Hyperlink" xfId="1060" builtinId="8" hidden="1"/>
    <cellStyle name="Hyperlink" xfId="1062" builtinId="8" hidden="1"/>
    <cellStyle name="Hyperlink" xfId="1064" builtinId="8" hidden="1"/>
    <cellStyle name="Hyperlink" xfId="1066" builtinId="8" hidden="1"/>
    <cellStyle name="Hyperlink" xfId="1068" builtinId="8" hidden="1"/>
    <cellStyle name="Hyperlink" xfId="1070" builtinId="8" hidden="1"/>
    <cellStyle name="Hyperlink" xfId="1072" builtinId="8" hidden="1"/>
    <cellStyle name="Hyperlink" xfId="1074" builtinId="8" hidden="1"/>
    <cellStyle name="Hyperlink" xfId="1076" builtinId="8" hidden="1"/>
    <cellStyle name="Hyperlink" xfId="1078" builtinId="8" hidden="1"/>
    <cellStyle name="Hyperlink" xfId="1080" builtinId="8" hidden="1"/>
    <cellStyle name="Hyperlink" xfId="1082" builtinId="8" hidden="1"/>
    <cellStyle name="Hyperlink" xfId="1084" builtinId="8" hidden="1"/>
    <cellStyle name="Hyperlink" xfId="1086" builtinId="8" hidden="1"/>
    <cellStyle name="Hyperlink" xfId="1088" builtinId="8" hidden="1"/>
    <cellStyle name="Hyperlink" xfId="1090" builtinId="8" hidden="1"/>
    <cellStyle name="Hyperlink" xfId="1092" builtinId="8" hidden="1"/>
    <cellStyle name="Hyperlink" xfId="1094" builtinId="8" hidden="1"/>
    <cellStyle name="Hyperlink" xfId="1096" builtinId="8" hidden="1"/>
    <cellStyle name="Hyperlink" xfId="1098" builtinId="8" hidden="1"/>
    <cellStyle name="Hyperlink" xfId="1100" builtinId="8" hidden="1"/>
    <cellStyle name="Hyperlink" xfId="1102" builtinId="8" hidden="1"/>
    <cellStyle name="Hyperlink" xfId="1104" builtinId="8" hidden="1"/>
    <cellStyle name="Hyperlink" xfId="1106" builtinId="8" hidden="1"/>
    <cellStyle name="Hyperlink" xfId="1108" builtinId="8" hidden="1"/>
    <cellStyle name="Hyperlink" xfId="1110" builtinId="8" hidden="1"/>
    <cellStyle name="Hyperlink" xfId="1112" builtinId="8" hidden="1"/>
    <cellStyle name="Hyperlink" xfId="1114" builtinId="8" hidden="1"/>
    <cellStyle name="Hyperlink" xfId="1116" builtinId="8" hidden="1"/>
    <cellStyle name="Hyperlink" xfId="1118" builtinId="8" hidden="1"/>
    <cellStyle name="Hyperlink" xfId="1120" builtinId="8" hidden="1"/>
    <cellStyle name="Hyperlink" xfId="1122" builtinId="8" hidden="1"/>
    <cellStyle name="Hyperlink" xfId="1124" builtinId="8" hidden="1"/>
    <cellStyle name="Hyperlink" xfId="1126" builtinId="8" hidden="1"/>
    <cellStyle name="Hyperlink" xfId="1128" builtinId="8" hidden="1"/>
    <cellStyle name="Hyperlink" xfId="1130" builtinId="8" hidden="1"/>
    <cellStyle name="Hyperlink" xfId="1132" builtinId="8" hidden="1"/>
    <cellStyle name="Hyperlink" xfId="1134" builtinId="8" hidden="1"/>
    <cellStyle name="Hyperlink" xfId="1136" builtinId="8" hidden="1"/>
    <cellStyle name="Hyperlink" xfId="1138" builtinId="8" hidden="1"/>
    <cellStyle name="Hyperlink" xfId="1140" builtinId="8" hidden="1"/>
    <cellStyle name="Hyperlink" xfId="1142" builtinId="8" hidden="1"/>
    <cellStyle name="Hyperlink" xfId="1144" builtinId="8" hidden="1"/>
    <cellStyle name="Hyperlink" xfId="1146" builtinId="8" hidden="1"/>
    <cellStyle name="Hyperlink" xfId="1148" builtinId="8" hidden="1"/>
    <cellStyle name="Hyperlink" xfId="1150" builtinId="8" hidden="1"/>
    <cellStyle name="Hyperlink" xfId="1152" builtinId="8" hidden="1"/>
    <cellStyle name="Hyperlink" xfId="1154" builtinId="8" hidden="1"/>
    <cellStyle name="Hyperlink" xfId="1156" builtinId="8" hidden="1"/>
    <cellStyle name="Hyperlink" xfId="1158" builtinId="8" hidden="1"/>
    <cellStyle name="Hyperlink" xfId="1160" builtinId="8" hidden="1"/>
    <cellStyle name="Hyperlink" xfId="1162" builtinId="8" hidden="1"/>
    <cellStyle name="Hyperlink" xfId="1164" builtinId="8" hidden="1"/>
    <cellStyle name="Hyperlink" xfId="1166" builtinId="8" hidden="1"/>
    <cellStyle name="Hyperlink" xfId="1168" builtinId="8" hidden="1"/>
    <cellStyle name="Hyperlink" xfId="1170" builtinId="8" hidden="1"/>
    <cellStyle name="Hyperlink" xfId="1172" builtinId="8" hidden="1"/>
    <cellStyle name="Hyperlink" xfId="1174" builtinId="8" hidden="1"/>
    <cellStyle name="Hyperlink" xfId="1176" builtinId="8" hidden="1"/>
    <cellStyle name="Hyperlink" xfId="1178" builtinId="8" hidden="1"/>
    <cellStyle name="Hyperlink" xfId="1180" builtinId="8" hidden="1"/>
    <cellStyle name="Hyperlink" xfId="1182" builtinId="8" hidden="1"/>
    <cellStyle name="Hyperlink" xfId="1184" builtinId="8" hidden="1"/>
    <cellStyle name="Hyperlink" xfId="1186" builtinId="8" hidden="1"/>
    <cellStyle name="Hyperlink" xfId="1188" builtinId="8" hidden="1"/>
    <cellStyle name="Hyperlink" xfId="1190" builtinId="8" hidden="1"/>
    <cellStyle name="Hyperlink" xfId="1192" builtinId="8" hidden="1"/>
    <cellStyle name="Hyperlink" xfId="1194" builtinId="8" hidden="1"/>
    <cellStyle name="Hyperlink" xfId="1196" builtinId="8" hidden="1"/>
    <cellStyle name="Hyperlink" xfId="1198" builtinId="8" hidden="1"/>
    <cellStyle name="Hyperlink" xfId="1200" builtinId="8" hidden="1"/>
    <cellStyle name="Hyperlink" xfId="1202" builtinId="8" hidden="1"/>
    <cellStyle name="Hyperlink" xfId="1204" builtinId="8" hidden="1"/>
    <cellStyle name="Hyperlink" xfId="1206" builtinId="8" hidden="1"/>
    <cellStyle name="Hyperlink" xfId="1208" builtinId="8" hidden="1"/>
    <cellStyle name="Hyperlink" xfId="1210" builtinId="8" hidden="1"/>
    <cellStyle name="Hyperlink" xfId="1212" builtinId="8" hidden="1"/>
    <cellStyle name="Hyperlink" xfId="1214" builtinId="8" hidden="1"/>
    <cellStyle name="Hyperlink" xfId="1216" builtinId="8" hidden="1"/>
    <cellStyle name="Hyperlink" xfId="1218" builtinId="8" hidden="1"/>
    <cellStyle name="Hyperlink" xfId="1220" builtinId="8" hidden="1"/>
    <cellStyle name="Hyperlink" xfId="1222" builtinId="8" hidden="1"/>
    <cellStyle name="Hyperlink" xfId="1224" builtinId="8" hidden="1"/>
    <cellStyle name="Hyperlink" xfId="1226" builtinId="8" hidden="1"/>
    <cellStyle name="Hyperlink" xfId="1228" builtinId="8" hidden="1"/>
    <cellStyle name="Hyperlink" xfId="1230" builtinId="8" hidden="1"/>
    <cellStyle name="Hyperlink" xfId="1232" builtinId="8" hidden="1"/>
    <cellStyle name="Hyperlink" xfId="1234" builtinId="8" hidden="1"/>
    <cellStyle name="Hyperlink" xfId="1236" builtinId="8" hidden="1"/>
    <cellStyle name="Hyperlink" xfId="1238" builtinId="8" hidden="1"/>
    <cellStyle name="Hyperlink" xfId="1240" builtinId="8" hidden="1"/>
    <cellStyle name="Hyperlink" xfId="1242" builtinId="8" hidden="1"/>
    <cellStyle name="Hyperlink" xfId="1244" builtinId="8" hidden="1"/>
    <cellStyle name="Hyperlink" xfId="1246" builtinId="8" hidden="1"/>
    <cellStyle name="Hyperlink" xfId="1248" builtinId="8" hidden="1"/>
    <cellStyle name="Hyperlink" xfId="1250" builtinId="8" hidden="1"/>
    <cellStyle name="Hyperlink" xfId="1252" builtinId="8" hidden="1"/>
    <cellStyle name="Hyperlink" xfId="1254" builtinId="8" hidden="1"/>
    <cellStyle name="Hyperlink" xfId="1256" builtinId="8" hidden="1"/>
    <cellStyle name="Hyperlink" xfId="1258" builtinId="8" hidden="1"/>
    <cellStyle name="Hyperlink" xfId="1260" builtinId="8" hidden="1"/>
    <cellStyle name="Hyperlink" xfId="1262" builtinId="8" hidden="1"/>
    <cellStyle name="Hyperlink" xfId="1264" builtinId="8" hidden="1"/>
    <cellStyle name="Hyperlink" xfId="1266" builtinId="8" hidden="1"/>
    <cellStyle name="Hyperlink" xfId="1268" builtinId="8" hidden="1"/>
    <cellStyle name="Hyperlink" xfId="1270" builtinId="8" hidden="1"/>
    <cellStyle name="Hyperlink" xfId="1272" builtinId="8" hidden="1"/>
    <cellStyle name="Hyperlink" xfId="1274" builtinId="8" hidden="1"/>
    <cellStyle name="Hyperlink" xfId="1276" builtinId="8" hidden="1"/>
    <cellStyle name="Hyperlink" xfId="1278" builtinId="8" hidden="1"/>
    <cellStyle name="Hyperlink" xfId="1280" builtinId="8" hidden="1"/>
    <cellStyle name="Hyperlink" xfId="1282" builtinId="8" hidden="1"/>
    <cellStyle name="Hyperlink" xfId="1284" builtinId="8" hidden="1"/>
    <cellStyle name="Hyperlink" xfId="1286" builtinId="8" hidden="1"/>
    <cellStyle name="Hyperlink" xfId="1288" builtinId="8" hidden="1"/>
    <cellStyle name="Hyperlink" xfId="1290" builtinId="8" hidden="1"/>
    <cellStyle name="Hyperlink" xfId="1292" builtinId="8" hidden="1"/>
    <cellStyle name="Hyperlink" xfId="1294" builtinId="8" hidden="1"/>
    <cellStyle name="Hyperlink" xfId="1296" builtinId="8" hidden="1"/>
    <cellStyle name="Hyperlink" xfId="1298" builtinId="8" hidden="1"/>
    <cellStyle name="Hyperlink" xfId="1300" builtinId="8" hidden="1"/>
    <cellStyle name="Hyperlink" xfId="1302" builtinId="8" hidden="1"/>
    <cellStyle name="Hyperlink" xfId="1304" builtinId="8" hidden="1"/>
    <cellStyle name="Hyperlink" xfId="1306" builtinId="8" hidden="1"/>
    <cellStyle name="Hyperlink" xfId="1308" builtinId="8" hidden="1"/>
    <cellStyle name="Hyperlink" xfId="1310" builtinId="8" hidden="1"/>
    <cellStyle name="Hyperlink" xfId="1312" builtinId="8" hidden="1"/>
    <cellStyle name="Hyperlink" xfId="1314" builtinId="8" hidden="1"/>
    <cellStyle name="Hyperlink" xfId="1316" builtinId="8" hidden="1"/>
    <cellStyle name="Hyperlink" xfId="1318" builtinId="8" hidden="1"/>
    <cellStyle name="Hyperlink" xfId="1320" builtinId="8" hidden="1"/>
    <cellStyle name="Hyperlink" xfId="1322" builtinId="8" hidden="1"/>
    <cellStyle name="Hyperlink" xfId="1324" builtinId="8" hidden="1"/>
    <cellStyle name="Hyperlink" xfId="1326" builtinId="8" hidden="1"/>
    <cellStyle name="Hyperlink" xfId="1328" builtinId="8" hidden="1"/>
    <cellStyle name="Hyperlink" xfId="1330" builtinId="8" hidden="1"/>
    <cellStyle name="Hyperlink" xfId="1332" builtinId="8" hidden="1"/>
    <cellStyle name="Hyperlink" xfId="1334" builtinId="8" hidden="1"/>
    <cellStyle name="Hyperlink" xfId="1336" builtinId="8" hidden="1"/>
    <cellStyle name="Hyperlink" xfId="1338" builtinId="8" hidden="1"/>
    <cellStyle name="Hyperlink" xfId="1340" builtinId="8" hidden="1"/>
    <cellStyle name="Hyperlink" xfId="1342" builtinId="8" hidden="1"/>
    <cellStyle name="Hyperlink" xfId="1344" builtinId="8" hidden="1"/>
    <cellStyle name="Hyperlink" xfId="1346" builtinId="8" hidden="1"/>
    <cellStyle name="Hyperlink" xfId="1348" builtinId="8" hidden="1"/>
    <cellStyle name="Hyperlink" xfId="1350" builtinId="8" hidden="1"/>
    <cellStyle name="Hyperlink" xfId="1352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95" xr:uid="{00000000-0005-0000-0000-000042050000}"/>
    <cellStyle name="Normal 2 2" xfId="1354" xr:uid="{018418A3-52B4-4947-B00C-9EDE0E97E1EA}"/>
    <cellStyle name="Note" xfId="15" builtinId="10" customBuiltin="1"/>
    <cellStyle name="Output" xfId="10" builtinId="21" customBuiltin="1"/>
    <cellStyle name="Percent" xfId="42" builtinId="5"/>
    <cellStyle name="Percent 2" xfId="97" xr:uid="{00000000-0005-0000-0000-000046050000}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52A0C-EF03-7741-88CF-4CAA722486B3}">
  <sheetPr>
    <pageSetUpPr fitToPage="1"/>
  </sheetPr>
  <dimension ref="A1:L48"/>
  <sheetViews>
    <sheetView showGridLines="0" topLeftCell="A7" zoomScale="125" zoomScaleNormal="125" zoomScalePageLayoutView="125" workbookViewId="0">
      <selection activeCell="B16" sqref="B16"/>
    </sheetView>
  </sheetViews>
  <sheetFormatPr defaultColWidth="8.85546875" defaultRowHeight="16.5" x14ac:dyDescent="0.3"/>
  <cols>
    <col min="1" max="1" width="40.140625" style="3" customWidth="1"/>
    <col min="2" max="2" width="12" style="3" bestFit="1" customWidth="1"/>
    <col min="3" max="4" width="11.85546875" style="3" bestFit="1" customWidth="1"/>
    <col min="5" max="5" width="8.85546875" style="3"/>
    <col min="6" max="8" width="9" style="3" bestFit="1" customWidth="1"/>
    <col min="9" max="9" width="8.85546875" style="3"/>
    <col min="10" max="10" width="9.85546875" style="3" bestFit="1" customWidth="1"/>
    <col min="11" max="11" width="9.140625" style="3" bestFit="1" customWidth="1"/>
    <col min="12" max="16384" width="8.85546875" style="3"/>
  </cols>
  <sheetData>
    <row r="1" spans="1:12" x14ac:dyDescent="0.3">
      <c r="A1" s="175" t="s">
        <v>58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2"/>
    </row>
    <row r="2" spans="1:12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spans="1:12" ht="14.1" customHeight="1" x14ac:dyDescent="0.3">
      <c r="A3" s="1"/>
      <c r="B3" s="175" t="s">
        <v>59</v>
      </c>
      <c r="C3" s="175"/>
      <c r="D3" s="175"/>
      <c r="E3" s="1"/>
      <c r="F3" s="175" t="s">
        <v>60</v>
      </c>
      <c r="G3" s="175"/>
      <c r="H3" s="175"/>
      <c r="I3" s="1"/>
      <c r="J3" s="175" t="s">
        <v>61</v>
      </c>
      <c r="K3" s="175"/>
      <c r="L3" s="1"/>
    </row>
    <row r="4" spans="1:12" x14ac:dyDescent="0.3">
      <c r="A4" s="1"/>
      <c r="B4" s="1">
        <v>2022</v>
      </c>
      <c r="C4" s="1">
        <v>2021</v>
      </c>
      <c r="D4" s="1">
        <v>2020</v>
      </c>
      <c r="F4" s="1">
        <f>B4</f>
        <v>2022</v>
      </c>
      <c r="G4" s="1">
        <f>C4</f>
        <v>2021</v>
      </c>
      <c r="H4" s="1">
        <f>D4</f>
        <v>2020</v>
      </c>
      <c r="J4" s="1">
        <f>F4</f>
        <v>2022</v>
      </c>
      <c r="K4" s="1">
        <f>G4</f>
        <v>2021</v>
      </c>
      <c r="L4" s="1"/>
    </row>
    <row r="5" spans="1:12" x14ac:dyDescent="0.3">
      <c r="A5" s="4"/>
      <c r="B5" s="4"/>
      <c r="C5" s="4"/>
      <c r="D5" s="4"/>
    </row>
    <row r="6" spans="1:12" x14ac:dyDescent="0.3">
      <c r="A6" s="5" t="s">
        <v>2</v>
      </c>
      <c r="B6" s="6">
        <v>107588</v>
      </c>
      <c r="C6" s="6">
        <v>104611</v>
      </c>
      <c r="D6" s="6">
        <v>92400</v>
      </c>
      <c r="F6" s="7">
        <f>B6/B$6</f>
        <v>1</v>
      </c>
      <c r="G6" s="7">
        <f t="shared" ref="G6:H18" si="0">C6/C$8</f>
        <v>0.98684967690203296</v>
      </c>
      <c r="H6" s="7">
        <f t="shared" si="0"/>
        <v>0.98759098342257989</v>
      </c>
      <c r="J6" s="7">
        <f t="shared" ref="J6:K18" si="1">(B6-C6)/C6</f>
        <v>2.8457810364110849E-2</v>
      </c>
      <c r="K6" s="7">
        <f t="shared" si="1"/>
        <v>0.13215367965367966</v>
      </c>
    </row>
    <row r="7" spans="1:12" x14ac:dyDescent="0.3">
      <c r="A7" s="5" t="s">
        <v>95</v>
      </c>
      <c r="B7" s="8">
        <v>1532</v>
      </c>
      <c r="C7" s="8">
        <v>1394</v>
      </c>
      <c r="D7" s="8">
        <v>1161</v>
      </c>
      <c r="F7" s="7">
        <f>B7/B$8</f>
        <v>1.403958944281525E-2</v>
      </c>
      <c r="G7" s="7">
        <f t="shared" si="0"/>
        <v>1.3150323097967077E-2</v>
      </c>
      <c r="H7" s="7">
        <f t="shared" si="0"/>
        <v>1.2409016577420079E-2</v>
      </c>
      <c r="J7" s="7">
        <f t="shared" si="1"/>
        <v>9.8995695839311337E-2</v>
      </c>
      <c r="K7" s="7">
        <f t="shared" si="1"/>
        <v>0.20068906115417742</v>
      </c>
    </row>
    <row r="8" spans="1:12" x14ac:dyDescent="0.3">
      <c r="A8" s="4" t="s">
        <v>94</v>
      </c>
      <c r="B8" s="9">
        <f>SUM(B6:B7)</f>
        <v>109120</v>
      </c>
      <c r="C8" s="9">
        <f>SUM(C6:C7)</f>
        <v>106005</v>
      </c>
      <c r="D8" s="9">
        <f>SUM(D6:D7)</f>
        <v>93561</v>
      </c>
      <c r="F8" s="14">
        <f>B8/B$8</f>
        <v>1</v>
      </c>
      <c r="G8" s="14">
        <f t="shared" si="0"/>
        <v>1</v>
      </c>
      <c r="H8" s="14">
        <f t="shared" si="0"/>
        <v>1</v>
      </c>
      <c r="I8" s="13"/>
      <c r="J8" s="14">
        <f>(B8-C8)/C8</f>
        <v>2.9385406348757134E-2</v>
      </c>
      <c r="K8" s="14">
        <f t="shared" si="1"/>
        <v>0.13300413633885913</v>
      </c>
    </row>
    <row r="9" spans="1:12" x14ac:dyDescent="0.3">
      <c r="A9" s="5" t="s">
        <v>3</v>
      </c>
      <c r="B9" s="10">
        <v>82229</v>
      </c>
      <c r="C9" s="10">
        <v>74963</v>
      </c>
      <c r="D9" s="10">
        <v>66177</v>
      </c>
      <c r="F9" s="11">
        <f>B9/B$8</f>
        <v>0.75356488269794719</v>
      </c>
      <c r="G9" s="11">
        <f t="shared" si="0"/>
        <v>0.70716475637941612</v>
      </c>
      <c r="H9" s="11">
        <f t="shared" si="0"/>
        <v>0.70731394491294453</v>
      </c>
      <c r="J9" s="7">
        <f t="shared" ref="J9:J18" si="2">(B9-C9)/C9</f>
        <v>9.692781772341022E-2</v>
      </c>
      <c r="K9" s="7">
        <f t="shared" si="1"/>
        <v>0.13276516010094142</v>
      </c>
    </row>
    <row r="10" spans="1:12" s="13" customFormat="1" ht="15" x14ac:dyDescent="0.25">
      <c r="A10" s="4" t="s">
        <v>57</v>
      </c>
      <c r="B10" s="12">
        <f>B8-B9</f>
        <v>26891</v>
      </c>
      <c r="C10" s="12">
        <f>C8-C9</f>
        <v>31042</v>
      </c>
      <c r="D10" s="12">
        <f>D8-D9</f>
        <v>27384</v>
      </c>
      <c r="F10" s="14">
        <f>B10/B$8</f>
        <v>0.24643511730205278</v>
      </c>
      <c r="G10" s="14">
        <f t="shared" si="0"/>
        <v>0.29283524362058394</v>
      </c>
      <c r="H10" s="14">
        <f t="shared" si="0"/>
        <v>0.29268605508705553</v>
      </c>
      <c r="J10" s="14">
        <f t="shared" si="2"/>
        <v>-0.13372205399136652</v>
      </c>
      <c r="K10" s="14">
        <f t="shared" si="1"/>
        <v>0.13358165352030382</v>
      </c>
    </row>
    <row r="11" spans="1:12" ht="33" x14ac:dyDescent="0.3">
      <c r="A11" s="5" t="s">
        <v>4</v>
      </c>
      <c r="B11" s="15">
        <v>20658</v>
      </c>
      <c r="C11" s="15">
        <v>19752</v>
      </c>
      <c r="D11" s="15">
        <v>18615</v>
      </c>
      <c r="F11" s="7">
        <f t="shared" ref="F11:F17" si="3">B11/B$8</f>
        <v>0.18931451612903225</v>
      </c>
      <c r="G11" s="7">
        <f t="shared" si="0"/>
        <v>0.18633083345125229</v>
      </c>
      <c r="H11" s="7">
        <f t="shared" si="0"/>
        <v>0.19896110558886715</v>
      </c>
      <c r="J11" s="7">
        <f t="shared" si="2"/>
        <v>4.5868772782503037E-2</v>
      </c>
      <c r="K11" s="7">
        <f t="shared" si="1"/>
        <v>6.1079774375503625E-2</v>
      </c>
    </row>
    <row r="12" spans="1:12" s="13" customFormat="1" x14ac:dyDescent="0.3">
      <c r="A12" s="5" t="s">
        <v>5</v>
      </c>
      <c r="B12" s="10">
        <v>2385</v>
      </c>
      <c r="C12" s="10">
        <v>2344</v>
      </c>
      <c r="D12" s="10">
        <v>2230</v>
      </c>
      <c r="F12" s="7">
        <f t="shared" si="3"/>
        <v>2.1856671554252201E-2</v>
      </c>
      <c r="G12" s="7">
        <f t="shared" si="0"/>
        <v>2.2112164520541485E-2</v>
      </c>
      <c r="H12" s="7">
        <f t="shared" si="0"/>
        <v>2.38347174570601E-2</v>
      </c>
      <c r="J12" s="7">
        <f t="shared" si="2"/>
        <v>1.7491467576791809E-2</v>
      </c>
      <c r="K12" s="7">
        <f t="shared" si="1"/>
        <v>5.1121076233183856E-2</v>
      </c>
    </row>
    <row r="13" spans="1:12" x14ac:dyDescent="0.3">
      <c r="A13" s="4" t="s">
        <v>98</v>
      </c>
      <c r="B13" s="12">
        <f>B10-B11-B12</f>
        <v>3848</v>
      </c>
      <c r="C13" s="12">
        <f>C10-C11-C12</f>
        <v>8946</v>
      </c>
      <c r="D13" s="12">
        <f t="shared" ref="D13" si="4">D10-D11-D12</f>
        <v>6539</v>
      </c>
      <c r="F13" s="14">
        <f t="shared" si="3"/>
        <v>3.5263929618768328E-2</v>
      </c>
      <c r="G13" s="14">
        <f t="shared" si="0"/>
        <v>8.4392245648790151E-2</v>
      </c>
      <c r="H13" s="14">
        <f t="shared" si="0"/>
        <v>6.989023204112825E-2</v>
      </c>
      <c r="J13" s="14">
        <f t="shared" si="2"/>
        <v>-0.56986362620165432</v>
      </c>
      <c r="K13" s="14">
        <f t="shared" si="1"/>
        <v>0.36809909772136412</v>
      </c>
    </row>
    <row r="14" spans="1:12" x14ac:dyDescent="0.3">
      <c r="A14" s="5" t="s">
        <v>6</v>
      </c>
      <c r="B14" s="15">
        <v>478</v>
      </c>
      <c r="C14" s="15">
        <v>421</v>
      </c>
      <c r="D14" s="15">
        <v>977</v>
      </c>
      <c r="F14" s="7">
        <f t="shared" si="3"/>
        <v>4.3804985337243399E-3</v>
      </c>
      <c r="G14" s="7">
        <f t="shared" si="0"/>
        <v>3.9715107777934999E-3</v>
      </c>
      <c r="H14" s="7">
        <f t="shared" si="0"/>
        <v>1.0442385181859963E-2</v>
      </c>
      <c r="J14" s="7">
        <f t="shared" si="2"/>
        <v>0.13539192399049882</v>
      </c>
      <c r="K14" s="7">
        <f t="shared" si="1"/>
        <v>-0.56908904810644834</v>
      </c>
    </row>
    <row r="15" spans="1:12" x14ac:dyDescent="0.3">
      <c r="A15" s="5" t="s">
        <v>90</v>
      </c>
      <c r="B15" s="10">
        <v>-48</v>
      </c>
      <c r="C15" s="10">
        <v>-382</v>
      </c>
      <c r="D15" s="10">
        <v>16</v>
      </c>
      <c r="F15" s="7">
        <f t="shared" si="3"/>
        <v>-4.3988269794721408E-4</v>
      </c>
      <c r="G15" s="7">
        <f t="shared" si="0"/>
        <v>-3.6036036036036037E-3</v>
      </c>
      <c r="H15" s="7">
        <f t="shared" si="0"/>
        <v>1.7101142570087965E-4</v>
      </c>
      <c r="J15" s="7">
        <f t="shared" si="2"/>
        <v>-0.87434554973821987</v>
      </c>
      <c r="K15" s="7">
        <f t="shared" si="1"/>
        <v>-24.875</v>
      </c>
    </row>
    <row r="16" spans="1:12" x14ac:dyDescent="0.3">
      <c r="A16" s="16" t="s">
        <v>116</v>
      </c>
      <c r="B16" s="17">
        <f>B13-B14-B15</f>
        <v>3418</v>
      </c>
      <c r="C16" s="17">
        <f>C13-C14-C15</f>
        <v>8907</v>
      </c>
      <c r="D16" s="17">
        <f>D13-D14-D15</f>
        <v>5546</v>
      </c>
      <c r="F16" s="18">
        <f t="shared" si="3"/>
        <v>3.1323313782991205E-2</v>
      </c>
      <c r="G16" s="18">
        <f t="shared" si="0"/>
        <v>8.4024338474600252E-2</v>
      </c>
      <c r="H16" s="18">
        <f t="shared" si="0"/>
        <v>5.9276835433567404E-2</v>
      </c>
      <c r="J16" s="18">
        <f t="shared" si="2"/>
        <v>-0.61625687661389916</v>
      </c>
      <c r="K16" s="18">
        <f t="shared" si="1"/>
        <v>0.60602235845654528</v>
      </c>
    </row>
    <row r="17" spans="1:11" x14ac:dyDescent="0.3">
      <c r="A17" s="5" t="s">
        <v>7</v>
      </c>
      <c r="B17" s="10">
        <v>638</v>
      </c>
      <c r="C17" s="10">
        <v>1961</v>
      </c>
      <c r="D17" s="10">
        <v>1178</v>
      </c>
      <c r="E17" s="13"/>
      <c r="F17" s="7">
        <f t="shared" si="3"/>
        <v>5.8467741935483873E-3</v>
      </c>
      <c r="G17" s="7">
        <f t="shared" si="0"/>
        <v>1.8499127399650959E-2</v>
      </c>
      <c r="H17" s="7">
        <f t="shared" si="0"/>
        <v>1.2590716217227264E-2</v>
      </c>
      <c r="I17" s="13"/>
      <c r="J17" s="7">
        <f t="shared" si="2"/>
        <v>-0.67465578786333502</v>
      </c>
      <c r="K17" s="7">
        <f t="shared" si="1"/>
        <v>0.66468590831918506</v>
      </c>
    </row>
    <row r="18" spans="1:11" x14ac:dyDescent="0.3">
      <c r="A18" s="4" t="s">
        <v>88</v>
      </c>
      <c r="B18" s="12">
        <f>B16-B17</f>
        <v>2780</v>
      </c>
      <c r="C18" s="12">
        <f>C16-C17</f>
        <v>6946</v>
      </c>
      <c r="D18" s="12">
        <f>D16-D17</f>
        <v>4368</v>
      </c>
      <c r="F18" s="14">
        <f>B18/B$8</f>
        <v>2.5476539589442817E-2</v>
      </c>
      <c r="G18" s="14">
        <f t="shared" si="0"/>
        <v>6.5525211074949297E-2</v>
      </c>
      <c r="H18" s="14">
        <f t="shared" si="0"/>
        <v>4.6686119216340138E-2</v>
      </c>
      <c r="J18" s="14">
        <f t="shared" si="2"/>
        <v>-0.59976965159804208</v>
      </c>
      <c r="K18" s="14">
        <f t="shared" si="1"/>
        <v>0.59020146520146521</v>
      </c>
    </row>
    <row r="19" spans="1:11" x14ac:dyDescent="0.3">
      <c r="A19" s="4"/>
      <c r="B19" s="9"/>
      <c r="C19" s="9"/>
      <c r="D19" s="9"/>
      <c r="F19" s="19"/>
      <c r="G19" s="19"/>
      <c r="H19" s="19"/>
      <c r="J19" s="14"/>
      <c r="K19" s="14"/>
    </row>
    <row r="20" spans="1:11" x14ac:dyDescent="0.3">
      <c r="A20" s="20" t="s">
        <v>101</v>
      </c>
      <c r="F20" s="21"/>
      <c r="G20" s="21"/>
      <c r="H20" s="21"/>
      <c r="J20" s="7"/>
      <c r="K20" s="7"/>
    </row>
    <row r="21" spans="1:11" x14ac:dyDescent="0.3">
      <c r="A21" s="22" t="s">
        <v>114</v>
      </c>
      <c r="B21" s="23">
        <v>6.02</v>
      </c>
      <c r="C21" s="23">
        <v>14.23</v>
      </c>
      <c r="D21" s="23">
        <v>8.7200000000000006</v>
      </c>
      <c r="F21" s="21"/>
      <c r="G21" s="21"/>
      <c r="H21" s="21"/>
      <c r="J21" s="7">
        <f>(B21-C21)/C21</f>
        <v>-0.57695010541110336</v>
      </c>
      <c r="K21" s="7">
        <f>(C21-D21)/D21</f>
        <v>0.63188073394495403</v>
      </c>
    </row>
    <row r="22" spans="1:11" x14ac:dyDescent="0.3">
      <c r="A22" s="20" t="s">
        <v>100</v>
      </c>
      <c r="B22" s="24"/>
      <c r="C22" s="24"/>
      <c r="D22" s="24"/>
      <c r="J22" s="7"/>
      <c r="K22" s="7"/>
    </row>
    <row r="23" spans="1:11" x14ac:dyDescent="0.3">
      <c r="A23" s="22" t="s">
        <v>115</v>
      </c>
      <c r="B23" s="24">
        <v>5.98</v>
      </c>
      <c r="C23" s="24">
        <v>14.1</v>
      </c>
      <c r="D23" s="24">
        <v>8.64</v>
      </c>
      <c r="J23" s="7">
        <f t="shared" ref="J23:K26" si="5">(B23-C23)/C23</f>
        <v>-0.57588652482269498</v>
      </c>
      <c r="K23" s="7">
        <f t="shared" si="5"/>
        <v>0.63194444444444431</v>
      </c>
    </row>
    <row r="24" spans="1:11" ht="30" x14ac:dyDescent="0.3">
      <c r="A24" s="20" t="s">
        <v>8</v>
      </c>
      <c r="B24" s="23"/>
      <c r="C24" s="23"/>
      <c r="D24" s="23"/>
      <c r="J24" s="7"/>
      <c r="K24" s="7"/>
    </row>
    <row r="25" spans="1:11" x14ac:dyDescent="0.3">
      <c r="A25" s="22" t="s">
        <v>9</v>
      </c>
      <c r="B25" s="15">
        <v>462100000</v>
      </c>
      <c r="C25" s="15">
        <v>488100000</v>
      </c>
      <c r="D25" s="15">
        <v>500600000</v>
      </c>
      <c r="J25" s="7">
        <f t="shared" si="5"/>
        <v>-5.3267772997336614E-2</v>
      </c>
      <c r="K25" s="7">
        <f t="shared" si="5"/>
        <v>-2.4970035956851776E-2</v>
      </c>
    </row>
    <row r="26" spans="1:11" x14ac:dyDescent="0.3">
      <c r="A26" s="22" t="s">
        <v>99</v>
      </c>
      <c r="B26" s="15">
        <v>464700000</v>
      </c>
      <c r="C26" s="15">
        <v>492700000</v>
      </c>
      <c r="D26" s="15">
        <v>505400000</v>
      </c>
      <c r="J26" s="7">
        <f t="shared" si="5"/>
        <v>-5.6829713821798251E-2</v>
      </c>
      <c r="K26" s="7">
        <f t="shared" si="5"/>
        <v>-2.5128611001187177E-2</v>
      </c>
    </row>
    <row r="48" spans="2:2" x14ac:dyDescent="0.3">
      <c r="B48" s="25" t="s">
        <v>104</v>
      </c>
    </row>
  </sheetData>
  <mergeCells count="4">
    <mergeCell ref="A1:K1"/>
    <mergeCell ref="B3:D3"/>
    <mergeCell ref="F3:H3"/>
    <mergeCell ref="J3:K3"/>
  </mergeCells>
  <pageMargins left="0.75" right="0.75" top="1" bottom="1" header="0.5" footer="0.5"/>
  <pageSetup scale="81" orientation="landscape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2:R40"/>
  <sheetViews>
    <sheetView showGridLines="0" topLeftCell="G18" zoomScaleNormal="125" zoomScalePageLayoutView="125" workbookViewId="0">
      <selection activeCell="J30" sqref="J30"/>
    </sheetView>
  </sheetViews>
  <sheetFormatPr defaultColWidth="8.85546875" defaultRowHeight="16.5" x14ac:dyDescent="0.3"/>
  <cols>
    <col min="1" max="1" width="36.42578125" style="3" hidden="1" customWidth="1"/>
    <col min="2" max="4" width="12" style="3" hidden="1" customWidth="1"/>
    <col min="5" max="5" width="14.42578125" style="3" hidden="1" customWidth="1"/>
    <col min="6" max="6" width="0" style="3" hidden="1" customWidth="1"/>
    <col min="7" max="7" width="39" style="3" customWidth="1"/>
    <col min="8" max="10" width="8.85546875" style="3"/>
    <col min="11" max="11" width="46" style="3" customWidth="1"/>
    <col min="12" max="16384" width="8.85546875" style="3"/>
  </cols>
  <sheetData>
    <row r="2" spans="1:14" x14ac:dyDescent="0.3">
      <c r="A2" s="175"/>
      <c r="B2" s="175"/>
      <c r="C2" s="175"/>
      <c r="D2" s="175"/>
      <c r="E2" s="175"/>
      <c r="F2" s="1"/>
      <c r="G2" s="176" t="s">
        <v>65</v>
      </c>
      <c r="H2" s="176"/>
      <c r="I2" s="176"/>
      <c r="J2" s="176"/>
      <c r="K2" s="176"/>
      <c r="L2" s="176"/>
      <c r="M2" s="176"/>
      <c r="N2" s="176"/>
    </row>
    <row r="3" spans="1:14" ht="14.1" customHeight="1" x14ac:dyDescent="0.3">
      <c r="A3" s="1"/>
      <c r="B3" s="26"/>
      <c r="C3" s="26"/>
      <c r="D3" s="26"/>
      <c r="E3" s="1"/>
      <c r="F3" s="1"/>
      <c r="G3" s="177" t="s">
        <v>39</v>
      </c>
      <c r="H3" s="177"/>
      <c r="I3" s="177"/>
      <c r="J3" s="177"/>
      <c r="K3" s="177" t="s">
        <v>40</v>
      </c>
      <c r="L3" s="177"/>
      <c r="M3" s="177"/>
      <c r="N3" s="177"/>
    </row>
    <row r="4" spans="1:14" ht="14.1" customHeight="1" x14ac:dyDescent="0.3">
      <c r="A4" s="1"/>
      <c r="B4" s="26"/>
      <c r="C4" s="26"/>
      <c r="D4" s="26"/>
      <c r="E4" s="26" t="s">
        <v>41</v>
      </c>
      <c r="F4" s="1"/>
      <c r="G4" s="26"/>
      <c r="H4" s="26"/>
      <c r="I4" s="26"/>
      <c r="J4" s="26"/>
      <c r="K4" s="26"/>
      <c r="L4" s="26"/>
      <c r="M4" s="26"/>
      <c r="N4" s="26"/>
    </row>
    <row r="5" spans="1:14" x14ac:dyDescent="0.3">
      <c r="A5" s="36"/>
      <c r="B5" s="1">
        <v>2022</v>
      </c>
      <c r="C5" s="1">
        <v>2021</v>
      </c>
      <c r="D5" s="1">
        <v>2020</v>
      </c>
      <c r="E5" s="26"/>
      <c r="F5" s="1"/>
      <c r="G5" s="26"/>
      <c r="H5" s="26">
        <v>2022</v>
      </c>
      <c r="I5" s="26">
        <v>2021</v>
      </c>
      <c r="J5" s="26">
        <v>2020</v>
      </c>
      <c r="K5" s="26"/>
      <c r="L5" s="26">
        <v>2022</v>
      </c>
      <c r="M5" s="26">
        <v>2021</v>
      </c>
      <c r="N5" s="26">
        <v>2020</v>
      </c>
    </row>
    <row r="6" spans="1:14" x14ac:dyDescent="0.3">
      <c r="A6" s="37" t="s">
        <v>10</v>
      </c>
      <c r="B6" s="38"/>
      <c r="C6" s="38"/>
      <c r="D6" s="38"/>
      <c r="E6" s="26"/>
    </row>
    <row r="7" spans="1:14" x14ac:dyDescent="0.3">
      <c r="A7" s="36" t="s">
        <v>91</v>
      </c>
      <c r="B7" s="38">
        <v>2229</v>
      </c>
      <c r="C7" s="38">
        <v>5911</v>
      </c>
      <c r="D7" s="38">
        <v>8511</v>
      </c>
      <c r="E7" s="39" t="s">
        <v>42</v>
      </c>
      <c r="F7" s="29"/>
      <c r="G7" s="5"/>
      <c r="H7" s="40"/>
      <c r="I7" s="40"/>
      <c r="J7" s="41"/>
      <c r="K7" s="5" t="s">
        <v>91</v>
      </c>
      <c r="L7" s="40">
        <v>2229</v>
      </c>
      <c r="M7" s="40">
        <v>5911</v>
      </c>
      <c r="N7" s="40">
        <v>8511</v>
      </c>
    </row>
    <row r="8" spans="1:14" x14ac:dyDescent="0.3">
      <c r="A8" s="36" t="s">
        <v>11</v>
      </c>
      <c r="B8" s="38">
        <v>13499</v>
      </c>
      <c r="C8" s="38">
        <v>13902</v>
      </c>
      <c r="D8" s="38">
        <v>10653</v>
      </c>
      <c r="E8" s="39" t="s">
        <v>43</v>
      </c>
      <c r="F8" s="29"/>
      <c r="G8" s="5" t="s">
        <v>11</v>
      </c>
      <c r="H8" s="42">
        <v>13499</v>
      </c>
      <c r="I8" s="42">
        <v>13902</v>
      </c>
      <c r="J8" s="42">
        <v>10653</v>
      </c>
      <c r="K8" s="5"/>
      <c r="L8" s="42"/>
      <c r="M8" s="42"/>
      <c r="N8" s="42"/>
    </row>
    <row r="9" spans="1:14" x14ac:dyDescent="0.3">
      <c r="A9" s="36" t="s">
        <v>12</v>
      </c>
      <c r="B9" s="38">
        <v>2118</v>
      </c>
      <c r="C9" s="38">
        <v>1760</v>
      </c>
      <c r="D9" s="38">
        <v>1592</v>
      </c>
      <c r="E9" s="39" t="s">
        <v>43</v>
      </c>
      <c r="F9" s="29"/>
      <c r="G9" s="5" t="s">
        <v>12</v>
      </c>
      <c r="H9" s="42">
        <v>2118</v>
      </c>
      <c r="I9" s="42">
        <v>1760</v>
      </c>
      <c r="J9" s="42">
        <v>1592</v>
      </c>
      <c r="K9" s="5"/>
      <c r="L9" s="42"/>
      <c r="M9" s="42"/>
      <c r="N9" s="43"/>
    </row>
    <row r="10" spans="1:14" s="13" customFormat="1" x14ac:dyDescent="0.3">
      <c r="A10" s="37" t="s">
        <v>13</v>
      </c>
      <c r="B10" s="44">
        <v>17846</v>
      </c>
      <c r="C10" s="44">
        <v>21573</v>
      </c>
      <c r="D10" s="44">
        <v>20756</v>
      </c>
      <c r="E10" s="39"/>
      <c r="F10" s="30"/>
      <c r="G10" s="4"/>
      <c r="H10" s="31"/>
      <c r="I10" s="31"/>
      <c r="J10" s="31"/>
      <c r="K10" s="4"/>
      <c r="L10" s="31"/>
      <c r="M10" s="31"/>
      <c r="N10" s="45"/>
    </row>
    <row r="11" spans="1:14" x14ac:dyDescent="0.3">
      <c r="A11" s="36" t="s">
        <v>14</v>
      </c>
      <c r="B11" s="38">
        <v>6231</v>
      </c>
      <c r="C11" s="38">
        <v>6164</v>
      </c>
      <c r="D11" s="38">
        <v>6141</v>
      </c>
      <c r="E11" s="39" t="s">
        <v>43</v>
      </c>
      <c r="F11" s="29"/>
      <c r="G11" s="5" t="s">
        <v>14</v>
      </c>
      <c r="H11" s="42">
        <v>6231</v>
      </c>
      <c r="I11" s="42">
        <v>6164</v>
      </c>
      <c r="J11" s="42">
        <v>6141</v>
      </c>
      <c r="K11" s="5"/>
      <c r="L11" s="42"/>
      <c r="M11" s="42"/>
      <c r="N11" s="43"/>
    </row>
    <row r="12" spans="1:14" x14ac:dyDescent="0.3">
      <c r="A12" s="36" t="s">
        <v>15</v>
      </c>
      <c r="B12" s="38">
        <v>34746</v>
      </c>
      <c r="C12" s="38">
        <v>32985</v>
      </c>
      <c r="D12" s="38">
        <v>31557</v>
      </c>
      <c r="E12" s="39" t="s">
        <v>43</v>
      </c>
      <c r="F12" s="29"/>
      <c r="G12" s="5" t="s">
        <v>15</v>
      </c>
      <c r="H12" s="42">
        <v>34746</v>
      </c>
      <c r="I12" s="42">
        <v>32985</v>
      </c>
      <c r="J12" s="42">
        <v>31557</v>
      </c>
      <c r="K12" s="5"/>
      <c r="L12" s="42"/>
      <c r="M12" s="42"/>
      <c r="N12" s="43"/>
    </row>
    <row r="13" spans="1:14" x14ac:dyDescent="0.3">
      <c r="A13" s="36" t="s">
        <v>16</v>
      </c>
      <c r="B13" s="38">
        <v>7439</v>
      </c>
      <c r="C13" s="38">
        <v>6407</v>
      </c>
      <c r="D13" s="38">
        <v>5914</v>
      </c>
      <c r="E13" s="39" t="s">
        <v>43</v>
      </c>
      <c r="F13" s="29"/>
      <c r="G13" s="5" t="s">
        <v>16</v>
      </c>
      <c r="H13" s="42">
        <v>7439</v>
      </c>
      <c r="I13" s="42">
        <v>6407</v>
      </c>
      <c r="J13" s="42">
        <v>5914</v>
      </c>
      <c r="K13" s="5"/>
      <c r="L13" s="42"/>
      <c r="M13" s="42"/>
      <c r="N13" s="43"/>
    </row>
    <row r="14" spans="1:14" x14ac:dyDescent="0.3">
      <c r="A14" s="36" t="s">
        <v>17</v>
      </c>
      <c r="B14" s="38">
        <v>3039</v>
      </c>
      <c r="C14" s="38">
        <v>2505</v>
      </c>
      <c r="D14" s="38">
        <v>2765</v>
      </c>
      <c r="E14" s="39" t="s">
        <v>43</v>
      </c>
      <c r="F14" s="29"/>
      <c r="G14" s="5" t="s">
        <v>17</v>
      </c>
      <c r="H14" s="42">
        <v>3039</v>
      </c>
      <c r="I14" s="42">
        <v>2505</v>
      </c>
      <c r="J14" s="42">
        <v>2765</v>
      </c>
      <c r="K14" s="5"/>
      <c r="L14" s="42"/>
      <c r="M14" s="42"/>
      <c r="N14" s="43"/>
    </row>
    <row r="15" spans="1:14" x14ac:dyDescent="0.3">
      <c r="A15" s="36" t="s">
        <v>18</v>
      </c>
      <c r="B15" s="38">
        <v>2688</v>
      </c>
      <c r="C15" s="38">
        <v>1257</v>
      </c>
      <c r="D15" s="38">
        <v>780</v>
      </c>
      <c r="E15" s="39" t="s">
        <v>43</v>
      </c>
      <c r="F15" s="29"/>
      <c r="G15" s="5" t="s">
        <v>18</v>
      </c>
      <c r="H15" s="42">
        <v>2688</v>
      </c>
      <c r="I15" s="42">
        <v>1257</v>
      </c>
      <c r="J15" s="42">
        <v>780</v>
      </c>
      <c r="K15" s="5"/>
      <c r="L15" s="42"/>
      <c r="M15" s="42"/>
      <c r="N15" s="28"/>
    </row>
    <row r="16" spans="1:14" x14ac:dyDescent="0.3">
      <c r="A16" s="36" t="s">
        <v>87</v>
      </c>
      <c r="B16" s="38">
        <v>54143</v>
      </c>
      <c r="C16" s="38">
        <v>49318</v>
      </c>
      <c r="D16" s="38">
        <v>47157</v>
      </c>
      <c r="E16" s="39" t="s">
        <v>43</v>
      </c>
      <c r="F16" s="29"/>
      <c r="M16" s="42"/>
      <c r="N16" s="43"/>
    </row>
    <row r="17" spans="1:18" x14ac:dyDescent="0.3">
      <c r="A17" s="36" t="s">
        <v>19</v>
      </c>
      <c r="B17" s="38">
        <v>-22631</v>
      </c>
      <c r="C17" s="38">
        <v>-21137</v>
      </c>
      <c r="D17" s="38">
        <v>-20278</v>
      </c>
      <c r="E17" s="39" t="s">
        <v>43</v>
      </c>
      <c r="F17" s="29"/>
      <c r="G17" s="5" t="s">
        <v>19</v>
      </c>
      <c r="H17" s="42">
        <v>-22631</v>
      </c>
      <c r="I17" s="42">
        <v>-21137</v>
      </c>
      <c r="J17" s="42">
        <v>-20278</v>
      </c>
      <c r="K17" s="5"/>
      <c r="L17" s="42"/>
      <c r="M17" s="42"/>
      <c r="N17" s="43"/>
    </row>
    <row r="18" spans="1:18" x14ac:dyDescent="0.3">
      <c r="A18" s="36" t="s">
        <v>107</v>
      </c>
      <c r="B18" s="38">
        <v>31512</v>
      </c>
      <c r="C18" s="38">
        <v>28181</v>
      </c>
      <c r="D18" s="38">
        <v>26879</v>
      </c>
      <c r="E18" s="39" t="s">
        <v>43</v>
      </c>
      <c r="F18" s="29"/>
      <c r="G18" s="5" t="s">
        <v>107</v>
      </c>
      <c r="H18" s="42">
        <v>31512</v>
      </c>
      <c r="I18" s="42">
        <v>28181</v>
      </c>
      <c r="J18" s="42">
        <v>26879</v>
      </c>
      <c r="K18" s="5"/>
      <c r="L18" s="42"/>
      <c r="M18" s="42"/>
      <c r="N18" s="42"/>
    </row>
    <row r="19" spans="1:18" x14ac:dyDescent="0.3">
      <c r="A19" s="36" t="s">
        <v>92</v>
      </c>
      <c r="B19" s="38">
        <v>2657</v>
      </c>
      <c r="C19" s="38">
        <v>2556</v>
      </c>
      <c r="D19" s="38">
        <v>2227</v>
      </c>
      <c r="E19" s="39" t="s">
        <v>43</v>
      </c>
      <c r="F19" s="29"/>
      <c r="G19" s="5" t="s">
        <v>92</v>
      </c>
      <c r="H19" s="42">
        <v>2657</v>
      </c>
      <c r="I19" s="42">
        <v>2556</v>
      </c>
      <c r="J19" s="42">
        <v>2227</v>
      </c>
      <c r="K19" s="5"/>
      <c r="L19" s="42"/>
      <c r="M19" s="42"/>
      <c r="N19" s="42"/>
    </row>
    <row r="20" spans="1:18" x14ac:dyDescent="0.3">
      <c r="A20" s="36" t="s">
        <v>20</v>
      </c>
      <c r="B20" s="38">
        <v>1320</v>
      </c>
      <c r="C20" s="38">
        <v>1501</v>
      </c>
      <c r="D20" s="38">
        <v>1386</v>
      </c>
      <c r="E20" s="39" t="s">
        <v>43</v>
      </c>
      <c r="F20" s="29"/>
      <c r="G20" s="5" t="s">
        <v>20</v>
      </c>
      <c r="H20" s="42">
        <v>1320</v>
      </c>
      <c r="I20" s="42">
        <v>1501</v>
      </c>
      <c r="J20" s="42">
        <v>1386</v>
      </c>
      <c r="K20" s="5"/>
      <c r="L20" s="42"/>
    </row>
    <row r="21" spans="1:18" s="13" customFormat="1" ht="15" x14ac:dyDescent="0.25">
      <c r="A21" s="37" t="s">
        <v>70</v>
      </c>
      <c r="B21" s="44">
        <v>35489</v>
      </c>
      <c r="C21" s="44">
        <v>32238</v>
      </c>
      <c r="D21" s="44">
        <v>30492</v>
      </c>
      <c r="E21" s="26"/>
      <c r="F21" s="30"/>
    </row>
    <row r="22" spans="1:18" s="13" customFormat="1" ht="15" x14ac:dyDescent="0.25">
      <c r="A22" s="37" t="s">
        <v>21</v>
      </c>
      <c r="B22" s="44">
        <v>53335</v>
      </c>
      <c r="C22" s="44">
        <v>53811</v>
      </c>
      <c r="D22" s="44">
        <v>51248</v>
      </c>
      <c r="E22" s="26"/>
      <c r="F22" s="30"/>
      <c r="G22" s="46" t="s">
        <v>44</v>
      </c>
      <c r="H22" s="47">
        <v>51106</v>
      </c>
      <c r="I22" s="47">
        <v>47900</v>
      </c>
      <c r="J22" s="47">
        <v>42737</v>
      </c>
      <c r="K22" s="46" t="s">
        <v>45</v>
      </c>
      <c r="L22" s="47">
        <v>2229</v>
      </c>
      <c r="M22" s="47">
        <v>5911</v>
      </c>
      <c r="N22" s="47">
        <v>8511</v>
      </c>
      <c r="P22" s="48"/>
      <c r="Q22" s="48"/>
      <c r="R22" s="48"/>
    </row>
    <row r="23" spans="1:18" ht="30" x14ac:dyDescent="0.3">
      <c r="A23" s="37" t="s">
        <v>22</v>
      </c>
      <c r="B23" s="38"/>
      <c r="C23" s="38"/>
      <c r="D23" s="38"/>
      <c r="E23" s="39"/>
      <c r="F23" s="29"/>
      <c r="K23" s="5"/>
      <c r="L23" s="42"/>
      <c r="M23" s="42"/>
      <c r="N23" s="43"/>
    </row>
    <row r="24" spans="1:18" x14ac:dyDescent="0.3">
      <c r="A24" s="36" t="s">
        <v>23</v>
      </c>
      <c r="B24" s="38">
        <v>13487</v>
      </c>
      <c r="C24" s="38">
        <v>15478</v>
      </c>
      <c r="D24" s="38">
        <v>12859</v>
      </c>
      <c r="E24" s="39" t="s">
        <v>43</v>
      </c>
      <c r="F24" s="29"/>
      <c r="G24" s="5" t="s">
        <v>23</v>
      </c>
      <c r="H24" s="42">
        <v>13487</v>
      </c>
      <c r="I24" s="42">
        <v>15478</v>
      </c>
      <c r="J24" s="42">
        <v>12859</v>
      </c>
      <c r="K24" s="5"/>
      <c r="L24" s="42"/>
      <c r="M24" s="42"/>
      <c r="N24" s="43"/>
    </row>
    <row r="25" spans="1:18" x14ac:dyDescent="0.3">
      <c r="A25" s="36" t="s">
        <v>24</v>
      </c>
      <c r="B25" s="38">
        <v>5883</v>
      </c>
      <c r="C25" s="38">
        <v>6098</v>
      </c>
      <c r="D25" s="38">
        <v>6122</v>
      </c>
      <c r="E25" s="39" t="s">
        <v>43</v>
      </c>
      <c r="F25" s="29"/>
      <c r="G25" s="5" t="s">
        <v>24</v>
      </c>
      <c r="H25" s="42">
        <v>5883</v>
      </c>
      <c r="I25" s="42">
        <v>6098</v>
      </c>
      <c r="J25" s="42">
        <v>6122</v>
      </c>
    </row>
    <row r="26" spans="1:18" ht="33" x14ac:dyDescent="0.3">
      <c r="A26" s="36" t="s">
        <v>25</v>
      </c>
      <c r="B26" s="38">
        <v>130</v>
      </c>
      <c r="C26" s="38">
        <v>171</v>
      </c>
      <c r="D26" s="38">
        <v>1144</v>
      </c>
      <c r="E26" s="39" t="s">
        <v>42</v>
      </c>
      <c r="F26" s="29"/>
      <c r="G26" s="5"/>
      <c r="H26" s="42"/>
      <c r="I26" s="42"/>
      <c r="J26" s="42"/>
      <c r="K26" s="5" t="s">
        <v>25</v>
      </c>
      <c r="L26" s="42">
        <v>130</v>
      </c>
      <c r="M26" s="42">
        <v>171</v>
      </c>
      <c r="N26" s="42">
        <v>1144</v>
      </c>
    </row>
    <row r="27" spans="1:18" s="13" customFormat="1" x14ac:dyDescent="0.3">
      <c r="A27" s="37" t="s">
        <v>26</v>
      </c>
      <c r="B27" s="44">
        <v>19500</v>
      </c>
      <c r="C27" s="44">
        <v>21747</v>
      </c>
      <c r="D27" s="44">
        <v>20125</v>
      </c>
      <c r="E27" s="39"/>
      <c r="F27" s="30"/>
      <c r="G27" s="5"/>
      <c r="H27" s="42"/>
      <c r="I27" s="42"/>
      <c r="J27" s="42"/>
      <c r="K27" s="4"/>
      <c r="L27" s="31"/>
      <c r="M27" s="31"/>
      <c r="N27" s="31"/>
    </row>
    <row r="28" spans="1:18" ht="33" x14ac:dyDescent="0.3">
      <c r="A28" s="36" t="s">
        <v>27</v>
      </c>
      <c r="B28" s="38">
        <v>16009</v>
      </c>
      <c r="C28" s="38">
        <v>13549</v>
      </c>
      <c r="D28" s="38">
        <v>11536</v>
      </c>
      <c r="E28" s="39" t="s">
        <v>42</v>
      </c>
      <c r="F28" s="29"/>
      <c r="G28" s="5"/>
      <c r="H28" s="42"/>
      <c r="I28" s="42"/>
      <c r="J28" s="42"/>
      <c r="K28" s="5" t="s">
        <v>27</v>
      </c>
      <c r="L28" s="42">
        <v>16009</v>
      </c>
      <c r="M28" s="42">
        <v>13549</v>
      </c>
      <c r="N28" s="42">
        <v>11536</v>
      </c>
    </row>
    <row r="29" spans="1:18" ht="33" x14ac:dyDescent="0.3">
      <c r="A29" s="36" t="s">
        <v>93</v>
      </c>
      <c r="B29" s="38">
        <v>2638</v>
      </c>
      <c r="C29" s="38">
        <v>2493</v>
      </c>
      <c r="D29" s="38">
        <v>2218</v>
      </c>
      <c r="E29" s="39" t="s">
        <v>43</v>
      </c>
      <c r="F29" s="29"/>
      <c r="G29" s="5" t="s">
        <v>93</v>
      </c>
      <c r="H29" s="49">
        <v>2638</v>
      </c>
      <c r="I29" s="49">
        <v>2493</v>
      </c>
      <c r="J29" s="49">
        <v>2218</v>
      </c>
      <c r="K29" s="5"/>
      <c r="L29" s="42"/>
      <c r="M29" s="42"/>
      <c r="N29" s="42"/>
    </row>
    <row r="30" spans="1:18" x14ac:dyDescent="0.3">
      <c r="A30" s="36" t="s">
        <v>28</v>
      </c>
      <c r="B30" s="38">
        <v>2196</v>
      </c>
      <c r="C30" s="38">
        <v>1566</v>
      </c>
      <c r="D30" s="38">
        <v>990</v>
      </c>
      <c r="E30" s="39" t="s">
        <v>43</v>
      </c>
      <c r="F30" s="29"/>
      <c r="G30" s="5" t="s">
        <v>28</v>
      </c>
      <c r="H30" s="42">
        <v>2196</v>
      </c>
      <c r="I30" s="42">
        <v>1566</v>
      </c>
      <c r="J30" s="42">
        <v>990</v>
      </c>
      <c r="K30" s="5"/>
      <c r="L30" s="42"/>
      <c r="M30" s="42"/>
      <c r="N30" s="42"/>
    </row>
    <row r="31" spans="1:18" x14ac:dyDescent="0.3">
      <c r="A31" s="36" t="s">
        <v>29</v>
      </c>
      <c r="B31" s="38">
        <v>1760</v>
      </c>
      <c r="C31" s="38">
        <v>1629</v>
      </c>
      <c r="D31" s="38">
        <v>1939</v>
      </c>
      <c r="E31" s="39" t="s">
        <v>43</v>
      </c>
      <c r="F31" s="29"/>
      <c r="G31" s="5" t="s">
        <v>29</v>
      </c>
      <c r="H31" s="42">
        <v>1760</v>
      </c>
      <c r="I31" s="42">
        <v>1629</v>
      </c>
      <c r="J31" s="42">
        <v>1939</v>
      </c>
    </row>
    <row r="32" spans="1:18" s="13" customFormat="1" x14ac:dyDescent="0.3">
      <c r="A32" s="37" t="s">
        <v>30</v>
      </c>
      <c r="B32" s="44">
        <v>22603</v>
      </c>
      <c r="C32" s="44">
        <v>19237</v>
      </c>
      <c r="D32" s="44">
        <v>16683</v>
      </c>
      <c r="E32" s="39"/>
      <c r="F32" s="30"/>
      <c r="G32" s="27"/>
      <c r="H32" s="3"/>
      <c r="I32" s="3"/>
      <c r="J32" s="28"/>
      <c r="K32" s="13" t="s">
        <v>46</v>
      </c>
      <c r="L32" s="31">
        <v>16139</v>
      </c>
      <c r="M32" s="31">
        <v>13720</v>
      </c>
      <c r="N32" s="31">
        <v>12680</v>
      </c>
    </row>
    <row r="33" spans="1:18" x14ac:dyDescent="0.3">
      <c r="A33" s="37" t="s">
        <v>31</v>
      </c>
      <c r="B33" s="38"/>
      <c r="C33" s="38"/>
      <c r="D33" s="38"/>
      <c r="F33" s="29"/>
      <c r="G33" s="5"/>
      <c r="H33" s="42"/>
      <c r="I33" s="42"/>
      <c r="J33" s="28"/>
      <c r="K33" s="45" t="s">
        <v>47</v>
      </c>
      <c r="L33" s="50">
        <v>13910</v>
      </c>
      <c r="M33" s="50">
        <v>7809</v>
      </c>
      <c r="N33" s="50">
        <v>4169</v>
      </c>
    </row>
    <row r="34" spans="1:18" x14ac:dyDescent="0.3">
      <c r="A34" s="36" t="s">
        <v>32</v>
      </c>
      <c r="B34" s="38">
        <v>38</v>
      </c>
      <c r="C34" s="38">
        <v>39</v>
      </c>
      <c r="D34" s="38">
        <v>42</v>
      </c>
      <c r="E34" s="39" t="s">
        <v>42</v>
      </c>
      <c r="F34" s="29"/>
      <c r="G34" s="5"/>
      <c r="H34" s="42"/>
      <c r="I34" s="42"/>
      <c r="J34" s="43"/>
      <c r="K34" s="5" t="s">
        <v>32</v>
      </c>
      <c r="L34" s="42">
        <v>38</v>
      </c>
      <c r="M34" s="42">
        <v>39</v>
      </c>
      <c r="N34" s="42">
        <v>42</v>
      </c>
    </row>
    <row r="35" spans="1:18" x14ac:dyDescent="0.3">
      <c r="A35" s="36" t="s">
        <v>33</v>
      </c>
      <c r="B35" s="38">
        <v>6608</v>
      </c>
      <c r="C35" s="38">
        <v>6421</v>
      </c>
      <c r="D35" s="38">
        <v>6329</v>
      </c>
      <c r="E35" s="39" t="s">
        <v>42</v>
      </c>
      <c r="F35" s="29"/>
      <c r="G35" s="5"/>
      <c r="H35" s="42"/>
      <c r="I35" s="42"/>
      <c r="J35" s="43"/>
      <c r="K35" s="5" t="s">
        <v>33</v>
      </c>
      <c r="L35" s="42">
        <v>6608</v>
      </c>
      <c r="M35" s="42">
        <v>6421</v>
      </c>
      <c r="N35" s="42">
        <v>6329</v>
      </c>
    </row>
    <row r="36" spans="1:18" x14ac:dyDescent="0.3">
      <c r="A36" s="36" t="s">
        <v>34</v>
      </c>
      <c r="B36" s="38">
        <v>5005</v>
      </c>
      <c r="C36" s="38">
        <v>6920</v>
      </c>
      <c r="D36" s="38">
        <v>8825</v>
      </c>
      <c r="E36" s="39" t="s">
        <v>42</v>
      </c>
      <c r="F36" s="29"/>
      <c r="G36" s="32"/>
      <c r="J36" s="28"/>
      <c r="K36" s="5" t="s">
        <v>34</v>
      </c>
      <c r="L36" s="42">
        <v>5005</v>
      </c>
      <c r="M36" s="42">
        <v>6920</v>
      </c>
      <c r="N36" s="42">
        <v>8825</v>
      </c>
    </row>
    <row r="37" spans="1:18" ht="33" x14ac:dyDescent="0.3">
      <c r="A37" s="36" t="s">
        <v>35</v>
      </c>
      <c r="B37" s="38">
        <v>-419</v>
      </c>
      <c r="C37" s="38">
        <v>-553</v>
      </c>
      <c r="D37" s="38">
        <v>-756</v>
      </c>
      <c r="E37" s="51" t="s">
        <v>42</v>
      </c>
      <c r="F37" s="29"/>
      <c r="G37" s="5"/>
      <c r="H37" s="42"/>
      <c r="I37" s="42"/>
      <c r="J37" s="28"/>
      <c r="K37" s="5" t="s">
        <v>35</v>
      </c>
      <c r="L37" s="42">
        <v>-419</v>
      </c>
      <c r="M37" s="42">
        <v>-553</v>
      </c>
      <c r="N37" s="42">
        <v>-756</v>
      </c>
    </row>
    <row r="38" spans="1:18" s="13" customFormat="1" ht="15" x14ac:dyDescent="0.25">
      <c r="A38" s="37" t="s">
        <v>36</v>
      </c>
      <c r="B38" s="44">
        <v>11232</v>
      </c>
      <c r="C38" s="44">
        <v>12827</v>
      </c>
      <c r="D38" s="44">
        <v>14440</v>
      </c>
      <c r="F38" s="30"/>
      <c r="G38" s="45" t="s">
        <v>48</v>
      </c>
      <c r="H38" s="45">
        <v>25964</v>
      </c>
      <c r="I38" s="45">
        <v>27264</v>
      </c>
      <c r="J38" s="45">
        <v>24128</v>
      </c>
      <c r="K38" s="16" t="s">
        <v>36</v>
      </c>
      <c r="L38" s="45">
        <v>11232</v>
      </c>
      <c r="M38" s="45">
        <v>12827</v>
      </c>
      <c r="N38" s="45">
        <v>14440</v>
      </c>
      <c r="P38" s="48">
        <v>0</v>
      </c>
      <c r="Q38" s="48">
        <v>0</v>
      </c>
      <c r="R38" s="48">
        <v>0</v>
      </c>
    </row>
    <row r="39" spans="1:18" s="13" customFormat="1" ht="30" x14ac:dyDescent="0.25">
      <c r="A39" s="37" t="s">
        <v>37</v>
      </c>
      <c r="B39" s="44">
        <v>53335</v>
      </c>
      <c r="C39" s="44">
        <v>53811</v>
      </c>
      <c r="D39" s="44">
        <v>51248</v>
      </c>
      <c r="F39" s="30"/>
      <c r="G39" s="47" t="s">
        <v>39</v>
      </c>
      <c r="H39" s="52">
        <v>25142</v>
      </c>
      <c r="I39" s="52">
        <v>20636</v>
      </c>
      <c r="J39" s="52">
        <v>18609</v>
      </c>
      <c r="K39" s="46" t="s">
        <v>49</v>
      </c>
      <c r="L39" s="52">
        <v>25142</v>
      </c>
      <c r="M39" s="52">
        <v>20636</v>
      </c>
      <c r="N39" s="52">
        <v>18609</v>
      </c>
    </row>
    <row r="40" spans="1:18" x14ac:dyDescent="0.3">
      <c r="A40" s="36" t="s">
        <v>81</v>
      </c>
      <c r="B40" s="38">
        <v>0</v>
      </c>
      <c r="C40" s="38">
        <v>0</v>
      </c>
      <c r="D40" s="38">
        <v>0</v>
      </c>
      <c r="G40" s="3" t="s">
        <v>81</v>
      </c>
      <c r="H40" s="34">
        <v>0</v>
      </c>
      <c r="I40" s="34">
        <v>0</v>
      </c>
      <c r="J40" s="34">
        <v>0</v>
      </c>
      <c r="M40" s="34"/>
      <c r="N40" s="34"/>
    </row>
  </sheetData>
  <mergeCells count="4">
    <mergeCell ref="A2:E2"/>
    <mergeCell ref="G2:N2"/>
    <mergeCell ref="G3:J3"/>
    <mergeCell ref="K3:N3"/>
  </mergeCells>
  <phoneticPr fontId="23" type="noConversion"/>
  <printOptions horizontalCentered="1" verticalCentered="1"/>
  <pageMargins left="0.75" right="0.75" top="1" bottom="1" header="0.5" footer="0.5"/>
  <pageSetup scale="77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M45"/>
  <sheetViews>
    <sheetView showGridLines="0" topLeftCell="F1" zoomScale="83" zoomScaleNormal="100" zoomScalePageLayoutView="150" workbookViewId="0">
      <selection sqref="A1:E1048576"/>
    </sheetView>
  </sheetViews>
  <sheetFormatPr defaultColWidth="8.85546875" defaultRowHeight="16.5" x14ac:dyDescent="0.25"/>
  <cols>
    <col min="1" max="1" width="40.7109375" style="53" hidden="1" customWidth="1"/>
    <col min="2" max="2" width="11.7109375" style="53" hidden="1" customWidth="1"/>
    <col min="3" max="4" width="10.42578125" style="53" hidden="1" customWidth="1"/>
    <col min="5" max="5" width="12.7109375" style="53" hidden="1" customWidth="1"/>
    <col min="6" max="6" width="40.140625" style="53" bestFit="1" customWidth="1"/>
    <col min="7" max="9" width="9.85546875" style="53" bestFit="1" customWidth="1"/>
    <col min="10" max="10" width="39.140625" style="53" customWidth="1"/>
    <col min="11" max="13" width="9" style="53" bestFit="1" customWidth="1"/>
    <col min="14" max="16384" width="8.85546875" style="53"/>
  </cols>
  <sheetData>
    <row r="1" spans="1:13" x14ac:dyDescent="0.25">
      <c r="F1" s="179" t="s">
        <v>64</v>
      </c>
      <c r="G1" s="179"/>
      <c r="H1" s="179"/>
      <c r="I1" s="179"/>
      <c r="J1" s="179"/>
      <c r="K1" s="179"/>
      <c r="L1" s="179"/>
      <c r="M1" s="179"/>
    </row>
    <row r="2" spans="1:13" ht="14.1" customHeight="1" x14ac:dyDescent="0.25">
      <c r="A2" s="1" t="s">
        <v>0</v>
      </c>
      <c r="B2" s="175" t="s">
        <v>38</v>
      </c>
      <c r="C2" s="175"/>
      <c r="D2" s="175"/>
      <c r="E2" s="33"/>
      <c r="F2" s="178" t="s">
        <v>50</v>
      </c>
      <c r="G2" s="178"/>
      <c r="H2" s="178"/>
      <c r="I2" s="178"/>
      <c r="J2" s="178" t="s">
        <v>51</v>
      </c>
      <c r="K2" s="178"/>
      <c r="L2" s="178"/>
      <c r="M2" s="178"/>
    </row>
    <row r="3" spans="1:13" ht="30" x14ac:dyDescent="0.25">
      <c r="A3" s="1" t="s">
        <v>1</v>
      </c>
      <c r="B3" s="1"/>
      <c r="C3" s="1"/>
      <c r="D3" s="1"/>
      <c r="E3" s="33"/>
      <c r="G3" s="1">
        <v>2022</v>
      </c>
      <c r="H3" s="1">
        <v>2021</v>
      </c>
      <c r="I3" s="1">
        <v>2020</v>
      </c>
      <c r="K3" s="1">
        <v>2022</v>
      </c>
      <c r="L3" s="1">
        <v>2021</v>
      </c>
      <c r="M3" s="1">
        <v>2020</v>
      </c>
    </row>
    <row r="4" spans="1:13" x14ac:dyDescent="0.25">
      <c r="A4" s="2"/>
      <c r="B4" s="2"/>
      <c r="C4" s="54"/>
      <c r="D4" s="54"/>
      <c r="E4" s="54"/>
    </row>
    <row r="5" spans="1:13" x14ac:dyDescent="0.25">
      <c r="A5" s="1"/>
      <c r="B5" s="1">
        <v>2022</v>
      </c>
      <c r="C5" s="1">
        <v>2021</v>
      </c>
      <c r="D5" s="1">
        <v>2020</v>
      </c>
    </row>
    <row r="6" spans="1:13" x14ac:dyDescent="0.25">
      <c r="A6" s="1"/>
      <c r="B6" s="1"/>
      <c r="C6" s="1"/>
      <c r="D6" s="1"/>
    </row>
    <row r="7" spans="1:13" s="57" customFormat="1" x14ac:dyDescent="0.25">
      <c r="A7" s="36" t="s">
        <v>94</v>
      </c>
      <c r="B7" s="38">
        <v>109120</v>
      </c>
      <c r="C7" s="38">
        <v>106005</v>
      </c>
      <c r="D7" s="38">
        <v>93561</v>
      </c>
      <c r="E7" s="54" t="s">
        <v>43</v>
      </c>
      <c r="F7" s="5" t="s">
        <v>94</v>
      </c>
      <c r="G7" s="55">
        <v>109120</v>
      </c>
      <c r="H7" s="55">
        <v>106005</v>
      </c>
      <c r="I7" s="55">
        <v>93561</v>
      </c>
      <c r="J7" s="5"/>
      <c r="K7" s="56"/>
      <c r="L7" s="56"/>
      <c r="M7" s="56"/>
    </row>
    <row r="8" spans="1:13" x14ac:dyDescent="0.3">
      <c r="A8" s="36" t="s">
        <v>3</v>
      </c>
      <c r="B8" s="38">
        <v>82229</v>
      </c>
      <c r="C8" s="38">
        <v>74963</v>
      </c>
      <c r="D8" s="38">
        <v>66177</v>
      </c>
      <c r="E8" s="54" t="s">
        <v>43</v>
      </c>
      <c r="F8" s="5" t="s">
        <v>3</v>
      </c>
      <c r="G8" s="55">
        <v>82229</v>
      </c>
      <c r="H8" s="55">
        <v>74963</v>
      </c>
      <c r="I8" s="55">
        <v>66177</v>
      </c>
      <c r="J8" s="5"/>
      <c r="K8" s="58"/>
      <c r="L8" s="58"/>
      <c r="M8" s="58"/>
    </row>
    <row r="9" spans="1:13" s="57" customFormat="1" x14ac:dyDescent="0.25">
      <c r="A9" s="37" t="s">
        <v>57</v>
      </c>
      <c r="B9" s="44">
        <v>26891</v>
      </c>
      <c r="C9" s="44">
        <v>31042</v>
      </c>
      <c r="D9" s="44">
        <v>27384</v>
      </c>
      <c r="E9" s="54"/>
      <c r="F9" s="4"/>
      <c r="G9" s="59"/>
      <c r="H9" s="59"/>
      <c r="I9" s="59"/>
      <c r="J9" s="4"/>
      <c r="K9" s="45"/>
      <c r="L9" s="45"/>
      <c r="M9" s="45"/>
    </row>
    <row r="10" spans="1:13" s="57" customFormat="1" ht="33" x14ac:dyDescent="0.25">
      <c r="A10" s="36" t="s">
        <v>4</v>
      </c>
      <c r="B10" s="38">
        <v>20658</v>
      </c>
      <c r="C10" s="38">
        <v>19752</v>
      </c>
      <c r="D10" s="38">
        <v>18615</v>
      </c>
      <c r="E10" s="54" t="s">
        <v>43</v>
      </c>
      <c r="F10" s="5" t="s">
        <v>4</v>
      </c>
      <c r="G10" s="55">
        <v>20658</v>
      </c>
      <c r="H10" s="55">
        <v>19752</v>
      </c>
      <c r="I10" s="55">
        <v>18615</v>
      </c>
      <c r="J10" s="5"/>
      <c r="K10" s="60"/>
      <c r="L10" s="60"/>
      <c r="M10" s="60"/>
    </row>
    <row r="11" spans="1:13" s="57" customFormat="1" x14ac:dyDescent="0.25">
      <c r="A11" s="36" t="s">
        <v>5</v>
      </c>
      <c r="B11" s="38">
        <v>2385</v>
      </c>
      <c r="C11" s="38">
        <v>2344</v>
      </c>
      <c r="D11" s="38">
        <v>2230</v>
      </c>
      <c r="E11" s="54" t="s">
        <v>43</v>
      </c>
      <c r="F11" s="5" t="s">
        <v>5</v>
      </c>
      <c r="G11" s="55">
        <v>2385</v>
      </c>
      <c r="H11" s="55">
        <v>2344</v>
      </c>
      <c r="I11" s="55">
        <v>2230</v>
      </c>
      <c r="J11" s="5"/>
      <c r="K11" s="60"/>
      <c r="L11" s="60"/>
      <c r="M11" s="60"/>
    </row>
    <row r="12" spans="1:13" x14ac:dyDescent="0.25">
      <c r="A12" s="37" t="s">
        <v>98</v>
      </c>
      <c r="B12" s="44">
        <v>3848</v>
      </c>
      <c r="C12" s="44">
        <v>8946</v>
      </c>
      <c r="D12" s="44">
        <v>6539</v>
      </c>
      <c r="E12" s="54" t="s">
        <v>43</v>
      </c>
      <c r="F12" s="5"/>
      <c r="G12" s="61"/>
      <c r="H12" s="61"/>
      <c r="I12" s="61"/>
      <c r="J12" s="5"/>
      <c r="K12" s="60"/>
      <c r="L12" s="60"/>
      <c r="M12" s="60"/>
    </row>
    <row r="13" spans="1:13" x14ac:dyDescent="0.25">
      <c r="A13" s="36" t="s">
        <v>6</v>
      </c>
      <c r="B13" s="38">
        <v>478</v>
      </c>
      <c r="C13" s="38">
        <v>421</v>
      </c>
      <c r="D13" s="38">
        <v>977</v>
      </c>
      <c r="E13" s="54" t="s">
        <v>42</v>
      </c>
      <c r="F13" s="4"/>
      <c r="G13" s="62"/>
      <c r="H13" s="62"/>
      <c r="I13" s="62"/>
      <c r="J13" s="5" t="s">
        <v>6</v>
      </c>
      <c r="K13" s="5">
        <v>478</v>
      </c>
      <c r="L13" s="5">
        <v>421</v>
      </c>
      <c r="M13" s="5">
        <v>977</v>
      </c>
    </row>
    <row r="14" spans="1:13" x14ac:dyDescent="0.25">
      <c r="A14" s="36" t="s">
        <v>90</v>
      </c>
      <c r="B14" s="38">
        <v>-48</v>
      </c>
      <c r="C14" s="38">
        <v>-382</v>
      </c>
      <c r="D14" s="38">
        <v>16</v>
      </c>
      <c r="E14" s="54" t="s">
        <v>42</v>
      </c>
      <c r="F14" s="5" t="s">
        <v>90</v>
      </c>
      <c r="G14" s="63">
        <v>-48</v>
      </c>
      <c r="H14" s="63">
        <v>-382</v>
      </c>
      <c r="I14" s="63">
        <v>16</v>
      </c>
      <c r="J14" s="5"/>
      <c r="K14" s="5"/>
      <c r="L14" s="5"/>
      <c r="M14" s="5"/>
    </row>
    <row r="15" spans="1:13" x14ac:dyDescent="0.25">
      <c r="A15" s="37" t="s">
        <v>116</v>
      </c>
      <c r="B15" s="44">
        <v>3418</v>
      </c>
      <c r="C15" s="44">
        <v>8907</v>
      </c>
      <c r="D15" s="44">
        <v>5546</v>
      </c>
      <c r="E15" s="54"/>
      <c r="F15" s="5"/>
      <c r="G15" s="61"/>
      <c r="H15" s="61"/>
      <c r="I15" s="61"/>
      <c r="J15" s="5"/>
      <c r="K15" s="60"/>
      <c r="L15" s="60"/>
      <c r="M15" s="60"/>
    </row>
    <row r="16" spans="1:13" ht="33" x14ac:dyDescent="0.25">
      <c r="A16" s="36" t="s">
        <v>7</v>
      </c>
      <c r="B16" s="38">
        <v>638</v>
      </c>
      <c r="C16" s="38">
        <v>1961</v>
      </c>
      <c r="D16" s="38">
        <v>1178</v>
      </c>
      <c r="E16" s="54" t="s">
        <v>52</v>
      </c>
      <c r="F16" s="54" t="s">
        <v>53</v>
      </c>
      <c r="G16" s="64">
        <v>752.72</v>
      </c>
      <c r="H16" s="64">
        <v>2065.8290000000002</v>
      </c>
      <c r="I16" s="64">
        <v>1415.4110000000001</v>
      </c>
      <c r="J16" s="64" t="s">
        <v>54</v>
      </c>
      <c r="K16" s="65">
        <v>114.72</v>
      </c>
      <c r="L16" s="65">
        <v>104.82899999999999</v>
      </c>
      <c r="M16" s="65">
        <v>237.411</v>
      </c>
    </row>
    <row r="17" spans="1:13" s="57" customFormat="1" x14ac:dyDescent="0.25">
      <c r="A17" s="37" t="s">
        <v>88</v>
      </c>
      <c r="B17" s="44">
        <v>2780</v>
      </c>
      <c r="C17" s="44">
        <v>6946</v>
      </c>
      <c r="D17" s="44">
        <v>4368</v>
      </c>
      <c r="F17" s="54"/>
      <c r="G17" s="64"/>
      <c r="H17" s="64"/>
      <c r="I17" s="64"/>
      <c r="J17" s="66" t="s">
        <v>102</v>
      </c>
      <c r="K17" s="67">
        <v>0.24</v>
      </c>
      <c r="L17" s="67">
        <v>0.249</v>
      </c>
      <c r="M17" s="67">
        <v>0.24299999999999999</v>
      </c>
    </row>
    <row r="18" spans="1:13" x14ac:dyDescent="0.25">
      <c r="A18" s="36" t="e">
        <v>#REF!</v>
      </c>
      <c r="B18" s="38" t="e">
        <v>#REF!</v>
      </c>
      <c r="C18" s="38" t="e">
        <v>#REF!</v>
      </c>
      <c r="D18" s="38" t="e">
        <v>#REF!</v>
      </c>
      <c r="E18" s="54"/>
    </row>
    <row r="19" spans="1:13" x14ac:dyDescent="0.25">
      <c r="A19" s="37" t="e">
        <v>#REF!</v>
      </c>
      <c r="B19" s="44" t="e">
        <v>#REF!</v>
      </c>
      <c r="C19" s="44" t="e">
        <v>#REF!</v>
      </c>
      <c r="D19" s="44" t="e">
        <v>#REF!</v>
      </c>
      <c r="E19" s="54"/>
    </row>
    <row r="20" spans="1:13" x14ac:dyDescent="0.25">
      <c r="G20" s="66"/>
      <c r="H20" s="66"/>
      <c r="I20" s="66"/>
      <c r="J20" s="66"/>
      <c r="K20" s="66"/>
      <c r="L20" s="66"/>
      <c r="M20" s="66"/>
    </row>
    <row r="21" spans="1:13" s="57" customFormat="1" x14ac:dyDescent="0.25">
      <c r="E21" s="53"/>
      <c r="F21" s="68" t="s">
        <v>55</v>
      </c>
      <c r="G21" s="69">
        <v>3143.2799999999997</v>
      </c>
      <c r="H21" s="69">
        <v>7262.1710000000003</v>
      </c>
      <c r="I21" s="69">
        <v>5107.5889999999999</v>
      </c>
      <c r="J21" s="69" t="s">
        <v>56</v>
      </c>
      <c r="K21" s="70">
        <v>363.28</v>
      </c>
      <c r="L21" s="70">
        <v>316.17099999999999</v>
      </c>
      <c r="M21" s="70">
        <v>739.58899999999994</v>
      </c>
    </row>
    <row r="22" spans="1:13" x14ac:dyDescent="0.25">
      <c r="G22" s="66"/>
      <c r="H22" s="66"/>
      <c r="I22" s="66"/>
      <c r="J22" s="66"/>
      <c r="K22" s="66"/>
      <c r="L22" s="66"/>
      <c r="M22" s="66"/>
    </row>
    <row r="23" spans="1:13" x14ac:dyDescent="0.25">
      <c r="F23" s="53" t="s">
        <v>63</v>
      </c>
      <c r="G23" s="66">
        <v>0</v>
      </c>
      <c r="H23" s="66">
        <v>0</v>
      </c>
      <c r="I23" s="66">
        <v>0</v>
      </c>
      <c r="J23" s="66"/>
      <c r="K23" s="66"/>
      <c r="L23" s="66"/>
      <c r="M23" s="66"/>
    </row>
    <row r="25" spans="1:13" x14ac:dyDescent="0.25">
      <c r="F25" s="53" t="s">
        <v>77</v>
      </c>
      <c r="G25" s="67">
        <v>0.19561330561330562</v>
      </c>
      <c r="H25" s="67">
        <v>0.23092208808405992</v>
      </c>
      <c r="I25" s="67">
        <v>0.21645679767548556</v>
      </c>
    </row>
    <row r="29" spans="1:13" x14ac:dyDescent="0.25">
      <c r="G29" s="71"/>
    </row>
    <row r="43" spans="5:5" x14ac:dyDescent="0.25">
      <c r="E43" s="54"/>
    </row>
    <row r="44" spans="5:5" x14ac:dyDescent="0.25">
      <c r="E44" s="54"/>
    </row>
    <row r="45" spans="5:5" x14ac:dyDescent="0.25">
      <c r="E45" s="54"/>
    </row>
  </sheetData>
  <mergeCells count="4">
    <mergeCell ref="F2:I2"/>
    <mergeCell ref="J2:M2"/>
    <mergeCell ref="B2:D2"/>
    <mergeCell ref="F1:M1"/>
  </mergeCells>
  <phoneticPr fontId="23" type="noConversion"/>
  <printOptions horizontalCentered="1" verticalCentered="1"/>
  <pageMargins left="0.75" right="0.75" top="1" bottom="1" header="0.5" footer="0.5"/>
  <pageSetup scale="83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fitToPage="1"/>
  </sheetPr>
  <dimension ref="A1:K48"/>
  <sheetViews>
    <sheetView showGridLines="0" topLeftCell="A19" zoomScale="93" zoomScaleNormal="95" zoomScalePageLayoutView="125" workbookViewId="0">
      <selection activeCell="E46" sqref="E46"/>
    </sheetView>
  </sheetViews>
  <sheetFormatPr defaultColWidth="8.85546875" defaultRowHeight="16.5" x14ac:dyDescent="0.25"/>
  <cols>
    <col min="1" max="1" width="43.42578125" style="53" bestFit="1" customWidth="1"/>
    <col min="2" max="2" width="11.5703125" style="53" bestFit="1" customWidth="1"/>
    <col min="3" max="3" width="13" style="53" customWidth="1"/>
    <col min="4" max="4" width="11.42578125" style="53" bestFit="1" customWidth="1"/>
    <col min="5" max="5" width="20.85546875" style="53" bestFit="1" customWidth="1"/>
    <col min="6" max="8" width="11.42578125" style="53" bestFit="1" customWidth="1"/>
    <col min="9" max="9" width="17.140625" style="53" customWidth="1"/>
    <col min="10" max="10" width="11.42578125" style="53" bestFit="1" customWidth="1"/>
    <col min="11" max="11" width="13" style="53" bestFit="1" customWidth="1"/>
    <col min="12" max="16384" width="8.85546875" style="53"/>
  </cols>
  <sheetData>
    <row r="1" spans="1:11" x14ac:dyDescent="0.25">
      <c r="A1" s="73"/>
      <c r="B1" s="73"/>
      <c r="C1" s="73"/>
      <c r="D1" s="73"/>
      <c r="E1" s="73"/>
      <c r="F1" s="73"/>
      <c r="G1" s="73"/>
      <c r="H1" s="73"/>
      <c r="I1" s="73"/>
    </row>
    <row r="2" spans="1:11" ht="14.1" customHeight="1" x14ac:dyDescent="0.25">
      <c r="A2" s="178" t="s">
        <v>68</v>
      </c>
      <c r="B2" s="178"/>
      <c r="C2" s="178"/>
      <c r="D2" s="178"/>
      <c r="E2" s="178"/>
      <c r="F2" s="178"/>
      <c r="G2" s="178"/>
      <c r="H2" s="178"/>
      <c r="I2" s="178"/>
    </row>
    <row r="3" spans="1:11" x14ac:dyDescent="0.25">
      <c r="B3" s="73"/>
      <c r="C3" s="73"/>
      <c r="D3" s="73"/>
      <c r="E3" s="73"/>
      <c r="F3" s="73"/>
      <c r="G3" s="73"/>
      <c r="H3" s="73"/>
      <c r="I3" s="73"/>
    </row>
    <row r="4" spans="1:11" x14ac:dyDescent="0.25">
      <c r="A4" s="73"/>
      <c r="B4" s="75" t="s">
        <v>105</v>
      </c>
      <c r="C4" s="75" t="s">
        <v>108</v>
      </c>
      <c r="D4" s="75" t="s">
        <v>117</v>
      </c>
      <c r="E4" s="76" t="s">
        <v>103</v>
      </c>
      <c r="F4" s="76" t="s">
        <v>106</v>
      </c>
      <c r="G4" s="76" t="s">
        <v>109</v>
      </c>
      <c r="H4" s="76" t="s">
        <v>118</v>
      </c>
      <c r="I4" s="76" t="s">
        <v>66</v>
      </c>
    </row>
    <row r="5" spans="1:11" x14ac:dyDescent="0.25">
      <c r="A5" s="77" t="s">
        <v>74</v>
      </c>
      <c r="B5" s="78">
        <f>B6*IS!D6</f>
        <v>75860.399999999994</v>
      </c>
      <c r="C5" s="78">
        <f>C6*IS!C6</f>
        <v>84839.521000000008</v>
      </c>
      <c r="D5" s="78">
        <f>D6*IS!B6</f>
        <v>87576.631999999998</v>
      </c>
      <c r="E5" s="79">
        <f>E19+E18</f>
        <v>84899.450830787551</v>
      </c>
      <c r="F5" s="79">
        <f t="shared" ref="F5:H5" si="0">F19+F18</f>
        <v>85861.21360579363</v>
      </c>
      <c r="G5" s="79">
        <f t="shared" si="0"/>
        <v>90227.179079211739</v>
      </c>
      <c r="H5" s="79">
        <f t="shared" si="0"/>
        <v>94815.149969448161</v>
      </c>
      <c r="I5" s="79">
        <f>I19+I18</f>
        <v>98798.936206869184</v>
      </c>
      <c r="K5" s="132"/>
    </row>
    <row r="6" spans="1:11" x14ac:dyDescent="0.25">
      <c r="A6" s="77" t="s">
        <v>112</v>
      </c>
      <c r="B6" s="80">
        <v>0.82099999999999995</v>
      </c>
      <c r="C6" s="80">
        <v>0.81100000000000005</v>
      </c>
      <c r="D6" s="80">
        <v>0.81399999999999995</v>
      </c>
      <c r="E6" s="81">
        <f>E5/E21</f>
        <v>0.80464901470856942</v>
      </c>
      <c r="F6" s="81">
        <f t="shared" ref="F6:I6" si="1">F5/F21</f>
        <v>0.8017573277944624</v>
      </c>
      <c r="G6" s="81">
        <f t="shared" si="1"/>
        <v>0.80492323785620645</v>
      </c>
      <c r="H6" s="81">
        <f t="shared" si="1"/>
        <v>0.80805069314976941</v>
      </c>
      <c r="I6" s="81">
        <f t="shared" si="1"/>
        <v>0.8098433017260217</v>
      </c>
    </row>
    <row r="7" spans="1:11" x14ac:dyDescent="0.25">
      <c r="A7" s="77" t="s">
        <v>72</v>
      </c>
      <c r="B7" s="82"/>
      <c r="C7" s="81">
        <f>C5/B5-1</f>
        <v>0.11836374445692366</v>
      </c>
      <c r="D7" s="81">
        <f>D5/C5-1</f>
        <v>3.2262216567677138E-2</v>
      </c>
      <c r="E7" s="81">
        <f>E5/D5-1</f>
        <v>-3.0569583552978452E-2</v>
      </c>
      <c r="F7" s="81">
        <f t="shared" ref="F7:I7" si="2">F5/E5-1</f>
        <v>1.1328256727160202E-2</v>
      </c>
      <c r="G7" s="81">
        <f t="shared" si="2"/>
        <v>5.0849100426918703E-2</v>
      </c>
      <c r="H7" s="81">
        <f t="shared" si="2"/>
        <v>5.0849100426918703E-2</v>
      </c>
      <c r="I7" s="81">
        <f t="shared" si="2"/>
        <v>4.2016346951987193E-2</v>
      </c>
    </row>
    <row r="8" spans="1:11" x14ac:dyDescent="0.25">
      <c r="A8" s="77" t="s">
        <v>75</v>
      </c>
      <c r="B8" s="78">
        <f>B9*IS!D6</f>
        <v>16539.600000000006</v>
      </c>
      <c r="C8" s="78">
        <f>C9*IS!C6</f>
        <v>19771.478999999996</v>
      </c>
      <c r="D8" s="78">
        <f>D9*IS!B6</f>
        <v>20011.368000000006</v>
      </c>
      <c r="E8" s="79">
        <f>D8*(1+E10)</f>
        <v>20611.709040000005</v>
      </c>
      <c r="F8" s="79">
        <f t="shared" ref="F8:H8" si="3">E8*(1+F10)</f>
        <v>21230.060311200006</v>
      </c>
      <c r="G8" s="79">
        <f t="shared" si="3"/>
        <v>21866.962120536005</v>
      </c>
      <c r="H8" s="79">
        <f t="shared" si="3"/>
        <v>22522.970984152085</v>
      </c>
      <c r="I8" s="79">
        <f>H8*(1+I10)</f>
        <v>23198.660113676648</v>
      </c>
      <c r="K8" s="132"/>
    </row>
    <row r="9" spans="1:11" x14ac:dyDescent="0.25">
      <c r="A9" s="77" t="s">
        <v>113</v>
      </c>
      <c r="B9" s="82">
        <f>1-B6</f>
        <v>0.17900000000000005</v>
      </c>
      <c r="C9" s="127">
        <f>1-C6</f>
        <v>0.18899999999999995</v>
      </c>
      <c r="D9" s="127">
        <f>1-D6</f>
        <v>0.18600000000000005</v>
      </c>
      <c r="E9" s="90">
        <f>E8/E21</f>
        <v>0.19535098529143063</v>
      </c>
      <c r="F9" s="90">
        <f t="shared" ref="F9:I9" si="4">F8/F21</f>
        <v>0.19824267220553757</v>
      </c>
      <c r="G9" s="90">
        <f t="shared" si="4"/>
        <v>0.1950767621437936</v>
      </c>
      <c r="H9" s="90">
        <f t="shared" si="4"/>
        <v>0.19194930685023059</v>
      </c>
      <c r="I9" s="90">
        <f t="shared" si="4"/>
        <v>0.19015669827397838</v>
      </c>
    </row>
    <row r="10" spans="1:11" x14ac:dyDescent="0.25">
      <c r="A10" s="77" t="s">
        <v>72</v>
      </c>
      <c r="B10" s="82"/>
      <c r="C10" s="81">
        <f>C8/B8-1</f>
        <v>0.1954024885728789</v>
      </c>
      <c r="D10" s="81">
        <f>D8/C8-1</f>
        <v>1.2133083215474683E-2</v>
      </c>
      <c r="E10" s="80">
        <v>0.03</v>
      </c>
      <c r="F10" s="80">
        <f>E10</f>
        <v>0.03</v>
      </c>
      <c r="G10" s="80">
        <f>F10</f>
        <v>0.03</v>
      </c>
      <c r="H10" s="80">
        <f>G10</f>
        <v>0.03</v>
      </c>
      <c r="I10" s="80">
        <v>0.03</v>
      </c>
    </row>
    <row r="11" spans="1:11" s="87" customFormat="1" x14ac:dyDescent="0.25">
      <c r="A11" s="83"/>
      <c r="B11" s="84"/>
      <c r="C11" s="85"/>
      <c r="D11" s="85"/>
      <c r="E11" s="86"/>
      <c r="F11" s="86"/>
      <c r="G11" s="86"/>
      <c r="H11" s="86"/>
      <c r="I11" s="86"/>
    </row>
    <row r="12" spans="1:11" x14ac:dyDescent="0.25">
      <c r="A12" s="77" t="s">
        <v>71</v>
      </c>
      <c r="B12" s="88">
        <v>1897</v>
      </c>
      <c r="C12" s="88">
        <v>1926</v>
      </c>
      <c r="D12" s="88">
        <v>1948</v>
      </c>
      <c r="E12" s="78">
        <f>D12*(1+E13)</f>
        <v>1974.0154750546171</v>
      </c>
      <c r="F12" s="78">
        <f t="shared" ref="F12:I12" si="5">E12*(1+F13)</f>
        <v>2000.3783859112452</v>
      </c>
      <c r="G12" s="78">
        <f t="shared" si="5"/>
        <v>2027.0933725634368</v>
      </c>
      <c r="H12" s="78">
        <f t="shared" si="5"/>
        <v>2054.1651369717038</v>
      </c>
      <c r="I12" s="78">
        <f t="shared" si="5"/>
        <v>2074.7067883414206</v>
      </c>
    </row>
    <row r="13" spans="1:11" x14ac:dyDescent="0.25">
      <c r="A13" s="77" t="s">
        <v>72</v>
      </c>
      <c r="B13" s="89"/>
      <c r="C13" s="81">
        <f>C12/B12-1</f>
        <v>1.5287295730100237E-2</v>
      </c>
      <c r="D13" s="81">
        <f>D12/C12-1</f>
        <v>1.1422637590861928E-2</v>
      </c>
      <c r="E13" s="80">
        <f>AVERAGE(C13:D13)</f>
        <v>1.3354966660481082E-2</v>
      </c>
      <c r="F13" s="80">
        <f>E13</f>
        <v>1.3354966660481082E-2</v>
      </c>
      <c r="G13" s="80">
        <f>F13</f>
        <v>1.3354966660481082E-2</v>
      </c>
      <c r="H13" s="80">
        <f>G13</f>
        <v>1.3354966660481082E-2</v>
      </c>
      <c r="I13" s="80">
        <v>0.01</v>
      </c>
    </row>
    <row r="14" spans="1:11" x14ac:dyDescent="0.25">
      <c r="A14" s="77" t="s">
        <v>89</v>
      </c>
      <c r="B14" s="88"/>
      <c r="C14" s="88">
        <f>C12-B12</f>
        <v>29</v>
      </c>
      <c r="D14" s="88">
        <f>D12-C12</f>
        <v>22</v>
      </c>
      <c r="E14" s="91">
        <f>E12-D12</f>
        <v>26.015475054617127</v>
      </c>
      <c r="F14" s="91">
        <f t="shared" ref="F14:I14" si="6">F12-E12</f>
        <v>26.362910856628105</v>
      </c>
      <c r="G14" s="91">
        <f t="shared" si="6"/>
        <v>26.714986652191556</v>
      </c>
      <c r="H14" s="91">
        <f t="shared" si="6"/>
        <v>27.071764408266972</v>
      </c>
      <c r="I14" s="91">
        <f t="shared" si="6"/>
        <v>20.541651369716874</v>
      </c>
    </row>
    <row r="15" spans="1:11" x14ac:dyDescent="0.25">
      <c r="A15" s="77" t="s">
        <v>73</v>
      </c>
      <c r="B15" s="91">
        <f>B5/B12</f>
        <v>39.989667896678966</v>
      </c>
      <c r="C15" s="91">
        <f>C5/C12</f>
        <v>44.04959553478713</v>
      </c>
      <c r="D15" s="91">
        <f>D5/D12</f>
        <v>44.957203285420945</v>
      </c>
      <c r="E15" s="92">
        <f>D15*(1+E16)</f>
        <v>43.293786763860368</v>
      </c>
      <c r="F15" s="92">
        <f t="shared" ref="F15:H15" si="7">E15*(1+F16)</f>
        <v>43.207199190332645</v>
      </c>
      <c r="G15" s="92">
        <f t="shared" si="7"/>
        <v>44.805865560374947</v>
      </c>
      <c r="H15" s="92">
        <f t="shared" si="7"/>
        <v>46.463682586108817</v>
      </c>
      <c r="I15" s="92">
        <f>H15*(1+I16)</f>
        <v>47.857593063692086</v>
      </c>
    </row>
    <row r="16" spans="1:11" x14ac:dyDescent="0.25">
      <c r="A16" s="77" t="s">
        <v>72</v>
      </c>
      <c r="B16" s="82"/>
      <c r="C16" s="81">
        <f>C15/B15-1</f>
        <v>0.10152441497133147</v>
      </c>
      <c r="D16" s="81">
        <f>D15/C15-1</f>
        <v>2.06042243887814E-2</v>
      </c>
      <c r="E16" s="93">
        <v>-3.6999999999999998E-2</v>
      </c>
      <c r="F16" s="80">
        <v>-2E-3</v>
      </c>
      <c r="G16" s="80">
        <v>3.6999999999999998E-2</v>
      </c>
      <c r="H16" s="80">
        <v>3.6999999999999998E-2</v>
      </c>
      <c r="I16" s="80">
        <v>0.03</v>
      </c>
    </row>
    <row r="17" spans="1:11" s="87" customFormat="1" x14ac:dyDescent="0.25">
      <c r="A17" s="83"/>
      <c r="B17" s="84"/>
      <c r="C17" s="85"/>
      <c r="D17" s="85"/>
      <c r="E17" s="94"/>
      <c r="F17" s="86"/>
      <c r="G17" s="86"/>
      <c r="H17" s="86"/>
      <c r="I17" s="86"/>
    </row>
    <row r="18" spans="1:11" s="87" customFormat="1" x14ac:dyDescent="0.25">
      <c r="A18" s="83" t="s">
        <v>96</v>
      </c>
      <c r="B18" s="84"/>
      <c r="C18" s="85"/>
      <c r="D18" s="85"/>
      <c r="E18" s="95">
        <f>(E12-D12)*E15/2</f>
        <v>563.15421478756127</v>
      </c>
      <c r="F18" s="95">
        <f t="shared" ref="F18:H18" si="8">(F12-E12)*F15/2</f>
        <v>569.5337703096568</v>
      </c>
      <c r="G18" s="95">
        <f t="shared" si="8"/>
        <v>598.49405019265305</v>
      </c>
      <c r="H18" s="95">
        <f t="shared" si="8"/>
        <v>628.92693425581729</v>
      </c>
      <c r="I18" s="95">
        <f>(I12-H12)*I15/2</f>
        <v>491.53699605407166</v>
      </c>
    </row>
    <row r="19" spans="1:11" s="87" customFormat="1" x14ac:dyDescent="0.25">
      <c r="A19" s="83" t="s">
        <v>97</v>
      </c>
      <c r="B19" s="84"/>
      <c r="C19" s="85"/>
      <c r="D19" s="85"/>
      <c r="E19" s="95">
        <f>D12*E15</f>
        <v>84336.296615999992</v>
      </c>
      <c r="F19" s="95">
        <f>E12*F15</f>
        <v>85291.67983548397</v>
      </c>
      <c r="G19" s="95">
        <f t="shared" ref="G19" si="9">F12*G15</f>
        <v>89628.685029019092</v>
      </c>
      <c r="H19" s="95">
        <f>G12*H15</f>
        <v>94186.22303519235</v>
      </c>
      <c r="I19" s="95">
        <f>H12*I15</f>
        <v>98307.399210815114</v>
      </c>
      <c r="J19" s="131"/>
    </row>
    <row r="20" spans="1:11" s="87" customFormat="1" x14ac:dyDescent="0.25">
      <c r="A20" s="83"/>
      <c r="B20" s="84"/>
      <c r="C20" s="85"/>
      <c r="D20" s="85"/>
      <c r="E20" s="95"/>
      <c r="F20" s="95"/>
      <c r="G20" s="95"/>
      <c r="H20" s="95"/>
      <c r="I20" s="95"/>
    </row>
    <row r="21" spans="1:11" s="87" customFormat="1" x14ac:dyDescent="0.25">
      <c r="A21" s="83" t="s">
        <v>111</v>
      </c>
      <c r="B21" s="130">
        <f>B5+B8</f>
        <v>92400</v>
      </c>
      <c r="C21" s="130">
        <f t="shared" ref="C21:I21" si="10">C5+C8</f>
        <v>104611</v>
      </c>
      <c r="D21" s="130">
        <f t="shared" si="10"/>
        <v>107588</v>
      </c>
      <c r="E21" s="130">
        <f t="shared" si="10"/>
        <v>105511.15987078755</v>
      </c>
      <c r="F21" s="130">
        <f t="shared" si="10"/>
        <v>107091.27391699364</v>
      </c>
      <c r="G21" s="130">
        <f t="shared" si="10"/>
        <v>112094.14119974774</v>
      </c>
      <c r="H21" s="130">
        <f t="shared" si="10"/>
        <v>117338.12095360024</v>
      </c>
      <c r="I21" s="130">
        <f t="shared" si="10"/>
        <v>121997.59632054582</v>
      </c>
      <c r="K21" s="131"/>
    </row>
    <row r="22" spans="1:11" s="87" customFormat="1" x14ac:dyDescent="0.25">
      <c r="A22" s="83"/>
      <c r="B22" s="84"/>
      <c r="C22" s="85"/>
      <c r="D22" s="85"/>
      <c r="E22" s="95"/>
      <c r="F22" s="95"/>
      <c r="G22" s="95"/>
      <c r="H22" s="95"/>
      <c r="I22" s="95"/>
    </row>
    <row r="23" spans="1:11" s="87" customFormat="1" x14ac:dyDescent="0.25">
      <c r="A23" s="83" t="s">
        <v>95</v>
      </c>
      <c r="B23" s="78">
        <f>IS!D7</f>
        <v>1161</v>
      </c>
      <c r="C23" s="78">
        <f>IS!C7</f>
        <v>1394</v>
      </c>
      <c r="D23" s="78">
        <f>IS!B7</f>
        <v>1532</v>
      </c>
      <c r="E23" s="95">
        <f>D23*(1+E24)</f>
        <v>1761.558523857012</v>
      </c>
      <c r="F23" s="95">
        <f t="shared" ref="F23:H23" si="11">E23*(1+F24)</f>
        <v>2025.5146429329604</v>
      </c>
      <c r="G23" s="95">
        <f t="shared" si="11"/>
        <v>2329.0225747100189</v>
      </c>
      <c r="H23" s="95">
        <f t="shared" si="11"/>
        <v>2678.0088568771794</v>
      </c>
      <c r="I23" s="95">
        <f>H23*(1+I24)</f>
        <v>2758.349122583495</v>
      </c>
      <c r="K23" s="131"/>
    </row>
    <row r="24" spans="1:11" s="87" customFormat="1" x14ac:dyDescent="0.25">
      <c r="A24" s="83"/>
      <c r="B24" s="84"/>
      <c r="C24" s="81">
        <f>C23/B23-1</f>
        <v>0.20068906115417739</v>
      </c>
      <c r="D24" s="81">
        <f>D23/C23-1</f>
        <v>9.8995695839311226E-2</v>
      </c>
      <c r="E24" s="80">
        <f>AVERAGE(C24:D24)</f>
        <v>0.14984237849674431</v>
      </c>
      <c r="F24" s="80">
        <f>E24</f>
        <v>0.14984237849674431</v>
      </c>
      <c r="G24" s="80">
        <f>F24</f>
        <v>0.14984237849674431</v>
      </c>
      <c r="H24" s="80">
        <f>G24</f>
        <v>0.14984237849674431</v>
      </c>
      <c r="I24" s="80">
        <v>0.03</v>
      </c>
    </row>
    <row r="25" spans="1:11" s="87" customFormat="1" x14ac:dyDescent="0.25">
      <c r="A25" s="83"/>
      <c r="B25" s="84"/>
      <c r="C25" s="81"/>
      <c r="D25" s="81"/>
      <c r="E25" s="86"/>
      <c r="F25" s="86"/>
      <c r="G25" s="86"/>
      <c r="H25" s="86"/>
      <c r="I25" s="86"/>
    </row>
    <row r="26" spans="1:11" x14ac:dyDescent="0.25">
      <c r="A26" s="96" t="s">
        <v>76</v>
      </c>
      <c r="B26" s="97">
        <f t="shared" ref="B26:I26" si="12">B21+B23</f>
        <v>93561</v>
      </c>
      <c r="C26" s="97">
        <f t="shared" si="12"/>
        <v>106005</v>
      </c>
      <c r="D26" s="97">
        <f t="shared" si="12"/>
        <v>109120</v>
      </c>
      <c r="E26" s="97">
        <f t="shared" si="12"/>
        <v>107272.71839464456</v>
      </c>
      <c r="F26" s="97">
        <f t="shared" si="12"/>
        <v>109116.7885599266</v>
      </c>
      <c r="G26" s="97">
        <f t="shared" si="12"/>
        <v>114423.16377445776</v>
      </c>
      <c r="H26" s="97">
        <f t="shared" si="12"/>
        <v>120016.12981047742</v>
      </c>
      <c r="I26" s="97">
        <f t="shared" si="12"/>
        <v>124755.94544312931</v>
      </c>
      <c r="K26" s="132"/>
    </row>
    <row r="27" spans="1:11" x14ac:dyDescent="0.25">
      <c r="A27" s="73"/>
      <c r="B27" s="98"/>
      <c r="C27" s="99">
        <f>C26/B26-1</f>
        <v>0.13300413633885921</v>
      </c>
      <c r="D27" s="99">
        <f t="shared" ref="D27:G27" si="13">D26/C26-1</f>
        <v>2.9385406348757082E-2</v>
      </c>
      <c r="E27" s="99">
        <f>E26/D26-1</f>
        <v>-1.692890034233363E-2</v>
      </c>
      <c r="F27" s="99">
        <f t="shared" si="13"/>
        <v>1.7190486014327711E-2</v>
      </c>
      <c r="G27" s="99">
        <f t="shared" si="13"/>
        <v>4.8630236323504938E-2</v>
      </c>
      <c r="H27" s="99">
        <f>H26/G26-1</f>
        <v>4.8879666070447803E-2</v>
      </c>
      <c r="I27" s="133">
        <f>I26/H26-1</f>
        <v>3.9493155129537438E-2</v>
      </c>
    </row>
    <row r="28" spans="1:11" s="102" customFormat="1" ht="15" x14ac:dyDescent="0.25">
      <c r="A28" s="100"/>
      <c r="B28" s="101"/>
      <c r="C28" s="101"/>
      <c r="E28" s="103"/>
      <c r="F28" s="103"/>
      <c r="G28" s="103"/>
      <c r="H28" s="103"/>
      <c r="I28" s="103"/>
    </row>
    <row r="29" spans="1:11" s="102" customFormat="1" ht="15" x14ac:dyDescent="0.25">
      <c r="A29" s="57" t="s">
        <v>78</v>
      </c>
      <c r="B29" s="104">
        <f>Reform_IS!I21</f>
        <v>5107.5889999999999</v>
      </c>
      <c r="C29" s="104">
        <f>Reform_IS!H21</f>
        <v>7262.1710000000003</v>
      </c>
      <c r="D29" s="105">
        <f>Reform_IS!G21</f>
        <v>3143.2799999999997</v>
      </c>
      <c r="E29" s="86"/>
      <c r="F29" s="86"/>
      <c r="G29" s="86"/>
      <c r="H29" s="86"/>
      <c r="I29" s="86"/>
    </row>
    <row r="30" spans="1:11" s="102" customFormat="1" x14ac:dyDescent="0.25">
      <c r="A30" s="106" t="s">
        <v>110</v>
      </c>
      <c r="B30" s="89"/>
      <c r="C30" s="89">
        <v>-269</v>
      </c>
      <c r="D30" s="89"/>
      <c r="E30" s="86"/>
      <c r="F30" s="86"/>
      <c r="G30" s="86"/>
      <c r="H30" s="86"/>
      <c r="I30" s="86"/>
    </row>
    <row r="31" spans="1:11" s="102" customFormat="1" x14ac:dyDescent="0.25">
      <c r="A31" s="106" t="s">
        <v>85</v>
      </c>
      <c r="B31" s="107">
        <v>20</v>
      </c>
      <c r="C31" s="107">
        <v>7</v>
      </c>
      <c r="D31" s="107">
        <v>15</v>
      </c>
      <c r="E31" s="86"/>
      <c r="F31" s="86"/>
      <c r="G31" s="86"/>
      <c r="H31" s="86"/>
      <c r="I31" s="86"/>
    </row>
    <row r="32" spans="1:11" s="102" customFormat="1" x14ac:dyDescent="0.25">
      <c r="A32" s="106" t="s">
        <v>86</v>
      </c>
      <c r="B32" s="129">
        <v>-21</v>
      </c>
      <c r="C32" s="129"/>
      <c r="D32" s="129"/>
      <c r="E32" s="86"/>
      <c r="F32" s="86"/>
      <c r="G32" s="86"/>
      <c r="H32" s="86"/>
      <c r="I32" s="86"/>
    </row>
    <row r="33" spans="1:9" x14ac:dyDescent="0.25">
      <c r="A33" s="54" t="s">
        <v>79</v>
      </c>
      <c r="B33" s="108">
        <f>SUM(B30:B32)</f>
        <v>-1</v>
      </c>
      <c r="C33" s="108">
        <f>SUM(C30:C32)</f>
        <v>-262</v>
      </c>
      <c r="D33" s="108">
        <f>SUM(D30:D32)</f>
        <v>15</v>
      </c>
      <c r="E33" s="89"/>
      <c r="F33" s="89"/>
      <c r="G33" s="89"/>
      <c r="H33" s="89"/>
      <c r="I33" s="89"/>
    </row>
    <row r="34" spans="1:9" s="57" customFormat="1" ht="15" x14ac:dyDescent="0.25">
      <c r="A34" s="57" t="s">
        <v>80</v>
      </c>
      <c r="B34" s="97">
        <f>B29+B33</f>
        <v>5106.5889999999999</v>
      </c>
      <c r="C34" s="97">
        <f>C29+C33</f>
        <v>7000.1710000000003</v>
      </c>
      <c r="D34" s="97">
        <f>D29+D33</f>
        <v>3158.2799999999997</v>
      </c>
      <c r="E34" s="109">
        <f>E36*E26</f>
        <v>4827.2723277590048</v>
      </c>
      <c r="F34" s="109">
        <f>F36*F26</f>
        <v>4910.255485196697</v>
      </c>
      <c r="G34" s="109">
        <f>G36*G26</f>
        <v>5149.0423698505992</v>
      </c>
      <c r="H34" s="109">
        <f>H36*H26</f>
        <v>5400.7258414714834</v>
      </c>
      <c r="I34" s="109">
        <f>I36*I26</f>
        <v>5614.0175449408189</v>
      </c>
    </row>
    <row r="35" spans="1:9" s="112" customFormat="1" ht="15" x14ac:dyDescent="0.25">
      <c r="A35" s="110" t="s">
        <v>67</v>
      </c>
      <c r="B35" s="111"/>
      <c r="C35" s="111">
        <f>C34/B34-1</f>
        <v>0.37081151430044601</v>
      </c>
      <c r="D35" s="111">
        <f>D34/C34-1</f>
        <v>-0.54882816434055681</v>
      </c>
      <c r="E35" s="111">
        <f t="shared" ref="E35:I35" si="14">E34/D34-1</f>
        <v>0.5284497662522023</v>
      </c>
      <c r="F35" s="111">
        <f t="shared" si="14"/>
        <v>1.7190486014327711E-2</v>
      </c>
      <c r="G35" s="111">
        <f t="shared" si="14"/>
        <v>4.8630236323504938E-2</v>
      </c>
      <c r="H35" s="111">
        <f t="shared" si="14"/>
        <v>4.8879666070447803E-2</v>
      </c>
      <c r="I35" s="111">
        <f t="shared" si="14"/>
        <v>3.949315512953766E-2</v>
      </c>
    </row>
    <row r="36" spans="1:9" s="112" customFormat="1" ht="15" x14ac:dyDescent="0.25">
      <c r="A36" s="110" t="s">
        <v>82</v>
      </c>
      <c r="B36" s="111">
        <f>B34/B26</f>
        <v>5.4580316584901825E-2</v>
      </c>
      <c r="C36" s="111">
        <f>C34/C26</f>
        <v>6.6036234139899064E-2</v>
      </c>
      <c r="D36" s="111">
        <f>D34/D26</f>
        <v>2.8943181818181816E-2</v>
      </c>
      <c r="E36" s="113">
        <v>4.4999999999999998E-2</v>
      </c>
      <c r="F36" s="113">
        <f>E36</f>
        <v>4.4999999999999998E-2</v>
      </c>
      <c r="G36" s="113">
        <f>F36</f>
        <v>4.4999999999999998E-2</v>
      </c>
      <c r="H36" s="113">
        <f>G36</f>
        <v>4.4999999999999998E-2</v>
      </c>
      <c r="I36" s="113">
        <f>H36</f>
        <v>4.4999999999999998E-2</v>
      </c>
    </row>
    <row r="37" spans="1:9" x14ac:dyDescent="0.25">
      <c r="E37" s="114"/>
    </row>
    <row r="38" spans="1:9" x14ac:dyDescent="0.25">
      <c r="A38" s="72"/>
      <c r="B38" s="72"/>
      <c r="C38" s="72"/>
      <c r="D38" s="72"/>
      <c r="E38" s="72"/>
      <c r="F38" s="72"/>
      <c r="G38" s="72"/>
      <c r="H38" s="72"/>
      <c r="I38" s="72"/>
    </row>
    <row r="39" spans="1:9" x14ac:dyDescent="0.25">
      <c r="A39" s="176" t="s">
        <v>69</v>
      </c>
      <c r="B39" s="176"/>
      <c r="C39" s="176"/>
      <c r="D39" s="176"/>
      <c r="E39" s="176"/>
      <c r="F39" s="176"/>
      <c r="G39" s="176"/>
      <c r="H39" s="176"/>
      <c r="I39" s="176"/>
    </row>
    <row r="40" spans="1:9" x14ac:dyDescent="0.25">
      <c r="A40" s="35"/>
      <c r="B40" s="115"/>
      <c r="C40" s="115"/>
      <c r="D40" s="115"/>
      <c r="E40" s="115"/>
      <c r="F40" s="115"/>
      <c r="G40" s="115"/>
      <c r="H40" s="115"/>
      <c r="I40" s="115"/>
    </row>
    <row r="41" spans="1:9" x14ac:dyDescent="0.25">
      <c r="A41" s="26"/>
      <c r="B41" s="75" t="str">
        <f t="shared" ref="B41:I41" si="15">B4</f>
        <v>2020A</v>
      </c>
      <c r="C41" s="75" t="str">
        <f t="shared" si="15"/>
        <v>2021A</v>
      </c>
      <c r="D41" s="75" t="str">
        <f t="shared" si="15"/>
        <v>2022A</v>
      </c>
      <c r="E41" s="76" t="str">
        <f t="shared" si="15"/>
        <v>2023E</v>
      </c>
      <c r="F41" s="76" t="str">
        <f t="shared" si="15"/>
        <v>2024E</v>
      </c>
      <c r="G41" s="76" t="str">
        <f t="shared" si="15"/>
        <v>2025E</v>
      </c>
      <c r="H41" s="76" t="str">
        <f t="shared" si="15"/>
        <v>2026E</v>
      </c>
      <c r="I41" s="76" t="str">
        <f t="shared" si="15"/>
        <v>TERMINAL</v>
      </c>
    </row>
    <row r="42" spans="1:9" x14ac:dyDescent="0.3">
      <c r="A42" s="45" t="s">
        <v>39</v>
      </c>
      <c r="B42" s="116">
        <f>Reform_BS!J39</f>
        <v>18609</v>
      </c>
      <c r="C42" s="116">
        <f>Reform_BS!I39</f>
        <v>20636</v>
      </c>
      <c r="D42" s="116">
        <f>Reform_BS!H39</f>
        <v>25142</v>
      </c>
      <c r="E42" s="117">
        <f>E26/E43</f>
        <v>22187.051914387412</v>
      </c>
      <c r="F42" s="117">
        <f>F26/F43</f>
        <v>22568.458120020849</v>
      </c>
      <c r="G42" s="117">
        <f>G26/G43</f>
        <v>23665.967571854588</v>
      </c>
      <c r="H42" s="117">
        <f>H26/H43</f>
        <v>24822.752164000885</v>
      </c>
      <c r="I42" s="117">
        <f>I26/I43</f>
        <v>25803.080965955836</v>
      </c>
    </row>
    <row r="43" spans="1:9" x14ac:dyDescent="0.25">
      <c r="A43" s="110" t="s">
        <v>62</v>
      </c>
      <c r="B43" s="118">
        <f>B26/B42</f>
        <v>5.0277285184588099</v>
      </c>
      <c r="C43" s="118">
        <f>C26/C42</f>
        <v>5.1368966854041478</v>
      </c>
      <c r="D43" s="118">
        <f>D26/D42</f>
        <v>4.3401479595895314</v>
      </c>
      <c r="E43" s="119">
        <f>AVERAGE(B43:D43)</f>
        <v>4.8349243878174963</v>
      </c>
      <c r="F43" s="119">
        <f>E43</f>
        <v>4.8349243878174963</v>
      </c>
      <c r="G43" s="119">
        <f t="shared" ref="G43:I43" si="16">AVERAGE(E43:F43)</f>
        <v>4.8349243878174963</v>
      </c>
      <c r="H43" s="119">
        <f t="shared" si="16"/>
        <v>4.8349243878174963</v>
      </c>
      <c r="I43" s="119">
        <f t="shared" si="16"/>
        <v>4.8349243878174963</v>
      </c>
    </row>
    <row r="44" spans="1:9" x14ac:dyDescent="0.3">
      <c r="A44" s="74" t="s">
        <v>84</v>
      </c>
      <c r="B44" s="120"/>
      <c r="C44" s="121">
        <f>C42/B42-1</f>
        <v>0.10892578859691548</v>
      </c>
      <c r="D44" s="121">
        <f t="shared" ref="D44:I44" si="17">D42/C42-1</f>
        <v>0.21835627059507656</v>
      </c>
      <c r="E44" s="121">
        <f t="shared" si="17"/>
        <v>-0.11753035103064946</v>
      </c>
      <c r="F44" s="121">
        <f t="shared" si="17"/>
        <v>1.7190486014327488E-2</v>
      </c>
      <c r="G44" s="121">
        <f t="shared" si="17"/>
        <v>4.8630236323504938E-2</v>
      </c>
      <c r="H44" s="121">
        <f t="shared" si="17"/>
        <v>4.8879666070447803E-2</v>
      </c>
      <c r="I44" s="122">
        <f t="shared" si="17"/>
        <v>3.949315512953766E-2</v>
      </c>
    </row>
    <row r="45" spans="1:9" x14ac:dyDescent="0.3">
      <c r="A45" s="74"/>
      <c r="B45" s="120"/>
      <c r="C45" s="121"/>
      <c r="D45" s="121"/>
      <c r="E45" s="121"/>
      <c r="F45" s="121"/>
      <c r="G45" s="121"/>
      <c r="H45" s="121"/>
      <c r="I45" s="121"/>
    </row>
    <row r="46" spans="1:9" s="125" customFormat="1" x14ac:dyDescent="0.25">
      <c r="A46" s="123" t="s">
        <v>83</v>
      </c>
      <c r="B46" s="124">
        <f>B34/B42</f>
        <v>0.27441501424042131</v>
      </c>
      <c r="C46" s="124">
        <f>C34/C42</f>
        <v>0.33922131226981972</v>
      </c>
      <c r="D46" s="124">
        <f>D34/D42</f>
        <v>0.12561769151221064</v>
      </c>
      <c r="E46" s="124">
        <f>E34/E42</f>
        <v>0.21757159745178731</v>
      </c>
      <c r="F46" s="124">
        <f t="shared" ref="F46:I46" si="18">F34/F42</f>
        <v>0.21757159745178734</v>
      </c>
      <c r="G46" s="124">
        <f t="shared" si="18"/>
        <v>0.21757159745178734</v>
      </c>
      <c r="H46" s="124">
        <f t="shared" si="18"/>
        <v>0.21757159745178734</v>
      </c>
      <c r="I46" s="124">
        <f t="shared" si="18"/>
        <v>0.21757159745178734</v>
      </c>
    </row>
    <row r="47" spans="1:9" x14ac:dyDescent="0.25">
      <c r="A47" s="126" t="s">
        <v>81</v>
      </c>
      <c r="B47" s="82">
        <f t="shared" ref="B47" si="19">B43*B36</f>
        <v>0.27441501424042125</v>
      </c>
      <c r="C47" s="82">
        <f t="shared" ref="C47:I47" si="20">C43*C36</f>
        <v>0.33922131226981972</v>
      </c>
      <c r="D47" s="127">
        <f t="shared" si="20"/>
        <v>0.12561769151221064</v>
      </c>
      <c r="E47" s="127">
        <f>E43*E36</f>
        <v>0.21757159745178734</v>
      </c>
      <c r="F47" s="127">
        <f t="shared" si="20"/>
        <v>0.21757159745178734</v>
      </c>
      <c r="G47" s="127">
        <f t="shared" si="20"/>
        <v>0.21757159745178734</v>
      </c>
      <c r="H47" s="127">
        <f t="shared" si="20"/>
        <v>0.21757159745178734</v>
      </c>
      <c r="I47" s="127">
        <f t="shared" si="20"/>
        <v>0.21757159745178734</v>
      </c>
    </row>
    <row r="48" spans="1:9" x14ac:dyDescent="0.25">
      <c r="E48" s="128"/>
    </row>
  </sheetData>
  <mergeCells count="2">
    <mergeCell ref="A39:I39"/>
    <mergeCell ref="A2:I2"/>
  </mergeCells>
  <phoneticPr fontId="23" type="noConversion"/>
  <pageMargins left="0.75" right="0.75" top="1" bottom="1" header="0.5" footer="0.5"/>
  <pageSetup scale="72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76C7CB-184E-4987-88D4-A25E41CF63E8}">
  <dimension ref="B2:J56"/>
  <sheetViews>
    <sheetView tabSelected="1" topLeftCell="A23" zoomScale="81" zoomScaleNormal="87" workbookViewId="0">
      <selection activeCell="C18" sqref="C18"/>
    </sheetView>
  </sheetViews>
  <sheetFormatPr defaultColWidth="8.85546875" defaultRowHeight="15" x14ac:dyDescent="0.25"/>
  <cols>
    <col min="2" max="2" width="23.42578125" customWidth="1"/>
    <col min="3" max="3" width="14.28515625" customWidth="1"/>
    <col min="4" max="4" width="13.7109375" bestFit="1" customWidth="1"/>
    <col min="5" max="5" width="18.85546875" customWidth="1"/>
    <col min="6" max="6" width="17.7109375" customWidth="1"/>
    <col min="7" max="7" width="16" customWidth="1"/>
    <col min="8" max="8" width="18.28515625" customWidth="1"/>
    <col min="9" max="9" width="15.7109375" customWidth="1"/>
    <col min="10" max="10" width="11.7109375" customWidth="1"/>
  </cols>
  <sheetData>
    <row r="2" spans="2:10" x14ac:dyDescent="0.25">
      <c r="B2" t="s">
        <v>147</v>
      </c>
    </row>
    <row r="4" spans="2:10" x14ac:dyDescent="0.25">
      <c r="B4" s="180" t="s">
        <v>120</v>
      </c>
      <c r="C4" s="181"/>
      <c r="G4" s="140" t="s">
        <v>125</v>
      </c>
      <c r="H4" s="141" t="s">
        <v>146</v>
      </c>
      <c r="I4" s="141" t="s">
        <v>145</v>
      </c>
      <c r="J4" s="142" t="s">
        <v>144</v>
      </c>
    </row>
    <row r="5" spans="2:10" x14ac:dyDescent="0.25">
      <c r="B5" s="143" t="s">
        <v>143</v>
      </c>
      <c r="C5" s="144">
        <v>1.1499999999999999</v>
      </c>
      <c r="G5" s="143" t="s">
        <v>142</v>
      </c>
      <c r="H5" s="153">
        <v>4582</v>
      </c>
      <c r="I5" s="154">
        <v>2.5999999999999999E-2</v>
      </c>
      <c r="J5" s="145">
        <f>(H5*I5)/(SUM($H$5:$H$10))</f>
        <v>8.4245810055865924E-3</v>
      </c>
    </row>
    <row r="6" spans="2:10" x14ac:dyDescent="0.25">
      <c r="B6" s="143" t="s">
        <v>141</v>
      </c>
      <c r="C6" s="145">
        <v>3.5200000000000002E-2</v>
      </c>
      <c r="G6" s="143" t="s">
        <v>140</v>
      </c>
      <c r="H6" s="153">
        <v>4297</v>
      </c>
      <c r="I6" s="154">
        <v>4.5999999999999999E-2</v>
      </c>
      <c r="J6" s="145">
        <f t="shared" ref="J6:J10" si="0">(H6*I6)/(SUM($H$5:$H$10))</f>
        <v>1.3977936496711691E-2</v>
      </c>
    </row>
    <row r="7" spans="2:10" x14ac:dyDescent="0.25">
      <c r="B7" s="143" t="s">
        <v>139</v>
      </c>
      <c r="C7" s="146">
        <v>0.1</v>
      </c>
      <c r="G7" s="143" t="s">
        <v>138</v>
      </c>
      <c r="H7" s="153">
        <v>937</v>
      </c>
      <c r="I7" s="154">
        <v>6.8000000000000005E-2</v>
      </c>
      <c r="J7" s="145">
        <f t="shared" si="0"/>
        <v>4.5057633830705044E-3</v>
      </c>
    </row>
    <row r="8" spans="2:10" x14ac:dyDescent="0.25">
      <c r="B8" s="147" t="s">
        <v>137</v>
      </c>
      <c r="C8" s="148">
        <f>C6+(C5*(C7-C6))</f>
        <v>0.10971999999999998</v>
      </c>
      <c r="G8" s="143" t="s">
        <v>136</v>
      </c>
      <c r="H8" s="153">
        <v>1087</v>
      </c>
      <c r="I8" s="155">
        <v>0.04</v>
      </c>
      <c r="J8" s="145">
        <f t="shared" si="0"/>
        <v>3.0747471890248219E-3</v>
      </c>
    </row>
    <row r="9" spans="2:10" x14ac:dyDescent="0.25">
      <c r="B9" s="143"/>
      <c r="C9" s="144"/>
      <c r="G9" s="143" t="s">
        <v>135</v>
      </c>
      <c r="H9" s="153">
        <v>1119</v>
      </c>
      <c r="I9" s="154">
        <v>3.7999999999999999E-2</v>
      </c>
      <c r="J9" s="145">
        <f t="shared" si="0"/>
        <v>3.007000919312637E-3</v>
      </c>
    </row>
    <row r="10" spans="2:10" x14ac:dyDescent="0.25">
      <c r="B10" s="143" t="s">
        <v>134</v>
      </c>
      <c r="C10" s="145">
        <f>J11</f>
        <v>3.883409942719751E-2</v>
      </c>
      <c r="G10" s="149" t="s">
        <v>133</v>
      </c>
      <c r="H10" s="136">
        <v>2119</v>
      </c>
      <c r="I10" s="137">
        <v>3.9E-2</v>
      </c>
      <c r="J10" s="152">
        <f t="shared" si="0"/>
        <v>5.844070433491267E-3</v>
      </c>
    </row>
    <row r="11" spans="2:10" x14ac:dyDescent="0.25">
      <c r="B11" s="149" t="s">
        <v>132</v>
      </c>
      <c r="C11" s="150">
        <v>0.24</v>
      </c>
      <c r="E11" s="134"/>
      <c r="G11" s="149"/>
      <c r="H11" s="136">
        <f>SUM(H5:H10)</f>
        <v>14141</v>
      </c>
      <c r="I11" s="136"/>
      <c r="J11" s="152">
        <f>SUM(J5:J10)</f>
        <v>3.883409942719751E-2</v>
      </c>
    </row>
    <row r="12" spans="2:10" x14ac:dyDescent="0.25">
      <c r="B12" s="143" t="s">
        <v>131</v>
      </c>
      <c r="C12" s="145">
        <f>C10*(1-C11)</f>
        <v>2.9513915564670107E-2</v>
      </c>
      <c r="E12" s="174"/>
    </row>
    <row r="13" spans="2:10" x14ac:dyDescent="0.25">
      <c r="B13" s="143"/>
      <c r="C13" s="144"/>
    </row>
    <row r="14" spans="2:10" x14ac:dyDescent="0.25">
      <c r="B14" s="143" t="s">
        <v>130</v>
      </c>
      <c r="C14" s="144">
        <v>16139</v>
      </c>
    </row>
    <row r="15" spans="2:10" x14ac:dyDescent="0.25">
      <c r="B15" s="143" t="s">
        <v>129</v>
      </c>
      <c r="C15" s="151">
        <f>168.51*460346947/1000000</f>
        <v>77573.064038969998</v>
      </c>
    </row>
    <row r="16" spans="2:10" x14ac:dyDescent="0.25">
      <c r="B16" s="143" t="s">
        <v>128</v>
      </c>
      <c r="C16" s="151">
        <f>C15+C14</f>
        <v>93712.064038969998</v>
      </c>
    </row>
    <row r="17" spans="2:8" x14ac:dyDescent="0.25">
      <c r="B17" s="143"/>
      <c r="C17" s="144"/>
    </row>
    <row r="18" spans="2:8" x14ac:dyDescent="0.25">
      <c r="B18" s="143" t="s">
        <v>127</v>
      </c>
      <c r="C18" s="145">
        <f>C14/C16</f>
        <v>0.17221902180373089</v>
      </c>
    </row>
    <row r="19" spans="2:8" x14ac:dyDescent="0.25">
      <c r="B19" s="149" t="s">
        <v>126</v>
      </c>
      <c r="C19" s="152">
        <f>C15/C16</f>
        <v>0.82778097819626906</v>
      </c>
    </row>
    <row r="20" spans="2:8" x14ac:dyDescent="0.25">
      <c r="B20" s="149" t="s">
        <v>120</v>
      </c>
      <c r="C20" s="152">
        <f>(C12*C18)+(C8*C19)</f>
        <v>9.590698659584003E-2</v>
      </c>
    </row>
    <row r="25" spans="2:8" x14ac:dyDescent="0.25">
      <c r="B25" s="157" t="s">
        <v>125</v>
      </c>
      <c r="C25" s="158" t="s">
        <v>117</v>
      </c>
      <c r="D25" s="158" t="s">
        <v>103</v>
      </c>
      <c r="E25" s="158" t="s">
        <v>106</v>
      </c>
      <c r="F25" s="158" t="s">
        <v>109</v>
      </c>
      <c r="G25" s="158" t="s">
        <v>118</v>
      </c>
      <c r="H25" s="159" t="s">
        <v>124</v>
      </c>
    </row>
    <row r="26" spans="2:8" x14ac:dyDescent="0.25">
      <c r="B26" s="143" t="s">
        <v>55</v>
      </c>
      <c r="C26" s="160">
        <f>Forecast!D34</f>
        <v>3158.2799999999997</v>
      </c>
      <c r="D26" s="160">
        <f>Forecast!E34</f>
        <v>4827.2723277590048</v>
      </c>
      <c r="E26" s="160">
        <f>Forecast!F34</f>
        <v>4910.255485196697</v>
      </c>
      <c r="F26" s="160">
        <f>Forecast!G34</f>
        <v>5149.0423698505992</v>
      </c>
      <c r="G26" s="160">
        <f>Forecast!H34</f>
        <v>5400.7258414714834</v>
      </c>
      <c r="H26" s="151">
        <f>Forecast!I34</f>
        <v>5614.0175449408189</v>
      </c>
    </row>
    <row r="27" spans="2:8" x14ac:dyDescent="0.25">
      <c r="B27" s="143" t="s">
        <v>123</v>
      </c>
      <c r="C27" s="161">
        <f>Forecast!D42</f>
        <v>25142</v>
      </c>
      <c r="D27" s="161">
        <f>Forecast!E42</f>
        <v>22187.051914387412</v>
      </c>
      <c r="E27" s="161">
        <f>Forecast!F42</f>
        <v>22568.458120020849</v>
      </c>
      <c r="F27" s="161">
        <f>Forecast!G42</f>
        <v>23665.967571854588</v>
      </c>
      <c r="G27" s="161">
        <f>Forecast!H42</f>
        <v>24822.752164000885</v>
      </c>
      <c r="H27" s="162">
        <f>Forecast!I42</f>
        <v>25803.080965955836</v>
      </c>
    </row>
    <row r="28" spans="2:8" x14ac:dyDescent="0.25">
      <c r="B28" s="143" t="s">
        <v>122</v>
      </c>
      <c r="C28" s="153"/>
      <c r="D28" s="160">
        <f>D27-C27</f>
        <v>-2954.9480856125883</v>
      </c>
      <c r="E28" s="160">
        <f>E27-D27</f>
        <v>381.40620563343691</v>
      </c>
      <c r="F28" s="160">
        <f>F27-E27</f>
        <v>1097.5094518337391</v>
      </c>
      <c r="G28" s="160">
        <f>G27-F27</f>
        <v>1156.7845921462977</v>
      </c>
      <c r="H28" s="151">
        <f>H27-G27</f>
        <v>980.3288019549509</v>
      </c>
    </row>
    <row r="29" spans="2:8" x14ac:dyDescent="0.25">
      <c r="B29" s="143" t="s">
        <v>121</v>
      </c>
      <c r="C29" s="153"/>
      <c r="D29" s="160">
        <f>D26-D28</f>
        <v>7782.2204133715932</v>
      </c>
      <c r="E29" s="160">
        <f>E26-E28</f>
        <v>4528.8492795632601</v>
      </c>
      <c r="F29" s="160">
        <f>F26-F28</f>
        <v>4051.5329180168601</v>
      </c>
      <c r="G29" s="160">
        <f>G26-G28</f>
        <v>4243.9412493251857</v>
      </c>
      <c r="H29" s="151">
        <f>H26-H28</f>
        <v>4633.688742985868</v>
      </c>
    </row>
    <row r="30" spans="2:8" x14ac:dyDescent="0.25">
      <c r="B30" s="163" t="s">
        <v>120</v>
      </c>
      <c r="C30" s="138"/>
      <c r="D30" s="156">
        <f>$C$20</f>
        <v>9.590698659584003E-2</v>
      </c>
      <c r="E30" s="156">
        <f>$C$20</f>
        <v>9.590698659584003E-2</v>
      </c>
      <c r="F30" s="156">
        <f>$C$20</f>
        <v>9.590698659584003E-2</v>
      </c>
      <c r="G30" s="156">
        <f>$C$20</f>
        <v>9.590698659584003E-2</v>
      </c>
      <c r="H30" s="164">
        <f>$C$20</f>
        <v>9.590698659584003E-2</v>
      </c>
    </row>
    <row r="31" spans="2:8" x14ac:dyDescent="0.25">
      <c r="B31" s="149" t="s">
        <v>119</v>
      </c>
      <c r="C31" s="136"/>
      <c r="D31" s="165">
        <f>D29/(1+D30)</f>
        <v>7101.1687201165751</v>
      </c>
      <c r="E31" s="165">
        <f>E29/(1+E30)^2</f>
        <v>3770.8605865144395</v>
      </c>
      <c r="F31" s="165">
        <f>F29/(1+F30)^3</f>
        <v>3078.2102848333639</v>
      </c>
      <c r="G31" s="165">
        <f>G29/(1+G30)^4</f>
        <v>2942.2161876497748</v>
      </c>
      <c r="H31" s="166">
        <f>(H29/(H30-Forecast!I27))/(1+H30)^4</f>
        <v>56943.804337271729</v>
      </c>
    </row>
    <row r="34" spans="2:10" x14ac:dyDescent="0.25">
      <c r="B34" s="140" t="s">
        <v>148</v>
      </c>
      <c r="C34" s="172">
        <f>SUM(D31:H31)</f>
        <v>73836.260116385878</v>
      </c>
    </row>
    <row r="35" spans="2:10" x14ac:dyDescent="0.25">
      <c r="B35" s="143" t="s">
        <v>149</v>
      </c>
      <c r="C35" s="169">
        <f>Reform_BS!L33</f>
        <v>13910</v>
      </c>
    </row>
    <row r="36" spans="2:10" x14ac:dyDescent="0.25">
      <c r="B36" s="143" t="s">
        <v>150</v>
      </c>
      <c r="C36" s="173">
        <f>C34-C35</f>
        <v>59926.260116385878</v>
      </c>
    </row>
    <row r="37" spans="2:10" x14ac:dyDescent="0.25">
      <c r="B37" s="143" t="s">
        <v>151</v>
      </c>
      <c r="C37" s="162">
        <v>460346947</v>
      </c>
    </row>
    <row r="38" spans="2:10" x14ac:dyDescent="0.25">
      <c r="B38" s="143" t="s">
        <v>152</v>
      </c>
      <c r="C38" s="151">
        <f>C36/C37*1000000</f>
        <v>130.17629530708254</v>
      </c>
    </row>
    <row r="39" spans="2:10" x14ac:dyDescent="0.25">
      <c r="B39" s="143" t="s">
        <v>153</v>
      </c>
      <c r="C39" s="144">
        <v>168.51</v>
      </c>
    </row>
    <row r="40" spans="2:10" x14ac:dyDescent="0.25">
      <c r="B40" s="149" t="s">
        <v>156</v>
      </c>
      <c r="C40" s="152">
        <f>(C38-C39)/C39</f>
        <v>-0.22748623044874164</v>
      </c>
    </row>
    <row r="42" spans="2:10" x14ac:dyDescent="0.25">
      <c r="B42" s="167" t="s">
        <v>125</v>
      </c>
      <c r="C42" s="158" t="s">
        <v>117</v>
      </c>
      <c r="D42" s="158" t="s">
        <v>103</v>
      </c>
      <c r="E42" s="158" t="s">
        <v>106</v>
      </c>
      <c r="F42" s="158" t="s">
        <v>109</v>
      </c>
      <c r="G42" s="158" t="s">
        <v>118</v>
      </c>
      <c r="H42" s="159" t="s">
        <v>124</v>
      </c>
    </row>
    <row r="43" spans="2:10" x14ac:dyDescent="0.25">
      <c r="B43" s="143" t="s">
        <v>55</v>
      </c>
      <c r="C43" s="160">
        <f>Forecast!D34</f>
        <v>3158.2799999999997</v>
      </c>
      <c r="D43" s="160">
        <f>Forecast!E34</f>
        <v>4827.2723277590048</v>
      </c>
      <c r="E43" s="160">
        <f>Forecast!F34</f>
        <v>4910.255485196697</v>
      </c>
      <c r="F43" s="160">
        <f>Forecast!G34</f>
        <v>5149.0423698505992</v>
      </c>
      <c r="G43" s="160">
        <f>Forecast!H34</f>
        <v>5400.7258414714834</v>
      </c>
      <c r="H43" s="151">
        <f>Forecast!I34</f>
        <v>5614.0175449408189</v>
      </c>
    </row>
    <row r="44" spans="2:10" x14ac:dyDescent="0.25">
      <c r="B44" s="143" t="s">
        <v>123</v>
      </c>
      <c r="C44" s="161">
        <f>Forecast!D42</f>
        <v>25142</v>
      </c>
      <c r="D44" s="161">
        <f>Forecast!E42</f>
        <v>22187.051914387412</v>
      </c>
      <c r="E44" s="161">
        <f>Forecast!F42</f>
        <v>22568.458120020849</v>
      </c>
      <c r="F44" s="161">
        <f>Forecast!G42</f>
        <v>23665.967571854588</v>
      </c>
      <c r="G44" s="161">
        <f>Forecast!H42</f>
        <v>24822.752164000885</v>
      </c>
      <c r="H44" s="162">
        <f>Forecast!I42</f>
        <v>25803.080965955836</v>
      </c>
    </row>
    <row r="45" spans="2:10" x14ac:dyDescent="0.25">
      <c r="B45" s="143" t="s">
        <v>154</v>
      </c>
      <c r="C45" s="153"/>
      <c r="D45" s="160">
        <f>D43-($C$20*C44)</f>
        <v>2415.9788707663947</v>
      </c>
      <c r="E45" s="160">
        <f>E43-($C$20*D44)</f>
        <v>2782.3621946423368</v>
      </c>
      <c r="F45" s="160">
        <f>F43-($C$20*E44)</f>
        <v>2984.5695594449826</v>
      </c>
      <c r="G45" s="160">
        <f>G43-($C$20*F44)</f>
        <v>3130.9942067800407</v>
      </c>
      <c r="H45" s="151">
        <f>H43-($C$20*G44)</f>
        <v>3233.3421858761267</v>
      </c>
      <c r="J45" s="135"/>
    </row>
    <row r="46" spans="2:10" x14ac:dyDescent="0.25">
      <c r="B46" s="163" t="s">
        <v>120</v>
      </c>
      <c r="C46" s="138"/>
      <c r="D46" s="156">
        <f>$C$20</f>
        <v>9.590698659584003E-2</v>
      </c>
      <c r="E46" s="156">
        <f t="shared" ref="E46:H46" si="1">$C$20</f>
        <v>9.590698659584003E-2</v>
      </c>
      <c r="F46" s="156">
        <f t="shared" si="1"/>
        <v>9.590698659584003E-2</v>
      </c>
      <c r="G46" s="156">
        <f t="shared" si="1"/>
        <v>9.590698659584003E-2</v>
      </c>
      <c r="H46" s="164">
        <f t="shared" si="1"/>
        <v>9.590698659584003E-2</v>
      </c>
      <c r="J46" s="139"/>
    </row>
    <row r="47" spans="2:10" x14ac:dyDescent="0.25">
      <c r="B47" s="149" t="s">
        <v>155</v>
      </c>
      <c r="C47" s="136"/>
      <c r="D47" s="165">
        <f>D45/(1+D46)</f>
        <v>2204.5473752029147</v>
      </c>
      <c r="E47" s="165">
        <f>E45/(1+E46)^2</f>
        <v>2316.6811897516695</v>
      </c>
      <c r="F47" s="165">
        <f>F45/(1+F46)^3</f>
        <v>2267.5695593708847</v>
      </c>
      <c r="G47" s="165">
        <f>G45/(1+G46)^4</f>
        <v>2170.6383989388828</v>
      </c>
      <c r="H47" s="166">
        <f>(H45/(H46-Forecast!I27))/(1+H46)^4</f>
        <v>39734.82359312156</v>
      </c>
    </row>
    <row r="48" spans="2:10" x14ac:dyDescent="0.25">
      <c r="J48" s="134"/>
    </row>
    <row r="50" spans="2:3" x14ac:dyDescent="0.25">
      <c r="B50" s="140" t="s">
        <v>148</v>
      </c>
      <c r="C50" s="168">
        <f>SUM(D47:H47)+C44</f>
        <v>73836.260116385907</v>
      </c>
    </row>
    <row r="51" spans="2:3" x14ac:dyDescent="0.25">
      <c r="B51" s="143" t="s">
        <v>149</v>
      </c>
      <c r="C51" s="169">
        <f>Reform_BS!L33</f>
        <v>13910</v>
      </c>
    </row>
    <row r="52" spans="2:3" x14ac:dyDescent="0.25">
      <c r="B52" s="143" t="s">
        <v>150</v>
      </c>
      <c r="C52" s="170">
        <f>C50-C51</f>
        <v>59926.260116385907</v>
      </c>
    </row>
    <row r="53" spans="2:3" x14ac:dyDescent="0.25">
      <c r="B53" s="143" t="s">
        <v>151</v>
      </c>
      <c r="C53" s="162">
        <v>460346947</v>
      </c>
    </row>
    <row r="54" spans="2:3" x14ac:dyDescent="0.25">
      <c r="B54" s="143" t="s">
        <v>152</v>
      </c>
      <c r="C54" s="170">
        <f>C52/C53*1000000</f>
        <v>130.1762953070826</v>
      </c>
    </row>
    <row r="55" spans="2:3" x14ac:dyDescent="0.25">
      <c r="B55" s="143" t="s">
        <v>153</v>
      </c>
      <c r="C55" s="144">
        <v>168.51</v>
      </c>
    </row>
    <row r="56" spans="2:3" x14ac:dyDescent="0.25">
      <c r="B56" s="149" t="s">
        <v>156</v>
      </c>
      <c r="C56" s="171">
        <f>(C54-C55)/C55</f>
        <v>-0.22748623044874131</v>
      </c>
    </row>
  </sheetData>
  <mergeCells count="1">
    <mergeCell ref="B4:C4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CEC08E8DF2849428D9A2C6FEDC4491E" ma:contentTypeVersion="8" ma:contentTypeDescription="Create a new document." ma:contentTypeScope="" ma:versionID="7bf9e082a3d0a505765dd4f46a3a6dff">
  <xsd:schema xmlns:xsd="http://www.w3.org/2001/XMLSchema" xmlns:xs="http://www.w3.org/2001/XMLSchema" xmlns:p="http://schemas.microsoft.com/office/2006/metadata/properties" xmlns:ns3="66b36fb0-b7a3-405d-a27a-86a16b3663c7" xmlns:ns4="20c56fcd-ae82-4e07-91fd-10eec001484b" targetNamespace="http://schemas.microsoft.com/office/2006/metadata/properties" ma:root="true" ma:fieldsID="d5b0318b626e248e970b9ceae3b93b6d" ns3:_="" ns4:_="">
    <xsd:import namespace="66b36fb0-b7a3-405d-a27a-86a16b3663c7"/>
    <xsd:import namespace="20c56fcd-ae82-4e07-91fd-10eec001484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MediaServiceSearchPropertie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b36fb0-b7a3-405d-a27a-86a16b3663c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activity" ma:index="12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0c56fcd-ae82-4e07-91fd-10eec001484b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66b36fb0-b7a3-405d-a27a-86a16b3663c7" xsi:nil="true"/>
  </documentManagement>
</p:properties>
</file>

<file path=customXml/itemProps1.xml><?xml version="1.0" encoding="utf-8"?>
<ds:datastoreItem xmlns:ds="http://schemas.openxmlformats.org/officeDocument/2006/customXml" ds:itemID="{895E87C4-6AE9-472D-8737-2895521964D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F6DD7AB-4039-4A76-9106-2178F42717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b36fb0-b7a3-405d-a27a-86a16b3663c7"/>
    <ds:schemaRef ds:uri="20c56fcd-ae82-4e07-91fd-10eec001484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318B778-9C81-4FC3-B741-E58C5A54BE3B}">
  <ds:schemaRefs>
    <ds:schemaRef ds:uri="http://schemas.microsoft.com/office/infopath/2007/PartnerControls"/>
    <ds:schemaRef ds:uri="20c56fcd-ae82-4e07-91fd-10eec001484b"/>
    <ds:schemaRef ds:uri="http://schemas.microsoft.com/office/2006/metadata/properties"/>
    <ds:schemaRef ds:uri="http://www.w3.org/XML/1998/namespace"/>
    <ds:schemaRef ds:uri="http://schemas.microsoft.com/office/2006/documentManagement/types"/>
    <ds:schemaRef ds:uri="66b36fb0-b7a3-405d-a27a-86a16b3663c7"/>
    <ds:schemaRef ds:uri="http://purl.org/dc/elements/1.1/"/>
    <ds:schemaRef ds:uri="http://schemas.openxmlformats.org/package/2006/metadata/core-properties"/>
    <ds:schemaRef ds:uri="http://purl.org/dc/dcmitype/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IS</vt:lpstr>
      <vt:lpstr>Reform_BS</vt:lpstr>
      <vt:lpstr>Reform_IS</vt:lpstr>
      <vt:lpstr>Forecast</vt:lpstr>
      <vt:lpstr>Valuation</vt:lpstr>
      <vt:lpstr>Forecast!Print_Area</vt:lpstr>
      <vt:lpstr>IS!Print_Area</vt:lpstr>
      <vt:lpstr>Reform_BS!Print_Area</vt:lpstr>
      <vt:lpstr>Reform_IS!Print_Area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Melvin Fernandez</cp:lastModifiedBy>
  <cp:lastPrinted>2024-04-22T21:25:37Z</cp:lastPrinted>
  <dcterms:created xsi:type="dcterms:W3CDTF">2015-03-13T19:27:00Z</dcterms:created>
  <dcterms:modified xsi:type="dcterms:W3CDTF">2025-08-29T05:47:57Z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0x010100DCEC08E8DF2849428D9A2C6FEDC4491E</vt:lpwstr>
  </property>
</Properties>
</file>