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20240722物业股研究课题\物业公司资料\"/>
    </mc:Choice>
  </mc:AlternateContent>
  <xr:revisionPtr revIDLastSave="0" documentId="13_ncr:1_{7ED814B6-2049-4115-A996-45EE98E4F1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汇总" sheetId="1" r:id="rId1"/>
    <sheet name="2022年收入构成" sheetId="2" r:id="rId2"/>
    <sheet name="2023年收入构成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3" l="1"/>
  <c r="A13" i="4"/>
  <c r="A5" i="4"/>
  <c r="A12" i="4"/>
  <c r="A4" i="4"/>
  <c r="A37" i="3"/>
  <c r="C37" i="3" s="1"/>
  <c r="A19" i="3"/>
  <c r="A6" i="3"/>
  <c r="A39" i="2"/>
  <c r="A20" i="2"/>
  <c r="A6" i="2"/>
  <c r="C43" i="1"/>
  <c r="A33" i="1"/>
  <c r="A8" i="1"/>
  <c r="A11" i="4"/>
  <c r="A3" i="4"/>
  <c r="C42" i="1"/>
  <c r="A32" i="1"/>
  <c r="A10" i="4"/>
  <c r="A2" i="4"/>
  <c r="A32" i="3"/>
  <c r="C32" i="3" s="1"/>
  <c r="A16" i="3"/>
  <c r="C16" i="3" s="1"/>
  <c r="A2" i="3"/>
  <c r="C2" i="3" s="1"/>
  <c r="A34" i="2"/>
  <c r="C34" i="2" s="1"/>
  <c r="A17" i="2"/>
  <c r="C17" i="2" s="1"/>
  <c r="A2" i="2"/>
  <c r="C2" i="2" s="1"/>
  <c r="C41" i="1"/>
  <c r="A31" i="1"/>
  <c r="A10" i="1"/>
  <c r="E10" i="1" s="1"/>
  <c r="S8" i="1"/>
  <c r="A11" i="1"/>
  <c r="F11" i="1" s="1"/>
  <c r="H8" i="1"/>
  <c r="A3" i="1"/>
  <c r="F3" i="1" s="1"/>
  <c r="A9" i="1"/>
  <c r="S9" i="1" s="1"/>
  <c r="A9" i="4"/>
  <c r="C48" i="1"/>
  <c r="C40" i="1"/>
  <c r="A30" i="1"/>
  <c r="A8" i="4"/>
  <c r="A46" i="3"/>
  <c r="C46" i="3" s="1"/>
  <c r="A29" i="3"/>
  <c r="C29" i="3" s="1"/>
  <c r="A12" i="3"/>
  <c r="C12" i="3" s="1"/>
  <c r="A48" i="2"/>
  <c r="C48" i="2" s="1"/>
  <c r="A30" i="2"/>
  <c r="C30" i="2" s="1"/>
  <c r="A12" i="2"/>
  <c r="C12" i="2" s="1"/>
  <c r="C47" i="1"/>
  <c r="C39" i="1"/>
  <c r="A29" i="1"/>
  <c r="A12" i="1"/>
  <c r="S10" i="1"/>
  <c r="H9" i="1"/>
  <c r="G8" i="1"/>
  <c r="A4" i="1"/>
  <c r="A21" i="1"/>
  <c r="A20" i="1"/>
  <c r="A19" i="1"/>
  <c r="A18" i="1"/>
  <c r="A17" i="1"/>
  <c r="A16" i="1"/>
  <c r="A15" i="1"/>
  <c r="S11" i="1"/>
  <c r="H10" i="1"/>
  <c r="S3" i="1"/>
  <c r="L21" i="1"/>
  <c r="L20" i="1"/>
  <c r="L19" i="1"/>
  <c r="L18" i="1"/>
  <c r="V15" i="1"/>
  <c r="A7" i="1"/>
  <c r="J20" i="1"/>
  <c r="T17" i="1"/>
  <c r="T15" i="1"/>
  <c r="S7" i="1"/>
  <c r="E3" i="1"/>
  <c r="A7" i="4"/>
  <c r="C46" i="1"/>
  <c r="A36" i="1"/>
  <c r="A28" i="1"/>
  <c r="N21" i="1"/>
  <c r="N15" i="1"/>
  <c r="G9" i="1"/>
  <c r="F8" i="1"/>
  <c r="E7" i="1"/>
  <c r="A5" i="1"/>
  <c r="C44" i="1"/>
  <c r="V21" i="1"/>
  <c r="V20" i="1"/>
  <c r="V19" i="1"/>
  <c r="V18" i="1"/>
  <c r="V17" i="1"/>
  <c r="L17" i="1"/>
  <c r="V16" i="1"/>
  <c r="L15" i="1"/>
  <c r="G11" i="1"/>
  <c r="E9" i="1"/>
  <c r="H4" i="1"/>
  <c r="T19" i="1"/>
  <c r="F12" i="1"/>
  <c r="A6" i="4"/>
  <c r="A41" i="3"/>
  <c r="C41" i="3" s="1"/>
  <c r="A23" i="3"/>
  <c r="C23" i="3" s="1"/>
  <c r="A9" i="3"/>
  <c r="C9" i="3" s="1"/>
  <c r="A43" i="2"/>
  <c r="C43" i="2" s="1"/>
  <c r="A24" i="2"/>
  <c r="C24" i="2" s="1"/>
  <c r="A9" i="2"/>
  <c r="C9" i="2" s="1"/>
  <c r="C45" i="1"/>
  <c r="A35" i="1"/>
  <c r="A27" i="1"/>
  <c r="A24" i="1"/>
  <c r="A23" i="1"/>
  <c r="A22" i="1"/>
  <c r="M21" i="1"/>
  <c r="W20" i="1"/>
  <c r="M20" i="1"/>
  <c r="W19" i="1"/>
  <c r="M19" i="1"/>
  <c r="W18" i="1"/>
  <c r="M18" i="1"/>
  <c r="W17" i="1"/>
  <c r="M17" i="1"/>
  <c r="W16" i="1"/>
  <c r="M16" i="1"/>
  <c r="W15" i="1"/>
  <c r="M15" i="1"/>
  <c r="S12" i="1"/>
  <c r="H11" i="1"/>
  <c r="G10" i="1"/>
  <c r="F9" i="1"/>
  <c r="E8" i="1"/>
  <c r="A6" i="1"/>
  <c r="S4" i="1"/>
  <c r="H3" i="1"/>
  <c r="C19" i="3"/>
  <c r="C6" i="3"/>
  <c r="C39" i="2"/>
  <c r="C20" i="2"/>
  <c r="C6" i="2"/>
  <c r="A34" i="1"/>
  <c r="F10" i="1"/>
  <c r="G3" i="1"/>
  <c r="T18" i="1"/>
  <c r="J17" i="1"/>
  <c r="E11" i="1"/>
  <c r="G5" i="1"/>
  <c r="H12" i="1"/>
  <c r="E12" i="1"/>
  <c r="G12" i="1"/>
  <c r="F4" i="1"/>
  <c r="E4" i="1"/>
  <c r="G4" i="1"/>
  <c r="C21" i="1"/>
  <c r="O21" i="1"/>
  <c r="D21" i="1"/>
  <c r="R21" i="1"/>
  <c r="E21" i="1"/>
  <c r="S21" i="1"/>
  <c r="J21" i="1"/>
  <c r="T21" i="1"/>
  <c r="K21" i="1"/>
  <c r="U21" i="1"/>
  <c r="N20" i="1"/>
  <c r="C20" i="1"/>
  <c r="O20" i="1"/>
  <c r="D20" i="1"/>
  <c r="R20" i="1"/>
  <c r="T20" i="1"/>
  <c r="E20" i="1"/>
  <c r="S20" i="1"/>
  <c r="K20" i="1"/>
  <c r="U20" i="1"/>
  <c r="N19" i="1"/>
  <c r="C19" i="1"/>
  <c r="O19" i="1"/>
  <c r="D19" i="1"/>
  <c r="R19" i="1"/>
  <c r="E19" i="1"/>
  <c r="S19" i="1"/>
  <c r="J19" i="1"/>
  <c r="K19" i="1"/>
  <c r="U19" i="1"/>
  <c r="N18" i="1"/>
  <c r="C18" i="1"/>
  <c r="O18" i="1"/>
  <c r="D18" i="1"/>
  <c r="R18" i="1"/>
  <c r="E18" i="1"/>
  <c r="S18" i="1"/>
  <c r="J18" i="1"/>
  <c r="K18" i="1"/>
  <c r="U18" i="1"/>
  <c r="N17" i="1"/>
  <c r="C17" i="1"/>
  <c r="O17" i="1"/>
  <c r="D17" i="1"/>
  <c r="R17" i="1"/>
  <c r="E17" i="1"/>
  <c r="S17" i="1"/>
  <c r="K17" i="1"/>
  <c r="U17" i="1"/>
  <c r="N16" i="1"/>
  <c r="C16" i="1"/>
  <c r="O16" i="1"/>
  <c r="R16" i="1"/>
  <c r="T16" i="1"/>
  <c r="L16" i="1"/>
  <c r="D16" i="1"/>
  <c r="E16" i="1"/>
  <c r="S16" i="1"/>
  <c r="J16" i="1"/>
  <c r="K16" i="1"/>
  <c r="U16" i="1"/>
  <c r="C15" i="1"/>
  <c r="O15" i="1"/>
  <c r="J15" i="1"/>
  <c r="D15" i="1"/>
  <c r="R15" i="1"/>
  <c r="E15" i="1"/>
  <c r="S15" i="1"/>
  <c r="K15" i="1"/>
  <c r="U15" i="1"/>
  <c r="F7" i="1"/>
  <c r="G7" i="1"/>
  <c r="H7" i="1"/>
  <c r="S5" i="1"/>
  <c r="E5" i="1"/>
  <c r="F5" i="1"/>
  <c r="H5" i="1"/>
  <c r="N24" i="1"/>
  <c r="M24" i="1"/>
  <c r="C24" i="1"/>
  <c r="O24" i="1"/>
  <c r="W24" i="1"/>
  <c r="D24" i="1"/>
  <c r="R24" i="1"/>
  <c r="E24" i="1"/>
  <c r="S24" i="1"/>
  <c r="J24" i="1"/>
  <c r="T24" i="1"/>
  <c r="K24" i="1"/>
  <c r="U24" i="1"/>
  <c r="L24" i="1"/>
  <c r="V24" i="1"/>
  <c r="N23" i="1"/>
  <c r="M23" i="1"/>
  <c r="C23" i="1"/>
  <c r="O23" i="1"/>
  <c r="W23" i="1"/>
  <c r="D23" i="1"/>
  <c r="R23" i="1"/>
  <c r="E23" i="1"/>
  <c r="S23" i="1"/>
  <c r="J23" i="1"/>
  <c r="T23" i="1"/>
  <c r="K23" i="1"/>
  <c r="U23" i="1"/>
  <c r="L23" i="1"/>
  <c r="V23" i="1"/>
  <c r="N22" i="1"/>
  <c r="W22" i="1"/>
  <c r="C22" i="1"/>
  <c r="O22" i="1"/>
  <c r="M22" i="1"/>
  <c r="D22" i="1"/>
  <c r="R22" i="1"/>
  <c r="E22" i="1"/>
  <c r="S22" i="1"/>
  <c r="J22" i="1"/>
  <c r="T22" i="1"/>
  <c r="K22" i="1"/>
  <c r="U22" i="1"/>
  <c r="L22" i="1"/>
  <c r="V22" i="1"/>
  <c r="E6" i="1"/>
  <c r="F6" i="1"/>
  <c r="G6" i="1"/>
  <c r="H6" i="1"/>
  <c r="S6" i="1"/>
  <c r="G32" i="3" l="1"/>
  <c r="F32" i="3"/>
  <c r="T31" i="3"/>
  <c r="K27" i="3"/>
  <c r="S27" i="3" l="1"/>
  <c r="S26" i="3"/>
  <c r="S28" i="3" l="1"/>
  <c r="K15" i="3"/>
  <c r="K14" i="3"/>
  <c r="K13" i="3"/>
  <c r="K12" i="3"/>
  <c r="K5" i="3"/>
  <c r="K3" i="3"/>
  <c r="K4" i="3"/>
  <c r="K6" i="3"/>
  <c r="K7" i="3"/>
  <c r="K8" i="3"/>
  <c r="K9" i="3"/>
  <c r="K10" i="3"/>
  <c r="K11" i="3"/>
  <c r="K16" i="3"/>
  <c r="K17" i="3"/>
  <c r="K18" i="3"/>
  <c r="K19" i="3"/>
  <c r="K20" i="3"/>
  <c r="K21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2" i="3"/>
  <c r="K43" i="3"/>
  <c r="K44" i="3"/>
  <c r="K45" i="3"/>
  <c r="K46" i="3"/>
  <c r="K47" i="3"/>
  <c r="K48" i="3"/>
  <c r="K49" i="3"/>
  <c r="K2" i="3"/>
  <c r="L28" i="1"/>
  <c r="L29" i="1"/>
  <c r="L30" i="1"/>
  <c r="L31" i="1"/>
  <c r="L32" i="1"/>
  <c r="L33" i="1"/>
  <c r="L34" i="1"/>
  <c r="L35" i="1"/>
  <c r="L36" i="1"/>
  <c r="L27" i="1"/>
  <c r="G2" i="3"/>
  <c r="G46" i="3"/>
  <c r="F46" i="3"/>
  <c r="G41" i="3"/>
  <c r="F41" i="3"/>
  <c r="G37" i="3"/>
  <c r="F37" i="3"/>
  <c r="G29" i="3"/>
  <c r="F29" i="3"/>
  <c r="G23" i="3"/>
  <c r="F23" i="3"/>
  <c r="G19" i="3"/>
  <c r="F19" i="3"/>
  <c r="G16" i="3"/>
  <c r="F16" i="3"/>
  <c r="F12" i="3"/>
  <c r="G9" i="3"/>
  <c r="F9" i="3"/>
  <c r="G6" i="3"/>
  <c r="F6" i="3"/>
  <c r="F2" i="3"/>
  <c r="M28" i="1"/>
  <c r="G29" i="1"/>
  <c r="G30" i="1"/>
  <c r="G32" i="1"/>
  <c r="G33" i="1"/>
  <c r="G34" i="1"/>
  <c r="G35" i="1"/>
  <c r="G36" i="1"/>
  <c r="G28" i="1"/>
  <c r="G12" i="3" l="1"/>
  <c r="P13" i="4"/>
  <c r="O13" i="4"/>
  <c r="N13" i="4"/>
  <c r="M13" i="4"/>
  <c r="L13" i="4"/>
  <c r="G13" i="4"/>
  <c r="P12" i="4"/>
  <c r="O12" i="4"/>
  <c r="N12" i="4"/>
  <c r="M12" i="4"/>
  <c r="L12" i="4"/>
  <c r="G12" i="4"/>
  <c r="P11" i="4"/>
  <c r="O11" i="4"/>
  <c r="N11" i="4"/>
  <c r="M11" i="4"/>
  <c r="L11" i="4"/>
  <c r="G11" i="4"/>
  <c r="P10" i="4"/>
  <c r="O10" i="4"/>
  <c r="N10" i="4"/>
  <c r="M10" i="4"/>
  <c r="L10" i="4"/>
  <c r="G10" i="4"/>
  <c r="P9" i="4"/>
  <c r="O9" i="4"/>
  <c r="N9" i="4"/>
  <c r="M9" i="4"/>
  <c r="L9" i="4"/>
  <c r="G9" i="4"/>
  <c r="P8" i="4"/>
  <c r="O8" i="4"/>
  <c r="N8" i="4"/>
  <c r="M8" i="4"/>
  <c r="L8" i="4"/>
  <c r="G8" i="4"/>
  <c r="P7" i="4"/>
  <c r="O7" i="4"/>
  <c r="N7" i="4"/>
  <c r="M7" i="4"/>
  <c r="L7" i="4"/>
  <c r="G7" i="4"/>
  <c r="P6" i="4"/>
  <c r="O6" i="4"/>
  <c r="N6" i="4"/>
  <c r="M6" i="4"/>
  <c r="L6" i="4"/>
  <c r="G6" i="4"/>
  <c r="P5" i="4"/>
  <c r="O5" i="4"/>
  <c r="N5" i="4"/>
  <c r="M5" i="4"/>
  <c r="L5" i="4"/>
  <c r="G5" i="4"/>
  <c r="P4" i="4"/>
  <c r="O4" i="4"/>
  <c r="N4" i="4"/>
  <c r="M4" i="4"/>
  <c r="L4" i="4"/>
  <c r="G4" i="4"/>
  <c r="P3" i="4"/>
  <c r="O3" i="4"/>
  <c r="N3" i="4"/>
  <c r="M3" i="4"/>
  <c r="L3" i="4"/>
  <c r="G3" i="4"/>
  <c r="Q19" i="1" l="1"/>
  <c r="G48" i="2"/>
  <c r="G43" i="2"/>
  <c r="G39" i="2"/>
  <c r="G34" i="2"/>
  <c r="G30" i="2"/>
  <c r="G24" i="2"/>
  <c r="F48" i="2"/>
  <c r="F43" i="2"/>
  <c r="F34" i="2"/>
  <c r="F39" i="2"/>
  <c r="F30" i="2"/>
  <c r="F24" i="2"/>
  <c r="G20" i="2"/>
  <c r="F20" i="2"/>
  <c r="G17" i="2"/>
  <c r="F17" i="2"/>
  <c r="G12" i="2"/>
  <c r="F12" i="2"/>
  <c r="G9" i="2"/>
  <c r="F9" i="2"/>
  <c r="G6" i="2"/>
  <c r="F6" i="2"/>
  <c r="G2" i="2"/>
  <c r="F2" i="2"/>
  <c r="K50" i="2"/>
  <c r="K49" i="2"/>
  <c r="K48" i="2"/>
  <c r="K51" i="2"/>
  <c r="O29" i="1" l="1"/>
  <c r="P29" i="1"/>
  <c r="O30" i="1"/>
  <c r="P30" i="1"/>
  <c r="O31" i="1"/>
  <c r="O32" i="1"/>
  <c r="P32" i="1"/>
  <c r="O33" i="1"/>
  <c r="P33" i="1"/>
  <c r="O34" i="1"/>
  <c r="P34" i="1"/>
  <c r="O35" i="1"/>
  <c r="P35" i="1"/>
  <c r="O36" i="1"/>
  <c r="P36" i="1"/>
  <c r="P28" i="1"/>
  <c r="O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N28" i="1"/>
  <c r="Q18" i="1" l="1"/>
  <c r="Q20" i="1"/>
  <c r="Q24" i="1"/>
  <c r="Q22" i="1"/>
  <c r="Q21" i="1"/>
  <c r="Q15" i="1"/>
  <c r="Q16" i="1"/>
  <c r="Q17" i="1"/>
  <c r="P18" i="1"/>
  <c r="P20" i="1"/>
  <c r="P24" i="1"/>
  <c r="P22" i="1"/>
  <c r="P21" i="1"/>
  <c r="P15" i="1"/>
  <c r="P16" i="1"/>
  <c r="P17" i="1"/>
  <c r="P19" i="1"/>
  <c r="K6" i="1" l="1"/>
  <c r="L6" i="1"/>
  <c r="L12" i="1"/>
  <c r="K12" i="1"/>
  <c r="L7" i="1"/>
  <c r="K7" i="1"/>
  <c r="K8" i="1"/>
  <c r="L8" i="1"/>
  <c r="C7" i="1"/>
  <c r="D7" i="1"/>
  <c r="D40" i="1" l="1"/>
  <c r="D43" i="1"/>
  <c r="J43" i="1" s="1"/>
  <c r="D39" i="1"/>
  <c r="D41" i="1"/>
  <c r="D47" i="1"/>
  <c r="D45" i="1"/>
  <c r="D48" i="1"/>
  <c r="D42" i="1"/>
  <c r="D46" i="1"/>
  <c r="D44" i="1"/>
  <c r="K43" i="1"/>
  <c r="I43" i="1"/>
  <c r="I23" i="1"/>
  <c r="K5" i="1"/>
  <c r="L5" i="1"/>
  <c r="L11" i="1"/>
  <c r="K4" i="1"/>
  <c r="L4" i="1"/>
  <c r="L3" i="1"/>
  <c r="R7" i="1"/>
  <c r="P7" i="1"/>
  <c r="Q7" i="1"/>
  <c r="M7" i="1"/>
  <c r="L43" i="1"/>
  <c r="M43" i="1"/>
  <c r="N43" i="1"/>
  <c r="H18" i="1"/>
  <c r="I18" i="1"/>
  <c r="H17" i="1"/>
  <c r="I17" i="1"/>
  <c r="H21" i="1"/>
  <c r="I21" i="1"/>
  <c r="H24" i="1"/>
  <c r="I24" i="1"/>
  <c r="H23" i="1"/>
  <c r="I15" i="1"/>
  <c r="I20" i="1"/>
  <c r="I22" i="1"/>
  <c r="H19" i="1"/>
  <c r="I19" i="1"/>
  <c r="K3" i="1"/>
  <c r="C12" i="1"/>
  <c r="C8" i="1"/>
  <c r="C6" i="1"/>
  <c r="C3" i="1"/>
  <c r="C10" i="1"/>
  <c r="C9" i="1"/>
  <c r="C4" i="1"/>
  <c r="C5" i="1"/>
  <c r="C11" i="1"/>
  <c r="D12" i="1"/>
  <c r="D8" i="1"/>
  <c r="D6" i="1"/>
  <c r="D11" i="1"/>
  <c r="D3" i="1"/>
  <c r="D10" i="1"/>
  <c r="D9" i="1"/>
  <c r="D4" i="1"/>
  <c r="D5" i="1"/>
  <c r="I47" i="1" l="1"/>
  <c r="J47" i="1"/>
  <c r="K47" i="1"/>
  <c r="I41" i="1"/>
  <c r="J41" i="1"/>
  <c r="K41" i="1"/>
  <c r="I46" i="1"/>
  <c r="J46" i="1"/>
  <c r="K46" i="1"/>
  <c r="I44" i="1"/>
  <c r="J44" i="1"/>
  <c r="K44" i="1"/>
  <c r="I45" i="1"/>
  <c r="J45" i="1"/>
  <c r="K45" i="1"/>
  <c r="K40" i="1"/>
  <c r="I40" i="1"/>
  <c r="J40" i="1"/>
  <c r="K42" i="1"/>
  <c r="I42" i="1"/>
  <c r="J42" i="1"/>
  <c r="K48" i="1"/>
  <c r="I48" i="1"/>
  <c r="J48" i="1"/>
  <c r="I39" i="1"/>
  <c r="J39" i="1"/>
  <c r="K39" i="1"/>
  <c r="K11" i="1"/>
  <c r="Q9" i="1"/>
  <c r="R9" i="1"/>
  <c r="P4" i="1"/>
  <c r="Q4" i="1"/>
  <c r="R4" i="1"/>
  <c r="Q10" i="1"/>
  <c r="R10" i="1"/>
  <c r="P6" i="1"/>
  <c r="R6" i="1"/>
  <c r="Q6" i="1"/>
  <c r="R8" i="1"/>
  <c r="P8" i="1"/>
  <c r="Q8" i="1"/>
  <c r="Q11" i="1"/>
  <c r="P11" i="1"/>
  <c r="R11" i="1"/>
  <c r="P5" i="1"/>
  <c r="Q5" i="1"/>
  <c r="R5" i="1"/>
  <c r="P3" i="1"/>
  <c r="O3" i="1"/>
  <c r="N3" i="1"/>
  <c r="M5" i="1"/>
  <c r="O11" i="1"/>
  <c r="N11" i="1"/>
  <c r="M6" i="1"/>
  <c r="M4" i="1"/>
  <c r="M3" i="1"/>
  <c r="M12" i="1"/>
  <c r="M11" i="1"/>
  <c r="M8" i="1"/>
  <c r="H16" i="1"/>
  <c r="I16" i="1"/>
  <c r="L48" i="1"/>
  <c r="M48" i="1"/>
  <c r="N48" i="1"/>
  <c r="N39" i="1"/>
  <c r="L39" i="1"/>
  <c r="M39" i="1"/>
  <c r="L40" i="1"/>
  <c r="M40" i="1"/>
  <c r="N40" i="1"/>
  <c r="L42" i="1"/>
  <c r="M42" i="1"/>
  <c r="N42" i="1"/>
  <c r="N47" i="1"/>
  <c r="M47" i="1"/>
  <c r="L47" i="1"/>
  <c r="L41" i="1"/>
  <c r="M41" i="1"/>
  <c r="N41" i="1"/>
  <c r="L44" i="1"/>
  <c r="M44" i="1"/>
  <c r="N44" i="1"/>
  <c r="L45" i="1"/>
  <c r="M45" i="1"/>
  <c r="N45" i="1"/>
  <c r="L46" i="1"/>
  <c r="M46" i="1"/>
  <c r="N46" i="1"/>
  <c r="H20" i="1"/>
  <c r="H22" i="1"/>
  <c r="H15" i="1"/>
  <c r="O10" i="1" l="1"/>
  <c r="O9" i="1"/>
  <c r="N9" i="1"/>
  <c r="N7" i="1"/>
  <c r="O8" i="1"/>
  <c r="N8" i="1"/>
  <c r="O4" i="1"/>
  <c r="N4" i="1"/>
  <c r="N6" i="1"/>
  <c r="N10" i="1"/>
  <c r="Q3" i="1"/>
  <c r="O7" i="1"/>
  <c r="R3" i="1"/>
  <c r="N5" i="1"/>
  <c r="O5" i="1"/>
  <c r="O6" i="1"/>
  <c r="O12" i="1"/>
  <c r="N12" i="1"/>
</calcChain>
</file>

<file path=xl/sharedStrings.xml><?xml version="1.0" encoding="utf-8"?>
<sst xmlns="http://schemas.openxmlformats.org/spreadsheetml/2006/main" count="332" uniqueCount="128">
  <si>
    <t>新城悦服务</t>
    <phoneticPr fontId="1" type="noConversion"/>
  </si>
  <si>
    <t>滨江服务</t>
    <phoneticPr fontId="1" type="noConversion"/>
  </si>
  <si>
    <t>碧桂园服务</t>
    <phoneticPr fontId="1" type="noConversion"/>
  </si>
  <si>
    <t>金科服务</t>
    <phoneticPr fontId="1" type="noConversion"/>
  </si>
  <si>
    <t>雅生活服务</t>
    <phoneticPr fontId="1" type="noConversion"/>
  </si>
  <si>
    <t>融创服务</t>
    <phoneticPr fontId="1" type="noConversion"/>
  </si>
  <si>
    <t>旭辉永升服务</t>
    <phoneticPr fontId="1" type="noConversion"/>
  </si>
  <si>
    <t>金茂服务</t>
    <phoneticPr fontId="1" type="noConversion"/>
  </si>
  <si>
    <t>中海物业</t>
    <phoneticPr fontId="1" type="noConversion"/>
  </si>
  <si>
    <t>保利物业</t>
    <phoneticPr fontId="1" type="noConversion"/>
  </si>
  <si>
    <t>绿城服务</t>
    <phoneticPr fontId="1" type="noConversion"/>
  </si>
  <si>
    <t>名字</t>
    <phoneticPr fontId="1" type="noConversion"/>
  </si>
  <si>
    <t>代码</t>
    <phoneticPr fontId="1" type="noConversion"/>
  </si>
  <si>
    <t>世茂服务</t>
    <phoneticPr fontId="1" type="noConversion"/>
  </si>
  <si>
    <t>21年净利润</t>
    <phoneticPr fontId="1" type="noConversion"/>
  </si>
  <si>
    <t>24年预计净利润</t>
    <phoneticPr fontId="1" type="noConversion"/>
  </si>
  <si>
    <t>23年pe</t>
    <phoneticPr fontId="1" type="noConversion"/>
  </si>
  <si>
    <t>24年pe</t>
    <phoneticPr fontId="1" type="noConversion"/>
  </si>
  <si>
    <t>当前现金</t>
    <phoneticPr fontId="1" type="noConversion"/>
  </si>
  <si>
    <t>市净率</t>
    <phoneticPr fontId="1" type="noConversion"/>
  </si>
  <si>
    <t>市盈率</t>
    <phoneticPr fontId="1" type="noConversion"/>
  </si>
  <si>
    <t>市盈率-扣除现金等价物</t>
    <phoneticPr fontId="1" type="noConversion"/>
  </si>
  <si>
    <t>21年收入</t>
    <phoneticPr fontId="1" type="noConversion"/>
  </si>
  <si>
    <t>20年在管面积</t>
    <phoneticPr fontId="1" type="noConversion"/>
  </si>
  <si>
    <t>21年在管面积</t>
    <phoneticPr fontId="1" type="noConversion"/>
  </si>
  <si>
    <t>21年合约面积</t>
    <phoneticPr fontId="1" type="noConversion"/>
  </si>
  <si>
    <t>21年净利率</t>
    <phoneticPr fontId="1" type="noConversion"/>
  </si>
  <si>
    <t>21年合约/在管</t>
    <phoneticPr fontId="1" type="noConversion"/>
  </si>
  <si>
    <t>20年合约/在管</t>
    <phoneticPr fontId="1" type="noConversion"/>
  </si>
  <si>
    <t>-</t>
    <phoneticPr fontId="1" type="noConversion"/>
  </si>
  <si>
    <t>22年净利润</t>
    <phoneticPr fontId="1" type="noConversion"/>
  </si>
  <si>
    <t>22年收入</t>
    <phoneticPr fontId="1" type="noConversion"/>
  </si>
  <si>
    <t>22年净利率</t>
    <phoneticPr fontId="1" type="noConversion"/>
  </si>
  <si>
    <t>24年预计收入</t>
    <phoneticPr fontId="1" type="noConversion"/>
  </si>
  <si>
    <t>24年预计净利率</t>
    <phoneticPr fontId="1" type="noConversion"/>
  </si>
  <si>
    <t>20年合约面积</t>
    <phoneticPr fontId="1" type="noConversion"/>
  </si>
  <si>
    <t>-</t>
  </si>
  <si>
    <t>22年合约面积</t>
    <phoneticPr fontId="1" type="noConversion"/>
  </si>
  <si>
    <t>23年H合约面积</t>
    <phoneticPr fontId="1" type="noConversion"/>
  </si>
  <si>
    <t>22年在管面积</t>
    <phoneticPr fontId="1" type="noConversion"/>
  </si>
  <si>
    <t>23年H在管面积</t>
    <phoneticPr fontId="1" type="noConversion"/>
  </si>
  <si>
    <t>23年H合约/在管</t>
    <phoneticPr fontId="1" type="noConversion"/>
  </si>
  <si>
    <t>22年合约/在管</t>
    <phoneticPr fontId="1" type="noConversion"/>
  </si>
  <si>
    <t>股价（港币）</t>
    <phoneticPr fontId="1" type="noConversion"/>
  </si>
  <si>
    <t>当前市值（人民币）</t>
    <phoneticPr fontId="1" type="noConversion"/>
  </si>
  <si>
    <t>20-22年增速</t>
    <phoneticPr fontId="1" type="noConversion"/>
  </si>
  <si>
    <t>现金大于市值</t>
    <phoneticPr fontId="1" type="noConversion"/>
  </si>
  <si>
    <t>亏损</t>
    <phoneticPr fontId="1" type="noConversion"/>
  </si>
  <si>
    <t>物业管理服务</t>
    <phoneticPr fontId="1" type="noConversion"/>
  </si>
  <si>
    <t>非住户增值服务</t>
    <phoneticPr fontId="1" type="noConversion"/>
  </si>
  <si>
    <t>住户增值服务</t>
    <phoneticPr fontId="1" type="noConversion"/>
  </si>
  <si>
    <t>停车位买卖业务</t>
    <phoneticPr fontId="1" type="noConversion"/>
  </si>
  <si>
    <t>社区增值服务</t>
    <phoneticPr fontId="1" type="noConversion"/>
  </si>
  <si>
    <t>非业主增值服务</t>
    <phoneticPr fontId="1" type="noConversion"/>
  </si>
  <si>
    <t>物业服务</t>
    <phoneticPr fontId="1" type="noConversion"/>
  </si>
  <si>
    <t>园区服务</t>
    <phoneticPr fontId="1" type="noConversion"/>
  </si>
  <si>
    <t>咨询服务</t>
    <phoneticPr fontId="1" type="noConversion"/>
  </si>
  <si>
    <t>科技服务</t>
    <phoneticPr fontId="1" type="noConversion"/>
  </si>
  <si>
    <t>5S增值服务</t>
    <phoneticPr fontId="1" type="noConversion"/>
  </si>
  <si>
    <t>开发商增值服务</t>
    <phoneticPr fontId="1" type="noConversion"/>
  </si>
  <si>
    <t>智慧园区服务</t>
    <phoneticPr fontId="1" type="noConversion"/>
  </si>
  <si>
    <t>“三供一业”</t>
    <phoneticPr fontId="1" type="noConversion"/>
  </si>
  <si>
    <t>城市服务业务</t>
    <phoneticPr fontId="1" type="noConversion"/>
  </si>
  <si>
    <t>商业运营服务</t>
    <phoneticPr fontId="1" type="noConversion"/>
  </si>
  <si>
    <t>社区生活服务</t>
    <phoneticPr fontId="1" type="noConversion"/>
  </si>
  <si>
    <t>商业运营管理服务</t>
    <phoneticPr fontId="1" type="noConversion"/>
  </si>
  <si>
    <t>空间物业服务-物业管理服务</t>
    <phoneticPr fontId="1" type="noConversion"/>
  </si>
  <si>
    <t>本地生活服务</t>
    <phoneticPr fontId="1" type="noConversion"/>
  </si>
  <si>
    <t>空间物业服务-非业主增值服务</t>
    <phoneticPr fontId="1" type="noConversion"/>
  </si>
  <si>
    <t>数智科技服务</t>
    <phoneticPr fontId="1" type="noConversion"/>
  </si>
  <si>
    <t>城市服务</t>
    <phoneticPr fontId="1" type="noConversion"/>
  </si>
  <si>
    <t>对非业主的增值服务</t>
    <phoneticPr fontId="1" type="noConversion"/>
  </si>
  <si>
    <t>其他</t>
    <phoneticPr fontId="1" type="noConversion"/>
  </si>
  <si>
    <t>分部收入</t>
    <phoneticPr fontId="1" type="noConversion"/>
  </si>
  <si>
    <t>分部毛利</t>
    <phoneticPr fontId="1" type="noConversion"/>
  </si>
  <si>
    <t>物业管理服务收入</t>
    <phoneticPr fontId="1" type="noConversion"/>
  </si>
  <si>
    <t>物业管理服务+社区增值服务收入</t>
    <phoneticPr fontId="1" type="noConversion"/>
  </si>
  <si>
    <t>物业管理服务+社区增值服务毛利</t>
    <phoneticPr fontId="1" type="noConversion"/>
  </si>
  <si>
    <t>毛利率</t>
    <phoneticPr fontId="1" type="noConversion"/>
  </si>
  <si>
    <t>投资物业租金总额-园区服务</t>
    <phoneticPr fontId="1" type="noConversion"/>
  </si>
  <si>
    <t>城市服务</t>
  </si>
  <si>
    <t>主营分部</t>
    <phoneticPr fontId="1" type="noConversion"/>
  </si>
  <si>
    <t>业主增值服务</t>
  </si>
  <si>
    <t>外延增值服务</t>
  </si>
  <si>
    <t>物业管理服务毛利</t>
    <phoneticPr fontId="1" type="noConversion"/>
  </si>
  <si>
    <t>2669.HK</t>
  </si>
  <si>
    <t>6049.HK</t>
  </si>
  <si>
    <t>2869.HK</t>
  </si>
  <si>
    <t>3316.HK</t>
  </si>
  <si>
    <t>1755.HK</t>
  </si>
  <si>
    <t>6098.HK</t>
  </si>
  <si>
    <t>1516.HK</t>
  </si>
  <si>
    <t>9666.HK</t>
  </si>
  <si>
    <t>1995.HK</t>
  </si>
  <si>
    <t>3319.HK</t>
  </si>
  <si>
    <t>市值/物业收入</t>
    <phoneticPr fontId="1" type="noConversion"/>
  </si>
  <si>
    <t>物业收入</t>
    <phoneticPr fontId="1" type="noConversion"/>
  </si>
  <si>
    <t>物业毛利</t>
    <phoneticPr fontId="1" type="noConversion"/>
  </si>
  <si>
    <t>物业+社区增值收入</t>
    <phoneticPr fontId="1" type="noConversion"/>
  </si>
  <si>
    <t>物业+社区增值毛利</t>
    <phoneticPr fontId="1" type="noConversion"/>
  </si>
  <si>
    <t>市值/物业毛利</t>
    <phoneticPr fontId="1" type="noConversion"/>
  </si>
  <si>
    <t>市值/（物业+社区增值收入）</t>
    <phoneticPr fontId="1" type="noConversion"/>
  </si>
  <si>
    <t>市值/（物业+社区增值毛利）</t>
    <phoneticPr fontId="1" type="noConversion"/>
  </si>
  <si>
    <t>市值/收入</t>
    <phoneticPr fontId="1" type="noConversion"/>
  </si>
  <si>
    <t>市值/毛利</t>
    <phoneticPr fontId="1" type="noConversion"/>
  </si>
  <si>
    <t>23年净利润</t>
    <phoneticPr fontId="1" type="noConversion"/>
  </si>
  <si>
    <t>21-23年增速</t>
    <phoneticPr fontId="1" type="noConversion"/>
  </si>
  <si>
    <t>25年预计净利润</t>
    <phoneticPr fontId="1" type="noConversion"/>
  </si>
  <si>
    <t>23-25年增速</t>
    <phoneticPr fontId="1" type="noConversion"/>
  </si>
  <si>
    <t>25年pe</t>
    <phoneticPr fontId="1" type="noConversion"/>
  </si>
  <si>
    <t>23年收入</t>
    <phoneticPr fontId="1" type="noConversion"/>
  </si>
  <si>
    <t>25年预计收入</t>
    <phoneticPr fontId="1" type="noConversion"/>
  </si>
  <si>
    <t>21年毛利率</t>
  </si>
  <si>
    <t>22年毛利率</t>
  </si>
  <si>
    <t>23年毛利率</t>
    <phoneticPr fontId="1" type="noConversion"/>
  </si>
  <si>
    <t>23年净利率</t>
    <phoneticPr fontId="1" type="noConversion"/>
  </si>
  <si>
    <t>25年预计净利率</t>
    <phoneticPr fontId="1" type="noConversion"/>
  </si>
  <si>
    <t>21年股利支付率</t>
    <phoneticPr fontId="1" type="noConversion"/>
  </si>
  <si>
    <t>22年股利支付率</t>
    <phoneticPr fontId="1" type="noConversion"/>
  </si>
  <si>
    <t>23年股利支付率</t>
    <phoneticPr fontId="1" type="noConversion"/>
  </si>
  <si>
    <t>永升服务</t>
  </si>
  <si>
    <t>21年股息率</t>
    <phoneticPr fontId="1" type="noConversion"/>
  </si>
  <si>
    <t>22年股息率</t>
  </si>
  <si>
    <t>23年股息率</t>
  </si>
  <si>
    <t>23年合约面积</t>
    <phoneticPr fontId="1" type="noConversion"/>
  </si>
  <si>
    <t>23年在管面积</t>
    <phoneticPr fontId="1" type="noConversion"/>
  </si>
  <si>
    <t>23年合约/在管</t>
    <phoneticPr fontId="1" type="noConversion"/>
  </si>
  <si>
    <t>23年毛利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</si>
</sst>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,###,##0.0000"/>
    <numFmt numFmtId="177" formatCode="###,###,##0.00"/>
    <numFmt numFmtId="178" formatCode="#,##0.00_);[Red]\(#,##0.00\)"/>
    <numFmt numFmtId="179" formatCode="#,##0.00_ "/>
    <numFmt numFmtId="180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3" fillId="0" borderId="0" xfId="0" applyFont="1"/>
    <xf numFmtId="178" fontId="4" fillId="3" borderId="1" xfId="0" applyNumberFormat="1" applyFont="1" applyFill="1" applyBorder="1" applyAlignment="1">
      <alignment horizontal="center"/>
    </xf>
    <xf numFmtId="178" fontId="5" fillId="3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0" xfId="1" applyFont="1" applyAlignment="1"/>
    <xf numFmtId="4" fontId="0" fillId="0" borderId="0" xfId="0" applyNumberFormat="1"/>
    <xf numFmtId="177" fontId="0" fillId="0" borderId="0" xfId="0" applyNumberFormat="1"/>
    <xf numFmtId="3" fontId="0" fillId="0" borderId="0" xfId="0" applyNumberFormat="1"/>
    <xf numFmtId="10" fontId="5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5" fillId="2" borderId="1" xfId="0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5" fillId="3" borderId="2" xfId="0" applyNumberFormat="1" applyFont="1" applyFill="1" applyBorder="1" applyAlignment="1">
      <alignment horizontal="center"/>
    </xf>
    <xf numFmtId="178" fontId="5" fillId="3" borderId="3" xfId="0" applyNumberFormat="1" applyFont="1" applyFill="1" applyBorder="1" applyAlignment="1">
      <alignment horizontal="center"/>
    </xf>
    <xf numFmtId="178" fontId="5" fillId="3" borderId="4" xfId="0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4.9000000000000004</v>
        <stp/>
        <stp>6098.HK</stp>
        <stp>LastPrice</stp>
        <tr r="C8" s="1"/>
      </tp>
      <tp>
        <v>1.55</v>
        <stp/>
        <stp>1995.HK</stp>
        <stp>LastPrice</stp>
        <tr r="C11" s="1"/>
      </tp>
      <tp>
        <v>2.71</v>
        <stp/>
        <stp>3319.HK</stp>
        <stp>LastPrice</stp>
        <tr r="C12" s="1"/>
      </tp>
      <tp>
        <v>16.240000000000002</v>
        <stp/>
        <stp>3316.HK</stp>
        <stp>LastPrice</stp>
        <tr r="C6" s="1"/>
      </tp>
      <tp>
        <v>1.73</v>
        <stp/>
        <stp>1516.HK</stp>
        <stp>LastPrice</stp>
        <tr r="C9" s="1"/>
      </tp>
      <tp>
        <v>26.900000000000002</v>
        <stp/>
        <stp>6049.HK</stp>
        <stp>LastPrice</stp>
        <tr r="C4" s="1"/>
      </tp>
      <tp>
        <v>2.85</v>
        <stp/>
        <stp>1755.HK</stp>
        <stp>LastPrice</stp>
        <tr r="C7" s="1"/>
      </tp>
      <tp>
        <v>3.48</v>
        <stp/>
        <stp>2869.HK</stp>
        <stp>LastPrice</stp>
        <tr r="C5" s="1"/>
      </tp>
      <tp>
        <v>4.74</v>
        <stp/>
        <stp>2669.HK</stp>
        <stp>LastPrice</stp>
        <tr r="C3" s="1"/>
      </tp>
      <tp>
        <v>6.65</v>
        <stp/>
        <stp>9666.HK</stp>
        <stp>LastPrice</stp>
        <tr r="C10" s="1"/>
      </tp>
      <tp>
        <v>0.9133</v>
        <stp/>
        <stp>HKDCNY.EX</stp>
        <stp>LastPrice</stp>
        <tr r="D5" s="1"/>
        <tr r="D4" s="1"/>
        <tr r="D9" s="1"/>
        <tr r="D10" s="1"/>
        <tr r="D3" s="1"/>
        <tr r="D11" s="1"/>
        <tr r="D6" s="1"/>
        <tr r="D8" s="1"/>
        <tr r="D12" s="1"/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6719;&#20214;\wind\DataBrowse\XLA\WindFunc.xla" TargetMode="External"/><Relationship Id="rId1" Type="http://schemas.openxmlformats.org/officeDocument/2006/relationships/externalLinkPath" Target="file:///D:\&#36719;&#20214;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ks_div_payoutratio"/>
      <definedName name="hks_fa_grossprofitmargin"/>
      <definedName name="hks_fa_netprofitmargin"/>
      <definedName name="hks_stm_bs"/>
      <definedName name="hks_stm_is"/>
      <definedName name="hks_val_pb"/>
      <definedName name="s_share_issuing"/>
      <definedName name="s_val_dividendyield"/>
      <definedName name="to_wind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zoomScaleNormal="100" workbookViewId="0">
      <pane xSplit="2" topLeftCell="H1" activePane="topRight" state="frozen"/>
      <selection pane="topRight" activeCell="K17" sqref="K17"/>
    </sheetView>
  </sheetViews>
  <sheetFormatPr defaultColWidth="17.5" defaultRowHeight="14.25" x14ac:dyDescent="0.2"/>
  <cols>
    <col min="1" max="1" width="8.125" bestFit="1" customWidth="1"/>
    <col min="2" max="2" width="11" bestFit="1" customWidth="1"/>
    <col min="3" max="3" width="13.125" bestFit="1" customWidth="1"/>
    <col min="4" max="4" width="19.25" bestFit="1" customWidth="1"/>
    <col min="5" max="6" width="13.125" bestFit="1" customWidth="1"/>
    <col min="7" max="8" width="18.625" bestFit="1" customWidth="1"/>
    <col min="9" max="10" width="15.25" bestFit="1" customWidth="1"/>
    <col min="11" max="12" width="13.875" bestFit="1" customWidth="1"/>
    <col min="13" max="14" width="27.75" bestFit="1" customWidth="1"/>
    <col min="15" max="15" width="14" bestFit="1" customWidth="1"/>
    <col min="16" max="17" width="15.25" bestFit="1" customWidth="1"/>
    <col min="18" max="20" width="11.125" bestFit="1" customWidth="1"/>
    <col min="21" max="23" width="15.25" bestFit="1" customWidth="1"/>
  </cols>
  <sheetData>
    <row r="1" spans="1:23" x14ac:dyDescent="0.2">
      <c r="A1" s="4"/>
      <c r="B1" s="4"/>
      <c r="C1" s="4"/>
      <c r="D1" s="4"/>
      <c r="E1" s="4"/>
      <c r="F1" s="4"/>
      <c r="G1" s="4"/>
      <c r="H1" s="4"/>
      <c r="I1" s="5"/>
      <c r="J1" s="4"/>
      <c r="K1" s="4"/>
      <c r="L1" s="5"/>
      <c r="M1" s="51" t="s">
        <v>20</v>
      </c>
      <c r="N1" s="51"/>
      <c r="O1" s="51"/>
      <c r="P1" s="52" t="s">
        <v>21</v>
      </c>
      <c r="Q1" s="52"/>
      <c r="R1" s="52"/>
      <c r="S1" s="23"/>
    </row>
    <row r="2" spans="1:23" x14ac:dyDescent="0.2">
      <c r="A2" s="4" t="s">
        <v>12</v>
      </c>
      <c r="B2" s="4" t="s">
        <v>11</v>
      </c>
      <c r="C2" s="4" t="s">
        <v>43</v>
      </c>
      <c r="D2" s="4" t="s">
        <v>44</v>
      </c>
      <c r="E2" s="4" t="s">
        <v>18</v>
      </c>
      <c r="F2" s="4" t="s">
        <v>14</v>
      </c>
      <c r="G2" s="4" t="s">
        <v>30</v>
      </c>
      <c r="H2" s="4" t="s">
        <v>105</v>
      </c>
      <c r="I2" s="4" t="s">
        <v>15</v>
      </c>
      <c r="J2" s="4" t="s">
        <v>107</v>
      </c>
      <c r="K2" s="4" t="s">
        <v>106</v>
      </c>
      <c r="L2" s="4" t="s">
        <v>108</v>
      </c>
      <c r="M2" s="6" t="s">
        <v>16</v>
      </c>
      <c r="N2" s="6" t="s">
        <v>17</v>
      </c>
      <c r="O2" s="6" t="s">
        <v>109</v>
      </c>
      <c r="P2" s="15" t="s">
        <v>16</v>
      </c>
      <c r="Q2" s="15" t="s">
        <v>17</v>
      </c>
      <c r="R2" s="15" t="s">
        <v>109</v>
      </c>
      <c r="S2" s="24" t="s">
        <v>19</v>
      </c>
    </row>
    <row r="3" spans="1:23" x14ac:dyDescent="0.2">
      <c r="A3" s="6" t="str">
        <f>[1]!to_windcode(B3)</f>
        <v>2669.HK</v>
      </c>
      <c r="B3" s="6" t="s">
        <v>8</v>
      </c>
      <c r="C3" s="7">
        <f>RTD("wdf.rtq",,A3,"LastPrice")</f>
        <v>4.74</v>
      </c>
      <c r="D3" s="7">
        <f>C3*[1]!s_share_issuing(A3,"",100000000)*RTD("wdf.rtq",,"HKDCNY.EX","LastPrice")</f>
        <v>142.16402757679322</v>
      </c>
      <c r="E3" s="7">
        <f>[1]!hks_stm_bs(A3,"9","2023-12-31",1,"Cur=CNY",100000000)</f>
        <v>31.9175</v>
      </c>
      <c r="F3" s="7">
        <f>[1]!hks_stm_is(A3,"61","2021-12-31",1,"Cur=CNY",100000000)</f>
        <v>8.044137472000001</v>
      </c>
      <c r="G3" s="7">
        <f>[1]!hks_stm_is(A3,"61","2022-12-31",1,"Cur=CNY",100000000)</f>
        <v>11.372631274200002</v>
      </c>
      <c r="H3" s="7">
        <f>[1]!hks_stm_is(A3,"61","2023-12-31",1,"Cur=CNY",100000000)</f>
        <v>13.42503</v>
      </c>
      <c r="I3" s="8">
        <v>16.2</v>
      </c>
      <c r="J3" s="8">
        <v>19.2</v>
      </c>
      <c r="K3" s="9">
        <f>(H3/F3)^0.5-1</f>
        <v>0.29186725546006564</v>
      </c>
      <c r="L3" s="9">
        <f t="shared" ref="L3:L8" si="0">(J3/H3)^0.5-1</f>
        <v>0.19589481220852289</v>
      </c>
      <c r="M3" s="10">
        <f>$D3/H3</f>
        <v>10.589475597208589</v>
      </c>
      <c r="N3" s="10">
        <f>$D3/I3</f>
        <v>8.7755572578267422</v>
      </c>
      <c r="O3" s="10">
        <f>$D3/J3</f>
        <v>7.4043764362913134</v>
      </c>
      <c r="P3" s="16">
        <f t="shared" ref="P3:P8" si="1">($D3-$E3)/H3</f>
        <v>8.2120134984274316</v>
      </c>
      <c r="Q3" s="16">
        <f t="shared" ref="Q3:R8" si="2">($D3-$E3)/I3</f>
        <v>6.8053412084440259</v>
      </c>
      <c r="R3" s="16">
        <f t="shared" si="2"/>
        <v>5.7420066446246469</v>
      </c>
      <c r="S3" s="25">
        <f>[1]!hks_val_pb(A3,"",2022)</f>
        <v>4.3102918798787151</v>
      </c>
    </row>
    <row r="4" spans="1:23" x14ac:dyDescent="0.2">
      <c r="A4" s="6" t="str">
        <f>[1]!to_windcode(B4)</f>
        <v>6049.HK</v>
      </c>
      <c r="B4" s="6" t="s">
        <v>9</v>
      </c>
      <c r="C4" s="7">
        <f>RTD("wdf.rtq",,A4,"LastPrice")</f>
        <v>26.900000000000002</v>
      </c>
      <c r="D4" s="7">
        <f>C4*[1]!s_share_issuing(A4,"",100000000)*RTD("wdf.rtq",,"HKDCNY.EX","LastPrice")</f>
        <v>135.94167704518</v>
      </c>
      <c r="E4" s="7">
        <f>[1]!hks_stm_bs(A4,"9","2023-12-31",1,"Cur=CNY",100000000)</f>
        <v>110.11462</v>
      </c>
      <c r="F4" s="7">
        <f>[1]!hks_stm_is(A4,"61","2021-12-31",1,"Cur=CNY",100000000)</f>
        <v>8.4569299999999998</v>
      </c>
      <c r="G4" s="7">
        <f>[1]!hks_stm_is(A4,"61","2022-12-31",1,"Cur=CNY",100000000)</f>
        <v>11.12933</v>
      </c>
      <c r="H4" s="7">
        <f>[1]!hks_stm_is(A4,"61","2023-12-31",1,"Cur=CNY",100000000)</f>
        <v>13.801399999999999</v>
      </c>
      <c r="I4" s="8">
        <v>16</v>
      </c>
      <c r="J4" s="8">
        <v>18.3</v>
      </c>
      <c r="K4" s="9">
        <f t="shared" ref="K4:K12" si="3">(H4/F4)^0.5-1</f>
        <v>0.27748321791367858</v>
      </c>
      <c r="L4" s="9">
        <f t="shared" si="0"/>
        <v>0.15150008233068579</v>
      </c>
      <c r="M4" s="10">
        <f t="shared" ref="M4:M12" si="4">$D4/H4</f>
        <v>9.8498469028634776</v>
      </c>
      <c r="N4" s="10">
        <f t="shared" ref="N4:O8" si="5">$D4/I4</f>
        <v>8.49635481532375</v>
      </c>
      <c r="O4" s="10">
        <f t="shared" si="5"/>
        <v>7.4285069423595624</v>
      </c>
      <c r="P4" s="16">
        <f t="shared" si="1"/>
        <v>1.8713360271552162</v>
      </c>
      <c r="Q4" s="16">
        <f t="shared" si="2"/>
        <v>1.6141910653237499</v>
      </c>
      <c r="R4" s="16">
        <f t="shared" si="2"/>
        <v>1.4113145926327868</v>
      </c>
      <c r="S4" s="25">
        <f>[1]!hks_val_pb(A4,"",2022)</f>
        <v>1.7288620267047512</v>
      </c>
    </row>
    <row r="5" spans="1:23" x14ac:dyDescent="0.2">
      <c r="A5" s="6" t="str">
        <f>[1]!to_windcode(B5)</f>
        <v>2869.HK</v>
      </c>
      <c r="B5" s="6" t="s">
        <v>10</v>
      </c>
      <c r="C5" s="7">
        <f>RTD("wdf.rtq",,A5,"LastPrice")</f>
        <v>3.48</v>
      </c>
      <c r="D5" s="7">
        <f>C5*[1]!s_share_issuing(A5,"",100000000)*RTD("wdf.rtq",,"HKDCNY.EX","LastPrice")</f>
        <v>100.54964277964068</v>
      </c>
      <c r="E5" s="7">
        <f>[1]!hks_stm_bs(A5,"9","2023-12-31",1,"Cur=CNY",100000000)</f>
        <v>45.30836</v>
      </c>
      <c r="F5" s="7">
        <f>[1]!hks_stm_is(A5,"61","2021-12-31",1,"Cur=CNY",100000000)</f>
        <v>8.4627499999999998</v>
      </c>
      <c r="G5" s="7">
        <f>[1]!hks_stm_is(A5,"61","2022-12-31",1,"Cur=CNY",100000000)</f>
        <v>5.4750100000000002</v>
      </c>
      <c r="H5" s="7">
        <f>[1]!hks_stm_is(A5,"61","2023-12-31",1,"Cur=CNY",100000000)</f>
        <v>6.0537400000000003</v>
      </c>
      <c r="I5" s="8">
        <v>7.34</v>
      </c>
      <c r="J5" s="8">
        <v>8.66</v>
      </c>
      <c r="K5" s="9">
        <f t="shared" si="3"/>
        <v>-0.15422250184883923</v>
      </c>
      <c r="L5" s="9">
        <f t="shared" si="0"/>
        <v>0.19604374369396038</v>
      </c>
      <c r="M5" s="10">
        <f t="shared" si="4"/>
        <v>16.609507970220172</v>
      </c>
      <c r="N5" s="10">
        <f t="shared" si="5"/>
        <v>13.698861414119984</v>
      </c>
      <c r="O5" s="10">
        <f t="shared" si="5"/>
        <v>11.610813254000078</v>
      </c>
      <c r="P5" s="16">
        <f t="shared" si="1"/>
        <v>9.1251495405552063</v>
      </c>
      <c r="Q5" s="16">
        <f t="shared" si="2"/>
        <v>7.526060324201727</v>
      </c>
      <c r="R5" s="16">
        <f t="shared" si="2"/>
        <v>6.3789010138153204</v>
      </c>
      <c r="S5" s="25">
        <f>[1]!hks_val_pb(A5,"",2022)</f>
        <v>1.3810503369295204</v>
      </c>
    </row>
    <row r="6" spans="1:23" x14ac:dyDescent="0.2">
      <c r="A6" s="15" t="str">
        <f>[1]!to_windcode(B6)</f>
        <v>3316.HK</v>
      </c>
      <c r="B6" s="15" t="s">
        <v>1</v>
      </c>
      <c r="C6" s="7">
        <f>RTD("wdf.rtq",,A6,"LastPrice")</f>
        <v>16.240000000000002</v>
      </c>
      <c r="D6" s="7">
        <f>C6*[1]!s_share_issuing(A6,"",100000000)*RTD("wdf.rtq",,"HKDCNY.EX","LastPrice")</f>
        <v>40.996664127440006</v>
      </c>
      <c r="E6" s="7">
        <f>[1]!hks_stm_bs(A6,"9","2023-12-31",1,"Cur=CNY",100000000)</f>
        <v>14.553839999999999</v>
      </c>
      <c r="F6" s="7">
        <f>[1]!hks_stm_is(A6,"61","2021-12-31",1,"Cur=CNY",100000000)</f>
        <v>3.2175099999999999</v>
      </c>
      <c r="G6" s="7">
        <f>[1]!hks_stm_is(A6,"61","2022-12-31",1,"Cur=CNY",100000000)</f>
        <v>4.1199500000000002</v>
      </c>
      <c r="H6" s="7">
        <f>[1]!hks_stm_is(A6,"61","2023-12-31",1,"Cur=CNY",100000000)</f>
        <v>4.9254499999999997</v>
      </c>
      <c r="I6" s="8">
        <v>5.76</v>
      </c>
      <c r="J6" s="8">
        <v>6.79</v>
      </c>
      <c r="K6" s="9">
        <f t="shared" si="3"/>
        <v>0.23726578915666208</v>
      </c>
      <c r="L6" s="9">
        <f t="shared" si="0"/>
        <v>0.17411849647924393</v>
      </c>
      <c r="M6" s="10">
        <f t="shared" si="4"/>
        <v>8.3234352449908151</v>
      </c>
      <c r="N6" s="10">
        <f t="shared" si="5"/>
        <v>7.1174764110138904</v>
      </c>
      <c r="O6" s="10">
        <f t="shared" si="5"/>
        <v>6.0378003133195888</v>
      </c>
      <c r="P6" s="16">
        <f t="shared" si="1"/>
        <v>5.3686108127054393</v>
      </c>
      <c r="Q6" s="16">
        <f t="shared" si="2"/>
        <v>4.5907680776805568</v>
      </c>
      <c r="R6" s="16">
        <f t="shared" si="2"/>
        <v>3.8943776329072173</v>
      </c>
      <c r="S6" s="25">
        <f>[1]!hks_val_pb(A6,"",2022)</f>
        <v>3.2174458446300673</v>
      </c>
    </row>
    <row r="7" spans="1:23" x14ac:dyDescent="0.2">
      <c r="A7" s="15" t="str">
        <f>[1]!to_windcode(B7)</f>
        <v>1755.HK</v>
      </c>
      <c r="B7" s="15" t="s">
        <v>0</v>
      </c>
      <c r="C7" s="7">
        <f>RTD("wdf.rtq",,A7,"LastPrice")</f>
        <v>2.85</v>
      </c>
      <c r="D7" s="7">
        <f>C7*[1]!s_share_issuing(A7,"",100000000)*RTD("wdf.rtq",,"HKDCNY.EX","LastPrice")</f>
        <v>22.679918165549999</v>
      </c>
      <c r="E7" s="7">
        <f>[1]!hks_stm_bs(A7,"9","2023-12-31",1,"Cur=CNY",100000000)</f>
        <v>19.272829999999999</v>
      </c>
      <c r="F7" s="7">
        <f>[1]!hks_stm_is(A7,"61","2021-12-31",1,"Cur=CNY",100000000)</f>
        <v>5.2545500000000001</v>
      </c>
      <c r="G7" s="7">
        <f>[1]!hks_stm_is(A7,"61","2022-12-31",1,"Cur=CNY",100000000)</f>
        <v>4.2347599999999996</v>
      </c>
      <c r="H7" s="7">
        <f>[1]!hks_stm_is(A7,"61","2023-12-31",1,"Cur=CNY",100000000)</f>
        <v>4.45045</v>
      </c>
      <c r="I7" s="8">
        <v>5.01</v>
      </c>
      <c r="J7" s="8">
        <v>5.47</v>
      </c>
      <c r="K7" s="9">
        <f t="shared" si="3"/>
        <v>-7.9689878022868088E-2</v>
      </c>
      <c r="L7" s="9">
        <f t="shared" si="0"/>
        <v>0.10864295119197465</v>
      </c>
      <c r="M7" s="10">
        <f t="shared" si="4"/>
        <v>5.0960954882202918</v>
      </c>
      <c r="N7" s="10">
        <f t="shared" si="5"/>
        <v>4.5269297735628742</v>
      </c>
      <c r="O7" s="10">
        <f t="shared" si="5"/>
        <v>4.1462373245978066</v>
      </c>
      <c r="P7" s="16">
        <f t="shared" si="1"/>
        <v>0.76556037379366138</v>
      </c>
      <c r="Q7" s="16">
        <f t="shared" si="2"/>
        <v>0.6800575180738524</v>
      </c>
      <c r="R7" s="16">
        <f t="shared" si="2"/>
        <v>0.6228680375776966</v>
      </c>
      <c r="S7" s="25">
        <f>[1]!hks_val_pb(A7,"",2022)</f>
        <v>0.85664039267933534</v>
      </c>
    </row>
    <row r="8" spans="1:23" x14ac:dyDescent="0.2">
      <c r="A8" s="24" t="str">
        <f>[1]!to_windcode(B8)</f>
        <v>6098.HK</v>
      </c>
      <c r="B8" s="24" t="s">
        <v>2</v>
      </c>
      <c r="C8" s="7">
        <f>RTD("wdf.rtq",,A8,"LastPrice")</f>
        <v>4.9000000000000004</v>
      </c>
      <c r="D8" s="7">
        <f>C8*[1]!s_share_issuing(A8,"",100000000)*RTD("wdf.rtq",,"HKDCNY.EX","LastPrice")</f>
        <v>149.60584317057121</v>
      </c>
      <c r="E8" s="7">
        <f>[1]!hks_stm_bs(A8,"9","2023-12-31",1,"Cur=CNY",100000000)</f>
        <v>126.37187</v>
      </c>
      <c r="F8" s="7">
        <f>[1]!hks_stm_is(A8,"61","2021-12-31",1,"Cur=CNY",100000000)</f>
        <v>40.333950000000002</v>
      </c>
      <c r="G8" s="7">
        <f>[1]!hks_stm_is(A8,"61","2022-12-31",1,"Cur=CNY",100000000)</f>
        <v>19.43422</v>
      </c>
      <c r="H8" s="7">
        <f>[1]!hks_stm_is(A8,"61","2023-12-31",1,"Cur=CNY",100000000)</f>
        <v>2.9233500000000001</v>
      </c>
      <c r="I8" s="8">
        <v>17.100000000000001</v>
      </c>
      <c r="J8" s="8">
        <v>22.1</v>
      </c>
      <c r="K8" s="9">
        <f t="shared" si="3"/>
        <v>-0.73078141980621047</v>
      </c>
      <c r="L8" s="9">
        <f t="shared" si="0"/>
        <v>1.7495126967229813</v>
      </c>
      <c r="M8" s="10">
        <f t="shared" si="4"/>
        <v>51.176165416584126</v>
      </c>
      <c r="N8" s="10">
        <f t="shared" si="5"/>
        <v>8.7488797175772621</v>
      </c>
      <c r="O8" s="10">
        <f t="shared" si="5"/>
        <v>6.769495166089194</v>
      </c>
      <c r="P8" s="16">
        <f t="shared" si="1"/>
        <v>7.9477220211644868</v>
      </c>
      <c r="Q8" s="16">
        <f t="shared" si="2"/>
        <v>1.3587118813199532</v>
      </c>
      <c r="R8" s="16">
        <f t="shared" si="2"/>
        <v>1.0513110031932671</v>
      </c>
      <c r="S8" s="25">
        <f>[1]!hks_val_pb(A8,"",2022)</f>
        <v>0.38586975127468515</v>
      </c>
    </row>
    <row r="9" spans="1:23" x14ac:dyDescent="0.2">
      <c r="A9" s="24" t="str">
        <f>[1]!to_windcode(B9)</f>
        <v>1516.HK</v>
      </c>
      <c r="B9" s="24" t="s">
        <v>5</v>
      </c>
      <c r="C9" s="7">
        <f>RTD("wdf.rtq",,A9,"LastPrice")</f>
        <v>1.73</v>
      </c>
      <c r="D9" s="7">
        <f>C9*[1]!s_share_issuing(A9,"",100000000)*RTD("wdf.rtq",,"HKDCNY.EX","LastPrice")</f>
        <v>48.298410315959998</v>
      </c>
      <c r="E9" s="7">
        <f>[1]!hks_stm_bs(A9,"9","2023-12-31",1,"Cur=CNY",100000000)</f>
        <v>39.79504</v>
      </c>
      <c r="F9" s="7">
        <f>[1]!hks_stm_is(A9,"61","2021-12-31",1,"Cur=CNY",100000000)</f>
        <v>12.763260000000001</v>
      </c>
      <c r="G9" s="7">
        <f>[1]!hks_stm_is(A9,"61","2022-12-31",1,"Cur=CNY",100000000)</f>
        <v>-4.8190200000000001</v>
      </c>
      <c r="H9" s="7">
        <f>[1]!hks_stm_is(A9,"61","2023-12-31",1,"Cur=CNY",100000000)</f>
        <v>-4.3506799999999997</v>
      </c>
      <c r="I9" s="8">
        <v>6.32</v>
      </c>
      <c r="J9" s="8">
        <v>7.25</v>
      </c>
      <c r="K9" s="9" t="s">
        <v>29</v>
      </c>
      <c r="L9" s="9" t="s">
        <v>29</v>
      </c>
      <c r="M9" s="20" t="s">
        <v>47</v>
      </c>
      <c r="N9" s="10">
        <f t="shared" ref="N9:O10" si="6">$D9/I9</f>
        <v>7.6421535310063282</v>
      </c>
      <c r="O9" s="10">
        <f t="shared" si="6"/>
        <v>6.6618496987531035</v>
      </c>
      <c r="P9" s="18" t="s">
        <v>47</v>
      </c>
      <c r="Q9" s="16">
        <f>($D9-$E9)/I9</f>
        <v>1.3454699867025313</v>
      </c>
      <c r="R9" s="16">
        <f>($D9-$E9)/J9</f>
        <v>1.1728786642703446</v>
      </c>
      <c r="S9" s="25">
        <f>[1]!hks_val_pb(A9,"",2022)</f>
        <v>0.62126513607809253</v>
      </c>
    </row>
    <row r="10" spans="1:23" x14ac:dyDescent="0.2">
      <c r="A10" s="24" t="str">
        <f>[1]!to_windcode(B10)</f>
        <v>9666.HK</v>
      </c>
      <c r="B10" s="24" t="s">
        <v>3</v>
      </c>
      <c r="C10" s="7">
        <f>RTD("wdf.rtq",,A10,"LastPrice")</f>
        <v>6.65</v>
      </c>
      <c r="D10" s="7">
        <f>C10*[1]!s_share_issuing(A10,"",100000000)*RTD("wdf.rtq",,"HKDCNY.EX","LastPrice")</f>
        <v>37.519368493005004</v>
      </c>
      <c r="E10" s="7">
        <f>[1]!hks_stm_bs(A10,"9","2023-12-31",1,"Cur=CNY",100000000)</f>
        <v>29.05545</v>
      </c>
      <c r="F10" s="7">
        <f>[1]!hks_stm_is(A10,"61","2021-12-31",1,"Cur=CNY",100000000)</f>
        <v>10.571820000000001</v>
      </c>
      <c r="G10" s="7">
        <f>[1]!hks_stm_is(A10,"61","2022-12-31",1,"Cur=CNY",100000000)</f>
        <v>-18.185449999999999</v>
      </c>
      <c r="H10" s="7">
        <f>[1]!hks_stm_is(A10,"61","2023-12-31",1,"Cur=CNY",100000000)</f>
        <v>-9.5103799999999996</v>
      </c>
      <c r="I10" s="8">
        <v>4.05</v>
      </c>
      <c r="J10" s="8">
        <v>4.7</v>
      </c>
      <c r="K10" s="9" t="s">
        <v>29</v>
      </c>
      <c r="L10" s="9" t="s">
        <v>29</v>
      </c>
      <c r="M10" s="43" t="s">
        <v>47</v>
      </c>
      <c r="N10" s="10">
        <f t="shared" si="6"/>
        <v>9.2640416032111119</v>
      </c>
      <c r="O10" s="10">
        <f t="shared" si="6"/>
        <v>7.9828443602138304</v>
      </c>
      <c r="P10" s="19" t="s">
        <v>47</v>
      </c>
      <c r="Q10" s="16">
        <f>($D10-$E10)/I10</f>
        <v>2.0898564180259269</v>
      </c>
      <c r="R10" s="16">
        <f>($D10-$E10)/J10</f>
        <v>1.800833721915958</v>
      </c>
      <c r="S10" s="25">
        <f>[1]!hks_val_pb(A10,"",2022)</f>
        <v>0.69304953805451996</v>
      </c>
    </row>
    <row r="11" spans="1:23" x14ac:dyDescent="0.2">
      <c r="A11" s="24" t="str">
        <f>[1]!to_windcode(B11)</f>
        <v>1995.HK</v>
      </c>
      <c r="B11" s="24" t="s">
        <v>120</v>
      </c>
      <c r="C11" s="7">
        <f>RTD("wdf.rtq",,A11,"LastPrice")</f>
        <v>1.55</v>
      </c>
      <c r="D11" s="7">
        <f>C11*[1]!s_share_issuing(A11,"",100000000)*RTD("wdf.rtq",,"HKDCNY.EX","LastPrice")</f>
        <v>24.4696697071</v>
      </c>
      <c r="E11" s="7">
        <f>[1]!hks_stm_bs(A11,"9","2023-12-31",1,"Cur=CNY",100000000)</f>
        <v>23.415099999999999</v>
      </c>
      <c r="F11" s="7">
        <f>[1]!hks_stm_is(A11,"61","2021-12-31",1,"Cur=CNY",100000000)</f>
        <v>6.17014</v>
      </c>
      <c r="G11" s="7">
        <f>[1]!hks_stm_is(A11,"61","2022-12-31",1,"Cur=CNY",100000000)</f>
        <v>4.8011100000000004</v>
      </c>
      <c r="H11" s="7">
        <f>[1]!hks_stm_is(A11,"61","2023-12-31",1,"Cur=CNY",100000000)</f>
        <v>4.3447199999999997</v>
      </c>
      <c r="I11" s="8">
        <v>4.28</v>
      </c>
      <c r="J11" s="8">
        <v>4.95</v>
      </c>
      <c r="K11" s="9">
        <f t="shared" si="3"/>
        <v>-0.16086200181001908</v>
      </c>
      <c r="L11" s="9">
        <f>(J11/H11)^0.5-1</f>
        <v>6.7386493201333719E-2</v>
      </c>
      <c r="M11" s="10">
        <f t="shared" si="4"/>
        <v>5.632047567415162</v>
      </c>
      <c r="N11" s="10">
        <f t="shared" ref="N11" si="7">$D11/I11</f>
        <v>5.7172125483878498</v>
      </c>
      <c r="O11" s="10">
        <f t="shared" ref="O11" si="8">$D11/J11</f>
        <v>4.9433676175959596</v>
      </c>
      <c r="P11" s="16">
        <f>($D11-$E11)/H11</f>
        <v>0.24272443496934226</v>
      </c>
      <c r="Q11" s="16">
        <f t="shared" ref="Q11" si="9">($D11-$E11)/I11</f>
        <v>0.24639479137850481</v>
      </c>
      <c r="R11" s="16">
        <f t="shared" ref="R11" si="10">($D11-$E11)/J11</f>
        <v>0.2130443852727274</v>
      </c>
      <c r="S11" s="25">
        <f>[1]!hks_val_pb(A11,"",2022)</f>
        <v>0.52074173591405637</v>
      </c>
    </row>
    <row r="12" spans="1:23" x14ac:dyDescent="0.2">
      <c r="A12" s="24" t="str">
        <f>[1]!to_windcode(B12)</f>
        <v>3319.HK</v>
      </c>
      <c r="B12" s="24" t="s">
        <v>4</v>
      </c>
      <c r="C12" s="7">
        <f>RTD("wdf.rtq",,A12,"LastPrice")</f>
        <v>2.71</v>
      </c>
      <c r="D12" s="7">
        <f>C12*[1]!s_share_issuing(A12,"",100000000)*RTD("wdf.rtq",,"HKDCNY.EX","LastPrice")</f>
        <v>35.145630400344004</v>
      </c>
      <c r="E12" s="7">
        <f>[1]!hks_stm_bs(A12,"9","2023-12-31",1,"Cur=CNY",100000000)</f>
        <v>40.748649999999998</v>
      </c>
      <c r="F12" s="7">
        <f>[1]!hks_stm_is(A12,"61","2021-12-31",1,"Cur=CNY",100000000)</f>
        <v>23.084579999999999</v>
      </c>
      <c r="G12" s="7">
        <f>[1]!hks_stm_is(A12,"61","2022-12-31",1,"Cur=CNY",100000000)</f>
        <v>18.39601</v>
      </c>
      <c r="H12" s="7">
        <f>[1]!hks_stm_is(A12,"61","2023-12-31",1,"Cur=CNY",100000000)</f>
        <v>4.6087499999999997</v>
      </c>
      <c r="I12" s="8">
        <v>11</v>
      </c>
      <c r="J12" s="8">
        <v>11.9</v>
      </c>
      <c r="K12" s="9">
        <f t="shared" si="3"/>
        <v>-0.55318207581632983</v>
      </c>
      <c r="L12" s="9">
        <f>(J12/H12)^0.5-1</f>
        <v>0.606874302194784</v>
      </c>
      <c r="M12" s="10">
        <f t="shared" si="4"/>
        <v>7.6258487443111482</v>
      </c>
      <c r="N12" s="10">
        <f>$D12/I12</f>
        <v>3.1950573091221823</v>
      </c>
      <c r="O12" s="10">
        <f>$D12/J12</f>
        <v>2.9534143193566389</v>
      </c>
      <c r="P12" s="53" t="s">
        <v>46</v>
      </c>
      <c r="Q12" s="54"/>
      <c r="R12" s="55"/>
      <c r="S12" s="25">
        <f>[1]!hks_val_pb(A12,"",2022)</f>
        <v>0.27578440484954131</v>
      </c>
    </row>
    <row r="13" spans="1:23" x14ac:dyDescent="0.2">
      <c r="G13" s="1"/>
      <c r="H13" s="1"/>
    </row>
    <row r="14" spans="1:23" x14ac:dyDescent="0.2">
      <c r="A14" s="11" t="s">
        <v>12</v>
      </c>
      <c r="B14" s="11" t="s">
        <v>11</v>
      </c>
      <c r="C14" s="11" t="s">
        <v>22</v>
      </c>
      <c r="D14" s="11" t="s">
        <v>31</v>
      </c>
      <c r="E14" s="11" t="s">
        <v>110</v>
      </c>
      <c r="F14" s="11" t="s">
        <v>33</v>
      </c>
      <c r="G14" s="11" t="s">
        <v>111</v>
      </c>
      <c r="H14" s="4" t="s">
        <v>106</v>
      </c>
      <c r="I14" s="4" t="s">
        <v>108</v>
      </c>
      <c r="J14" s="11" t="s">
        <v>112</v>
      </c>
      <c r="K14" s="11" t="s">
        <v>113</v>
      </c>
      <c r="L14" s="11" t="s">
        <v>114</v>
      </c>
      <c r="M14" s="11" t="s">
        <v>26</v>
      </c>
      <c r="N14" s="11" t="s">
        <v>32</v>
      </c>
      <c r="O14" s="11" t="s">
        <v>115</v>
      </c>
      <c r="P14" s="11" t="s">
        <v>34</v>
      </c>
      <c r="Q14" s="11" t="s">
        <v>116</v>
      </c>
      <c r="R14" s="11" t="s">
        <v>121</v>
      </c>
      <c r="S14" s="11" t="s">
        <v>122</v>
      </c>
      <c r="T14" s="11" t="s">
        <v>123</v>
      </c>
      <c r="U14" s="11" t="s">
        <v>117</v>
      </c>
      <c r="V14" s="11" t="s">
        <v>118</v>
      </c>
      <c r="W14" s="11" t="s">
        <v>119</v>
      </c>
    </row>
    <row r="15" spans="1:23" x14ac:dyDescent="0.2">
      <c r="A15" s="6" t="str">
        <f>[1]!to_windcode(B15)</f>
        <v>2669.HK</v>
      </c>
      <c r="B15" s="6" t="s">
        <v>8</v>
      </c>
      <c r="C15" s="8">
        <f>[1]!hks_stm_is(A15,"83","2021/12/31",1,"Cur=CNY",100000000)</f>
        <v>77.198078160000009</v>
      </c>
      <c r="D15" s="8">
        <f>[1]!hks_stm_is(A15,"83","2022/12/31",1,"Cur=CNY",100000000)</f>
        <v>113.34674445360001</v>
      </c>
      <c r="E15" s="8">
        <f>[1]!hks_stm_is(A15,"83","2023/12/31",1,"Cur=CNY",100000000)</f>
        <v>130.74764999999999</v>
      </c>
      <c r="F15" s="8">
        <v>159</v>
      </c>
      <c r="G15" s="8">
        <v>188</v>
      </c>
      <c r="H15" s="9">
        <f t="shared" ref="H15:H24" si="11">(E15/C15)^0.5-1</f>
        <v>0.30140868750798444</v>
      </c>
      <c r="I15" s="9">
        <f t="shared" ref="I15:I23" si="12">(G15/E15)^0.5-1</f>
        <v>0.19911815599311611</v>
      </c>
      <c r="J15" s="12">
        <f>[1]!hks_fa_grossprofitmargin($A15,"2021-12-31")</f>
        <v>17.386199999999999</v>
      </c>
      <c r="K15" s="12">
        <f>[1]!hks_fa_grossprofitmargin($A15,"2022-12-31")</f>
        <v>15.9224</v>
      </c>
      <c r="L15" s="12">
        <f>[1]!hks_fa_grossprofitmargin($A15,"2023-12-31")</f>
        <v>15.8592</v>
      </c>
      <c r="M15" s="12">
        <f>[1]!hks_fa_netprofitmargin(A15,"2021-12-31")</f>
        <v>10.4495</v>
      </c>
      <c r="N15" s="12">
        <f>[1]!hks_fa_netprofitmargin(A15,"2022-12-31")</f>
        <v>10.0929</v>
      </c>
      <c r="O15" s="12">
        <f>[1]!hks_fa_netprofitmargin(A15,"2023-12-31")</f>
        <v>10.3367</v>
      </c>
      <c r="P15" s="12">
        <f t="shared" ref="P15:Q22" si="13">I3/F15*100</f>
        <v>10.188679245283017</v>
      </c>
      <c r="Q15" s="12">
        <f t="shared" si="13"/>
        <v>10.212765957446807</v>
      </c>
      <c r="R15" s="44">
        <f>([1]!s_val_dividendyield(A15,"",2021))/100</f>
        <v>1.8987341772151896E-2</v>
      </c>
      <c r="S15" s="44">
        <f>([1]!s_val_dividendyield(A15,"",2022))/100</f>
        <v>2.5316455696202535E-2</v>
      </c>
      <c r="T15" s="44">
        <f>([1]!s_val_dividendyield(A15,"",2023))/100</f>
        <v>2.9535864978902954E-2</v>
      </c>
      <c r="U15" s="9">
        <f>[1]!hks_div_payoutratio(A15,2021)/100</f>
        <v>0.30066659219898517</v>
      </c>
      <c r="V15" s="9">
        <f>[1]!hks_div_payoutratio(A15,2022)/100</f>
        <v>0.30980206135038713</v>
      </c>
      <c r="W15" s="9">
        <f>[1]!hks_div_payoutratio(A15,2023)/100</f>
        <v>0.31333093273282819</v>
      </c>
    </row>
    <row r="16" spans="1:23" x14ac:dyDescent="0.2">
      <c r="A16" s="6" t="str">
        <f>[1]!to_windcode(B16)</f>
        <v>6049.HK</v>
      </c>
      <c r="B16" s="6" t="s">
        <v>9</v>
      </c>
      <c r="C16" s="8">
        <f>[1]!hks_stm_is(A16,"83","2021/12/31",1,"Cur=CNY",100000000)</f>
        <v>107.83913</v>
      </c>
      <c r="D16" s="8">
        <f>[1]!hks_stm_is(A16,"83","2022/12/31",1,"Cur=CNY",100000000)</f>
        <v>136.86841999999999</v>
      </c>
      <c r="E16" s="8">
        <f>[1]!hks_stm_is(A16,"83","2023/12/31",1,"Cur=CNY",100000000)</f>
        <v>150.69708</v>
      </c>
      <c r="F16" s="8">
        <v>174</v>
      </c>
      <c r="G16" s="8">
        <v>198</v>
      </c>
      <c r="H16" s="9">
        <f t="shared" si="11"/>
        <v>0.18212725601053426</v>
      </c>
      <c r="I16" s="9">
        <f t="shared" si="12"/>
        <v>0.14625218493622061</v>
      </c>
      <c r="J16" s="12">
        <f>[1]!hks_fa_grossprofitmargin($A16,"2021-12-31")</f>
        <v>18.6843</v>
      </c>
      <c r="K16" s="12">
        <f>[1]!hks_fa_grossprofitmargin($A16,"2022-12-31")</f>
        <v>18.805499999999999</v>
      </c>
      <c r="L16" s="12">
        <f>[1]!hks_fa_grossprofitmargin($A16,"2023-12-31")</f>
        <v>19.606400000000001</v>
      </c>
      <c r="M16" s="12">
        <f>[1]!hks_fa_netprofitmargin(A16,"2021-12-31")</f>
        <v>8.0757999999999992</v>
      </c>
      <c r="N16" s="12">
        <f>[1]!hks_fa_netprofitmargin(A16,"2022-12-31")</f>
        <v>8.2805999999999997</v>
      </c>
      <c r="O16" s="12">
        <f>[1]!hks_fa_netprofitmargin(A16,"2023-12-31")</f>
        <v>9.2714999999999996</v>
      </c>
      <c r="P16" s="12">
        <f t="shared" si="13"/>
        <v>9.1954022988505741</v>
      </c>
      <c r="Q16" s="12">
        <f t="shared" si="13"/>
        <v>9.2424242424242422</v>
      </c>
      <c r="R16" s="44">
        <f>([1]!s_val_dividendyield(A16,"",2021))/100</f>
        <v>1.333085501858736E-2</v>
      </c>
      <c r="S16" s="44">
        <f>([1]!s_val_dividendyield(A16,"",2022))/100</f>
        <v>2.1113382899628254E-2</v>
      </c>
      <c r="T16" s="44">
        <f>([1]!s_val_dividendyield(A16,"",2023))/100</f>
        <v>4.0733828996282535E-2</v>
      </c>
      <c r="U16" s="9">
        <f>[1]!hks_div_payoutratio(A16,2021)/100</f>
        <v>0.2005363276974689</v>
      </c>
      <c r="V16" s="9">
        <f>[1]!hks_div_payoutratio(A16,2022)/100</f>
        <v>0.25669683741972049</v>
      </c>
      <c r="W16" s="9">
        <f>[1]!hks_div_payoutratio(A16,2023)/100</f>
        <v>0.39945155939076282</v>
      </c>
    </row>
    <row r="17" spans="1:23" x14ac:dyDescent="0.2">
      <c r="A17" s="6" t="str">
        <f>[1]!to_windcode(B17)</f>
        <v>2869.HK</v>
      </c>
      <c r="B17" s="6" t="s">
        <v>10</v>
      </c>
      <c r="C17" s="8">
        <f>[1]!hks_stm_is(A17,"83","2021/12/31",1,"Cur=CNY",100000000)</f>
        <v>125.7539</v>
      </c>
      <c r="D17" s="8">
        <f>[1]!hks_stm_is(A17,"83","2022/12/31",1,"Cur=CNY",100000000)</f>
        <v>148.68468999999999</v>
      </c>
      <c r="E17" s="8">
        <f>[1]!hks_stm_is(A17,"83","2023/12/31",1,"Cur=CNY",100000000)</f>
        <v>174.10767999999999</v>
      </c>
      <c r="F17" s="8">
        <v>198</v>
      </c>
      <c r="G17" s="8">
        <v>224</v>
      </c>
      <c r="H17" s="9">
        <f t="shared" si="11"/>
        <v>0.17665252993147385</v>
      </c>
      <c r="I17" s="9">
        <f t="shared" si="12"/>
        <v>0.13426634145651506</v>
      </c>
      <c r="J17" s="12">
        <f>[1]!hks_fa_grossprofitmargin($A17,"2021-12-31")</f>
        <v>18.546099999999999</v>
      </c>
      <c r="K17" s="12">
        <f>[1]!hks_fa_grossprofitmargin($A17,"2022-12-31")</f>
        <v>16.167899999999999</v>
      </c>
      <c r="L17" s="12">
        <f>[1]!hks_fa_grossprofitmargin($A17,"2023-12-31")</f>
        <v>16.7501</v>
      </c>
      <c r="M17" s="12">
        <f>[1]!hks_fa_netprofitmargin(A17,"2021-12-31")</f>
        <v>7.0808</v>
      </c>
      <c r="N17" s="12">
        <f>[1]!hks_fa_netprofitmargin(A17,"2022-12-31")</f>
        <v>4.2466999999999997</v>
      </c>
      <c r="O17" s="12">
        <f>[1]!hks_fa_netprofitmargin(A17,"2023-12-31")</f>
        <v>4.1131000000000002</v>
      </c>
      <c r="P17" s="12">
        <f t="shared" si="13"/>
        <v>3.7070707070707067</v>
      </c>
      <c r="Q17" s="12">
        <f t="shared" si="13"/>
        <v>3.8660714285714284</v>
      </c>
      <c r="R17" s="44">
        <f>([1]!s_val_dividendyield(A17,"",2021))/100</f>
        <v>5.7471264367816098E-2</v>
      </c>
      <c r="S17" s="44">
        <f>([1]!s_val_dividendyield(A17,"",2022))/100</f>
        <v>2.8735632183908049E-2</v>
      </c>
      <c r="T17" s="44">
        <f>([1]!s_val_dividendyield(A17,"",2023))/100</f>
        <v>4.3103448275862065E-2</v>
      </c>
      <c r="U17" s="9">
        <f>[1]!hks_div_payoutratio(A17,2021)/100</f>
        <v>0.65355716891075355</v>
      </c>
      <c r="V17" s="9">
        <f>[1]!hks_div_payoutratio(A17,2022)/100</f>
        <v>0.54085435027419126</v>
      </c>
      <c r="W17" s="9">
        <f>[1]!hks_div_payoutratio(A17,2023)/100</f>
        <v>0.71517453293431321</v>
      </c>
    </row>
    <row r="18" spans="1:23" x14ac:dyDescent="0.2">
      <c r="A18" s="15" t="str">
        <f>[1]!to_windcode(B18)</f>
        <v>3316.HK</v>
      </c>
      <c r="B18" s="15" t="s">
        <v>1</v>
      </c>
      <c r="C18" s="8">
        <f>[1]!hks_stm_is(A18,"83","2021/12/31",1,"Cur=CNY",100000000)</f>
        <v>14.022169999999999</v>
      </c>
      <c r="D18" s="8">
        <f>[1]!hks_stm_is(A18,"83","2022/12/31",1,"Cur=CNY",100000000)</f>
        <v>19.857220000000002</v>
      </c>
      <c r="E18" s="8">
        <f>[1]!hks_stm_is(A18,"83","2023/12/31",1,"Cur=CNY",100000000)</f>
        <v>28.097370000000002</v>
      </c>
      <c r="F18" s="8">
        <v>36</v>
      </c>
      <c r="G18" s="8">
        <v>43.3</v>
      </c>
      <c r="H18" s="9">
        <f t="shared" si="11"/>
        <v>0.41555002323630208</v>
      </c>
      <c r="I18" s="9">
        <f t="shared" si="12"/>
        <v>0.24139820453976446</v>
      </c>
      <c r="J18" s="12">
        <f>[1]!hks_fa_grossprofitmargin($A18,"2021-12-31")</f>
        <v>32.143999999999998</v>
      </c>
      <c r="K18" s="12">
        <f>[1]!hks_fa_grossprofitmargin($A18,"2022-12-31")</f>
        <v>29.871700000000001</v>
      </c>
      <c r="L18" s="12">
        <f>[1]!hks_fa_grossprofitmargin($A18,"2023-12-31")</f>
        <v>24.771699999999999</v>
      </c>
      <c r="M18" s="12">
        <f>[1]!hks_fa_netprofitmargin(A18,"2021-12-31")</f>
        <v>23.179099999999998</v>
      </c>
      <c r="N18" s="12">
        <f>[1]!hks_fa_netprofitmargin(A18,"2022-12-31")</f>
        <v>21.099</v>
      </c>
      <c r="O18" s="12">
        <f>[1]!hks_fa_netprofitmargin(A18,"2023-12-31")</f>
        <v>17.903099999999998</v>
      </c>
      <c r="P18" s="12">
        <f t="shared" si="13"/>
        <v>16</v>
      </c>
      <c r="Q18" s="12">
        <f t="shared" si="13"/>
        <v>15.681293302540416</v>
      </c>
      <c r="R18" s="44">
        <f>([1]!s_val_dividendyield(A18,"",2021))/100</f>
        <v>5.2463054187192125E-2</v>
      </c>
      <c r="S18" s="44">
        <f>([1]!s_val_dividendyield(A18,"",2022))/100</f>
        <v>6.1637931034482757E-2</v>
      </c>
      <c r="T18" s="44">
        <f>([1]!s_val_dividendyield(A18,"",2023))/100</f>
        <v>8.4605911330049272E-2</v>
      </c>
      <c r="U18" s="9">
        <f>[1]!hks_div_payoutratio(A18,2021)/100</f>
        <v>0.61661167293605923</v>
      </c>
      <c r="V18" s="9">
        <f>[1]!hks_div_payoutratio(A18,2022)/100</f>
        <v>0.61522510989866375</v>
      </c>
      <c r="W18" s="9">
        <f>[1]!hks_div_payoutratio(A18,2023)/100</f>
        <v>0.70229187746618082</v>
      </c>
    </row>
    <row r="19" spans="1:23" x14ac:dyDescent="0.2">
      <c r="A19" s="15" t="str">
        <f>[1]!to_windcode(B19)</f>
        <v>1755.HK</v>
      </c>
      <c r="B19" s="15" t="s">
        <v>0</v>
      </c>
      <c r="C19" s="8">
        <f>[1]!hks_stm_is(A19,"83","2021/12/31",1,"Cur=CNY",100000000)</f>
        <v>43.582659999999997</v>
      </c>
      <c r="D19" s="8">
        <f>[1]!hks_stm_is(A19,"83","2022/12/31",1,"Cur=CNY",100000000)</f>
        <v>51.865740000000002</v>
      </c>
      <c r="E19" s="8">
        <f>[1]!hks_stm_is(A19,"83","2023/12/31",1,"Cur=CNY",100000000)</f>
        <v>54.332070000000002</v>
      </c>
      <c r="F19" s="8">
        <v>58.7</v>
      </c>
      <c r="G19" s="8">
        <v>63.4</v>
      </c>
      <c r="H19" s="9">
        <f t="shared" si="11"/>
        <v>0.11653221758124821</v>
      </c>
      <c r="I19" s="9">
        <f t="shared" si="12"/>
        <v>8.0230668801491323E-2</v>
      </c>
      <c r="J19" s="12">
        <f>[1]!hks_fa_grossprofitmargin($A19,"2021-12-31")</f>
        <v>30.835000000000001</v>
      </c>
      <c r="K19" s="12">
        <f>[1]!hks_fa_grossprofitmargin($A19,"2022-12-31")</f>
        <v>25.835000000000001</v>
      </c>
      <c r="L19" s="12">
        <f>[1]!hks_fa_grossprofitmargin($A19,"2023-12-31")</f>
        <v>26.519200000000001</v>
      </c>
      <c r="M19" s="12">
        <f>[1]!hks_fa_netprofitmargin(A19,"2021-12-31")</f>
        <v>12.82</v>
      </c>
      <c r="N19" s="12">
        <f>[1]!hks_fa_netprofitmargin(A19,"2022-12-31")</f>
        <v>9.1533999999999995</v>
      </c>
      <c r="O19" s="12">
        <f>[1]!hks_fa_netprofitmargin(A19,"2023-12-31")</f>
        <v>9.3473000000000006</v>
      </c>
      <c r="P19" s="12">
        <f t="shared" si="13"/>
        <v>8.5349233390119235</v>
      </c>
      <c r="Q19" s="12">
        <f t="shared" si="13"/>
        <v>8.6277602523659311</v>
      </c>
      <c r="R19" s="44">
        <f>([1]!s_val_dividendyield(A19,"",2021))/100</f>
        <v>6.3743859649122811E-2</v>
      </c>
      <c r="S19" s="44">
        <f>([1]!s_val_dividendyield(A19,"",2022))/100</f>
        <v>6.1045614035087715E-2</v>
      </c>
      <c r="T19" s="44">
        <f>([1]!s_val_dividendyield(A19,"",2023))/100</f>
        <v>7.8968421052631577E-2</v>
      </c>
      <c r="U19" s="9">
        <f>[1]!hks_div_payoutratio(A19,2021)/100</f>
        <v>0.25741328642956907</v>
      </c>
      <c r="V19" s="9">
        <f>[1]!hks_div_payoutratio(A19,2022)/100</f>
        <v>0.32957043657349411</v>
      </c>
      <c r="W19" s="9">
        <f>[1]!hks_div_payoutratio(A19,2023)/100</f>
        <v>0.40225436082125188</v>
      </c>
    </row>
    <row r="20" spans="1:23" x14ac:dyDescent="0.2">
      <c r="A20" s="24" t="str">
        <f>[1]!to_windcode(B20)</f>
        <v>6098.HK</v>
      </c>
      <c r="B20" s="24" t="s">
        <v>2</v>
      </c>
      <c r="C20" s="8">
        <f>[1]!hks_stm_is(A20,"83","2021/12/31",1,"Cur=CNY",100000000)</f>
        <v>288.43011000000001</v>
      </c>
      <c r="D20" s="8">
        <f>[1]!hks_stm_is(A20,"83","2022/12/31",1,"Cur=CNY",100000000)</f>
        <v>414.15933000000001</v>
      </c>
      <c r="E20" s="8">
        <f>[1]!hks_stm_is(A20,"83","2023/12/31",1,"Cur=CNY",100000000)</f>
        <v>426.22235000000001</v>
      </c>
      <c r="F20" s="8">
        <v>451</v>
      </c>
      <c r="G20" s="8">
        <v>478</v>
      </c>
      <c r="H20" s="9">
        <f t="shared" si="11"/>
        <v>0.21561993039356664</v>
      </c>
      <c r="I20" s="9">
        <f t="shared" si="12"/>
        <v>5.8999703900677991E-2</v>
      </c>
      <c r="J20" s="12">
        <f>[1]!hks_fa_grossprofitmargin($A20,"2021-12-31")</f>
        <v>30.7319</v>
      </c>
      <c r="K20" s="12">
        <f>[1]!hks_fa_grossprofitmargin($A20,"2022-12-31")</f>
        <v>24.796500000000002</v>
      </c>
      <c r="L20" s="12">
        <f>[1]!hks_fa_grossprofitmargin($A20,"2023-12-31")</f>
        <v>20.492000000000001</v>
      </c>
      <c r="M20" s="12">
        <f>[1]!hks_fa_netprofitmargin(A20,"2021-12-31")</f>
        <v>15.079700000000001</v>
      </c>
      <c r="N20" s="12">
        <f>[1]!hks_fa_netprofitmargin(A20,"2022-12-31")</f>
        <v>5.4600999999999997</v>
      </c>
      <c r="O20" s="12">
        <f>[1]!hks_fa_netprofitmargin(A20,"2023-12-31")</f>
        <v>1.2122999999999999</v>
      </c>
      <c r="P20" s="12">
        <f t="shared" si="13"/>
        <v>3.7915742793791578</v>
      </c>
      <c r="Q20" s="12">
        <f t="shared" si="13"/>
        <v>4.6234309623430967</v>
      </c>
      <c r="R20" s="44">
        <f>([1]!s_val_dividendyield(A20,"",2021))/100</f>
        <v>7.2747933884297525E-2</v>
      </c>
      <c r="S20" s="44">
        <f>([1]!s_val_dividendyield(A20,"",2022))/100</f>
        <v>8.4834710743801653E-2</v>
      </c>
      <c r="T20" s="44">
        <f>([1]!s_val_dividendyield(A20,"",2023))/100</f>
        <v>6.6838842975206619E-2</v>
      </c>
      <c r="U20" s="9">
        <f>[1]!hks_div_payoutratio(A20,2021)/100</f>
        <v>0.24984235912004535</v>
      </c>
      <c r="V20" s="9">
        <f>[1]!hks_div_payoutratio(A20,2022)/100</f>
        <v>0.64555918959525538</v>
      </c>
      <c r="W20" s="9">
        <f>[1]!hks_div_payoutratio(A20,2023)/100</f>
        <v>3.3694228035518048</v>
      </c>
    </row>
    <row r="21" spans="1:23" x14ac:dyDescent="0.2">
      <c r="A21" s="24" t="str">
        <f>[1]!to_windcode(B21)</f>
        <v>1516.HK</v>
      </c>
      <c r="B21" s="24" t="s">
        <v>5</v>
      </c>
      <c r="C21" s="8">
        <f>[1]!hks_stm_is(A21,"83","2021/12/31",1,"Cur=CNY",100000000)</f>
        <v>79.036739999999995</v>
      </c>
      <c r="D21" s="8">
        <f>[1]!hks_stm_is(A21,"83","2022/12/31",1,"Cur=CNY",100000000)</f>
        <v>71.261610000000005</v>
      </c>
      <c r="E21" s="8">
        <f>[1]!hks_stm_is(A21,"83","2023/12/31",1,"Cur=CNY",100000000)</f>
        <v>70.095169999999996</v>
      </c>
      <c r="F21" s="8">
        <v>76.099999999999994</v>
      </c>
      <c r="G21" s="8">
        <v>83.2</v>
      </c>
      <c r="H21" s="9">
        <f t="shared" si="11"/>
        <v>-5.8263209237652935E-2</v>
      </c>
      <c r="I21" s="9">
        <f t="shared" si="12"/>
        <v>8.9475871614331126E-2</v>
      </c>
      <c r="J21" s="12">
        <f>[1]!hks_fa_grossprofitmargin($A21,"2021-12-31")</f>
        <v>31.5166</v>
      </c>
      <c r="K21" s="12">
        <f>[1]!hks_fa_grossprofitmargin($A21,"2022-12-31")</f>
        <v>22.514800000000001</v>
      </c>
      <c r="L21" s="12">
        <f>[1]!hks_fa_grossprofitmargin($A21,"2023-12-31")</f>
        <v>23.7942</v>
      </c>
      <c r="M21" s="12">
        <f>[1]!hks_fa_netprofitmargin(A21,"2021-12-31")</f>
        <v>17.188099999999999</v>
      </c>
      <c r="N21" s="12">
        <f>[1]!hks_fa_netprofitmargin(A21,"2022-12-31")</f>
        <v>-6.4886999999999997</v>
      </c>
      <c r="O21" s="12">
        <f>[1]!hks_fa_netprofitmargin(A21,"2023-12-31")</f>
        <v>-5.6093000000000002</v>
      </c>
      <c r="P21" s="12">
        <f t="shared" si="13"/>
        <v>8.3048620236530901</v>
      </c>
      <c r="Q21" s="12">
        <f t="shared" si="13"/>
        <v>8.7139423076923066</v>
      </c>
      <c r="R21" s="44">
        <f>([1]!s_val_dividendyield(A21,"",2021))/100</f>
        <v>8.4393063583815028E-2</v>
      </c>
      <c r="S21" s="44">
        <f>([1]!s_val_dividendyield(A21,"",2022))/100</f>
        <v>8.7861271676300576E-2</v>
      </c>
      <c r="T21" s="44">
        <f>([1]!s_val_dividendyield(A21,"",2023))/100</f>
        <v>0.22658959537572254</v>
      </c>
      <c r="U21" s="9">
        <f>[1]!hks_div_payoutratio(A21,2021)/100</f>
        <v>0.29926930177744554</v>
      </c>
      <c r="V21" s="9">
        <f>[1]!hks_div_payoutratio(A21,2022)/100</f>
        <v>-0.87339284435823061</v>
      </c>
      <c r="W21" s="9">
        <v>-2.5190000000000001</v>
      </c>
    </row>
    <row r="22" spans="1:23" x14ac:dyDescent="0.2">
      <c r="A22" s="24" t="str">
        <f>[1]!to_windcode(B22)</f>
        <v>9666.HK</v>
      </c>
      <c r="B22" s="24" t="s">
        <v>3</v>
      </c>
      <c r="C22" s="8">
        <f>[1]!hks_stm_is(A22,"83","2021/12/31",1,"Cur=CNY",100000000)</f>
        <v>59.684480000000001</v>
      </c>
      <c r="D22" s="8">
        <f>[1]!hks_stm_is(A22,"83","2022/12/31",1,"Cur=CNY",100000000)</f>
        <v>50.052759999999999</v>
      </c>
      <c r="E22" s="8">
        <f>[1]!hks_stm_is(A22,"83","2023/12/31",1,"Cur=CNY",100000000)</f>
        <v>49.806870000000004</v>
      </c>
      <c r="F22" s="8">
        <v>53.1</v>
      </c>
      <c r="G22" s="8">
        <v>56.9</v>
      </c>
      <c r="H22" s="9">
        <f t="shared" si="11"/>
        <v>-8.6488712473387075E-2</v>
      </c>
      <c r="I22" s="9">
        <f t="shared" si="12"/>
        <v>6.8837070479053519E-2</v>
      </c>
      <c r="J22" s="12">
        <f>[1]!hks_fa_grossprofitmargin($A22,"2021-12-31")</f>
        <v>30.936599999999999</v>
      </c>
      <c r="K22" s="12">
        <f>[1]!hks_fa_grossprofitmargin($A22,"2022-12-31")</f>
        <v>18.844999999999999</v>
      </c>
      <c r="L22" s="12">
        <f>[1]!hks_fa_grossprofitmargin($A22,"2023-12-31")</f>
        <v>18.639099999999999</v>
      </c>
      <c r="M22" s="12">
        <f>[1]!hks_fa_netprofitmargin(A22,"2021-12-31")</f>
        <v>18.042000000000002</v>
      </c>
      <c r="N22" s="12">
        <f>[1]!hks_fa_netprofitmargin(A22,"2022-12-31")</f>
        <v>-36.759900000000002</v>
      </c>
      <c r="O22" s="12">
        <f>[1]!hks_fa_netprofitmargin(A22,"2023-12-31")</f>
        <v>-19.709299999999999</v>
      </c>
      <c r="P22" s="12">
        <f t="shared" si="13"/>
        <v>7.6271186440677958</v>
      </c>
      <c r="Q22" s="12">
        <f t="shared" si="13"/>
        <v>8.2601054481546576</v>
      </c>
      <c r="R22" s="44">
        <f>([1]!s_val_dividendyield(A22,"",2021))/100</f>
        <v>0.11421763826606876</v>
      </c>
      <c r="S22" s="44">
        <f>([1]!s_val_dividendyield(A22,"",2022))/100</f>
        <v>0</v>
      </c>
      <c r="T22" s="44">
        <f>([1]!s_val_dividendyield(A22,"",2023))/100</f>
        <v>0</v>
      </c>
      <c r="U22" s="9">
        <f>[1]!hks_div_payoutratio(A22,2021)/100</f>
        <v>0.40564240184082123</v>
      </c>
      <c r="V22" s="9">
        <f>[1]!hks_div_payoutratio(A22,2022)/100</f>
        <v>0</v>
      </c>
      <c r="W22" s="9">
        <f>[1]!hks_div_payoutratio(A22,2023)/100</f>
        <v>0</v>
      </c>
    </row>
    <row r="23" spans="1:23" x14ac:dyDescent="0.2">
      <c r="A23" s="24" t="str">
        <f>[1]!to_windcode(B23)</f>
        <v>1995.HK</v>
      </c>
      <c r="B23" s="24" t="s">
        <v>120</v>
      </c>
      <c r="C23" s="8">
        <f>[1]!hks_stm_is(A23,"83","2021/12/31",1,"Cur=CNY",100000000)</f>
        <v>47.062370000000001</v>
      </c>
      <c r="D23" s="8">
        <f>[1]!hks_stm_is(A23,"83","2022/12/31",1,"Cur=CNY",100000000)</f>
        <v>62.814120000000003</v>
      </c>
      <c r="E23" s="8">
        <f>[1]!hks_stm_is(A23,"83","2023/12/31",1,"Cur=CNY",100000000)</f>
        <v>65.449529999999996</v>
      </c>
      <c r="F23" s="8">
        <v>67.599999999999994</v>
      </c>
      <c r="G23" s="8">
        <v>72.900000000000006</v>
      </c>
      <c r="H23" s="9">
        <f t="shared" si="11"/>
        <v>0.17927846840520578</v>
      </c>
      <c r="I23" s="9">
        <f t="shared" si="12"/>
        <v>5.5383981133650062E-2</v>
      </c>
      <c r="J23" s="12">
        <f>[1]!hks_fa_grossprofitmargin($A23,"2021-12-31")</f>
        <v>27.6401</v>
      </c>
      <c r="K23" s="12">
        <f>[1]!hks_fa_grossprofitmargin($A23,"2022-12-31")</f>
        <v>20.6052</v>
      </c>
      <c r="L23" s="12">
        <f>[1]!hks_fa_grossprofitmargin($A23,"2023-12-31")</f>
        <v>19.166699999999999</v>
      </c>
      <c r="M23" s="12">
        <f>[1]!hks_fa_netprofitmargin(A23,"2021-12-31")</f>
        <v>14.715299999999999</v>
      </c>
      <c r="N23" s="12">
        <f>[1]!hks_fa_netprofitmargin(A23,"2022-12-31")</f>
        <v>9.1682000000000006</v>
      </c>
      <c r="O23" s="12">
        <f>[1]!hks_fa_netprofitmargin(A23,"2023-12-31")</f>
        <v>8.0974000000000004</v>
      </c>
      <c r="P23" s="12" t="s">
        <v>29</v>
      </c>
      <c r="Q23" s="12" t="s">
        <v>29</v>
      </c>
      <c r="R23" s="44">
        <f>([1]!s_val_dividendyield(A23,"",2021))/100</f>
        <v>8.3806451612903204E-2</v>
      </c>
      <c r="S23" s="44">
        <f>([1]!s_val_dividendyield(A23,"",2022))/100</f>
        <v>7.948387096774194E-2</v>
      </c>
      <c r="T23" s="44">
        <f>([1]!s_val_dividendyield(A23,"",2023))/100</f>
        <v>8.7999999999999995E-2</v>
      </c>
      <c r="U23" s="9">
        <f>[1]!hks_div_payoutratio(A23,2021)/100</f>
        <v>0.31410432548183354</v>
      </c>
      <c r="V23" s="9">
        <f>[1]!hks_div_payoutratio(A23,2022)/100</f>
        <v>0.40164429003676233</v>
      </c>
      <c r="W23" s="9">
        <f>[1]!hks_div_payoutratio(A23,2023)/100</f>
        <v>0.50069516552670823</v>
      </c>
    </row>
    <row r="24" spans="1:23" x14ac:dyDescent="0.2">
      <c r="A24" s="24" t="str">
        <f>[1]!to_windcode(B24)</f>
        <v>3319.HK</v>
      </c>
      <c r="B24" s="24" t="s">
        <v>4</v>
      </c>
      <c r="C24" s="8">
        <f>[1]!hks_stm_is(A24,"83","2021/12/31",1,"Cur=CNY",100000000)</f>
        <v>140.87425999999999</v>
      </c>
      <c r="D24" s="8">
        <f>[1]!hks_stm_is(A24,"83","2022/12/31",1,"Cur=CNY",100000000)</f>
        <v>153.84079</v>
      </c>
      <c r="E24" s="8">
        <f>[1]!hks_stm_is(A24,"83","2023/12/31",1,"Cur=CNY",100000000)</f>
        <v>154.48527999999999</v>
      </c>
      <c r="F24" s="8">
        <v>166</v>
      </c>
      <c r="G24" s="8">
        <v>177</v>
      </c>
      <c r="H24" s="9">
        <f t="shared" si="11"/>
        <v>4.7195405958571968E-2</v>
      </c>
      <c r="I24" s="9">
        <f>(G24/E24)^0.5-1</f>
        <v>7.0392558108532732E-2</v>
      </c>
      <c r="J24" s="12">
        <f>[1]!hks_fa_grossprofitmargin($A24,"2021-12-31")</f>
        <v>27.476700000000001</v>
      </c>
      <c r="K24" s="12">
        <f>[1]!hks_fa_grossprofitmargin($A24,"2022-12-31")</f>
        <v>22.0045</v>
      </c>
      <c r="L24" s="12">
        <f>[1]!hks_fa_grossprofitmargin($A24,"2023-12-31")</f>
        <v>17.130600000000001</v>
      </c>
      <c r="M24" s="12">
        <f>[1]!hks_fa_netprofitmargin(A24,"2021-12-31")</f>
        <v>18.2118</v>
      </c>
      <c r="N24" s="12">
        <f>[1]!hks_fa_netprofitmargin(A24,"2022-12-31")</f>
        <v>12.577500000000001</v>
      </c>
      <c r="O24" s="12">
        <f>[1]!hks_fa_netprofitmargin(A24,"2023-12-31")</f>
        <v>4.5229999999999997</v>
      </c>
      <c r="P24" s="12">
        <f>I12/F24*100</f>
        <v>6.6265060240963862</v>
      </c>
      <c r="Q24" s="12">
        <f>J12/G24*100</f>
        <v>6.7231638418079092</v>
      </c>
      <c r="R24" s="44">
        <f>([1]!s_val_dividendyield(A24,"",2021))/100</f>
        <v>0.17657675276752766</v>
      </c>
      <c r="S24" s="44">
        <f>([1]!s_val_dividendyield(A24,"",2022))/100</f>
        <v>0</v>
      </c>
      <c r="T24" s="44">
        <f>([1]!s_val_dividendyield(A24,"",2023))/100</f>
        <v>3.4451291512915129E-2</v>
      </c>
      <c r="U24" s="9">
        <f>[1]!hks_div_payoutratio(A24,2021)/100</f>
        <v>0.25067745712722767</v>
      </c>
      <c r="V24" s="9">
        <f>[1]!hks_div_payoutratio(A24,2022)/100</f>
        <v>0</v>
      </c>
      <c r="W24" s="9">
        <f>[1]!hks_div_payoutratio(A24,2023)/100</f>
        <v>0.2617768846931961</v>
      </c>
    </row>
    <row r="26" spans="1:23" x14ac:dyDescent="0.2">
      <c r="A26" s="4" t="s">
        <v>12</v>
      </c>
      <c r="B26" s="4" t="s">
        <v>11</v>
      </c>
      <c r="C26" s="4" t="s">
        <v>35</v>
      </c>
      <c r="D26" s="4" t="s">
        <v>25</v>
      </c>
      <c r="E26" s="4" t="s">
        <v>37</v>
      </c>
      <c r="F26" s="4" t="s">
        <v>124</v>
      </c>
      <c r="G26" s="4" t="s">
        <v>106</v>
      </c>
      <c r="H26" s="4" t="s">
        <v>23</v>
      </c>
      <c r="I26" s="4" t="s">
        <v>24</v>
      </c>
      <c r="J26" s="4" t="s">
        <v>39</v>
      </c>
      <c r="K26" s="4" t="s">
        <v>125</v>
      </c>
      <c r="L26" s="4" t="s">
        <v>106</v>
      </c>
      <c r="M26" s="11" t="s">
        <v>28</v>
      </c>
      <c r="N26" s="11" t="s">
        <v>27</v>
      </c>
      <c r="O26" s="11" t="s">
        <v>42</v>
      </c>
      <c r="P26" s="11" t="s">
        <v>126</v>
      </c>
    </row>
    <row r="27" spans="1:23" x14ac:dyDescent="0.2">
      <c r="A27" s="6" t="str">
        <f>[1]!to_windcode(B27)</f>
        <v>2669.HK</v>
      </c>
      <c r="B27" s="6" t="s">
        <v>8</v>
      </c>
      <c r="C27" s="13" t="s">
        <v>36</v>
      </c>
      <c r="D27" s="13" t="s">
        <v>36</v>
      </c>
      <c r="E27" s="13" t="s">
        <v>29</v>
      </c>
      <c r="F27" s="13" t="s">
        <v>29</v>
      </c>
      <c r="G27" s="9" t="s">
        <v>29</v>
      </c>
      <c r="H27" s="13">
        <v>1.871</v>
      </c>
      <c r="I27" s="13">
        <v>2.6</v>
      </c>
      <c r="J27" s="13">
        <v>3.2030000000000003</v>
      </c>
      <c r="K27" s="13">
        <v>4.0149999999999997</v>
      </c>
      <c r="L27" s="9">
        <f>K27/J27-1</f>
        <v>0.25351233218857305</v>
      </c>
      <c r="M27" s="14" t="s">
        <v>29</v>
      </c>
      <c r="N27" s="14" t="s">
        <v>36</v>
      </c>
      <c r="O27" s="13" t="s">
        <v>29</v>
      </c>
      <c r="P27" s="13" t="s">
        <v>29</v>
      </c>
    </row>
    <row r="28" spans="1:23" x14ac:dyDescent="0.2">
      <c r="A28" s="6" t="str">
        <f>[1]!to_windcode(B28)</f>
        <v>6049.HK</v>
      </c>
      <c r="B28" s="6" t="s">
        <v>9</v>
      </c>
      <c r="C28" s="13">
        <v>5.6719999999999997</v>
      </c>
      <c r="D28" s="13">
        <v>6.5629999999999997</v>
      </c>
      <c r="E28" s="13">
        <v>7.7160000000000002</v>
      </c>
      <c r="F28" s="13">
        <v>9.2219999999999995</v>
      </c>
      <c r="G28" s="9">
        <f>(F28/D28)^0.5-1</f>
        <v>0.18539026645368528</v>
      </c>
      <c r="H28" s="13">
        <v>3.8010000000000002</v>
      </c>
      <c r="I28" s="13">
        <v>4.6529999999999996</v>
      </c>
      <c r="J28" s="13">
        <v>5.7610000000000001</v>
      </c>
      <c r="K28" s="13">
        <v>7.1959999999999997</v>
      </c>
      <c r="L28" s="9">
        <f t="shared" ref="L28:L36" si="14">(K28/I28)^0.5-1</f>
        <v>0.24359524001871535</v>
      </c>
      <c r="M28" s="13">
        <f>C28/H28</f>
        <v>1.4922388845040777</v>
      </c>
      <c r="N28" s="13">
        <f t="shared" ref="N28:N36" si="15">D28/I28</f>
        <v>1.4104878572963679</v>
      </c>
      <c r="O28" s="13">
        <f t="shared" ref="O28:O36" si="16">E28/J28</f>
        <v>1.3393508071515361</v>
      </c>
      <c r="P28" s="13">
        <f t="shared" ref="P28:P36" si="17">F28/K28</f>
        <v>1.281545302946081</v>
      </c>
    </row>
    <row r="29" spans="1:23" x14ac:dyDescent="0.2">
      <c r="A29" s="6" t="str">
        <f>[1]!to_windcode(B29)</f>
        <v>2869.HK</v>
      </c>
      <c r="B29" s="6" t="s">
        <v>10</v>
      </c>
      <c r="C29" s="13">
        <v>5.3479999999999999</v>
      </c>
      <c r="D29" s="13">
        <v>6.5179999999999998</v>
      </c>
      <c r="E29" s="13">
        <v>7.6310000000000002</v>
      </c>
      <c r="F29" s="13">
        <v>8.1999999999999993</v>
      </c>
      <c r="G29" s="9">
        <f t="shared" ref="G29:G36" si="18">(F29/D29)^0.5-1</f>
        <v>0.12163033927447575</v>
      </c>
      <c r="H29" s="13">
        <v>2.5049999999999999</v>
      </c>
      <c r="I29" s="13">
        <v>3.0410000000000004</v>
      </c>
      <c r="J29" s="13">
        <v>3.8410000000000002</v>
      </c>
      <c r="K29" s="13">
        <v>4.484</v>
      </c>
      <c r="L29" s="9">
        <f t="shared" si="14"/>
        <v>0.2142960768212554</v>
      </c>
      <c r="M29" s="13">
        <f t="shared" ref="M29:M36" si="19">C29/H29</f>
        <v>2.1349301397205589</v>
      </c>
      <c r="N29" s="13">
        <f t="shared" si="15"/>
        <v>2.1433738901677075</v>
      </c>
      <c r="O29" s="13">
        <f t="shared" si="16"/>
        <v>1.9867222077583961</v>
      </c>
      <c r="P29" s="13">
        <f t="shared" si="17"/>
        <v>1.8287243532560213</v>
      </c>
    </row>
    <row r="30" spans="1:23" x14ac:dyDescent="0.2">
      <c r="A30" s="15" t="str">
        <f>[1]!to_windcode(B30)</f>
        <v>3316.HK</v>
      </c>
      <c r="B30" s="15" t="s">
        <v>1</v>
      </c>
      <c r="C30" s="13">
        <v>0.35488000000000003</v>
      </c>
      <c r="D30" s="13">
        <v>0.49782999999999999</v>
      </c>
      <c r="E30" s="13">
        <v>0.69099999999999995</v>
      </c>
      <c r="F30" s="13">
        <v>0.82199999999999995</v>
      </c>
      <c r="G30" s="9">
        <f t="shared" si="18"/>
        <v>0.28497706621692398</v>
      </c>
      <c r="H30" s="13">
        <v>0.19955000000000001</v>
      </c>
      <c r="I30" s="13">
        <v>0.29948000000000002</v>
      </c>
      <c r="J30" s="13">
        <v>0.42</v>
      </c>
      <c r="K30" s="13">
        <v>0.54800000000000004</v>
      </c>
      <c r="L30" s="9">
        <f t="shared" si="14"/>
        <v>0.35271519047309563</v>
      </c>
      <c r="M30" s="13">
        <f t="shared" si="19"/>
        <v>1.7784014031571036</v>
      </c>
      <c r="N30" s="13">
        <f t="shared" si="15"/>
        <v>1.6623146787765459</v>
      </c>
      <c r="O30" s="13">
        <f t="shared" si="16"/>
        <v>1.6452380952380952</v>
      </c>
      <c r="P30" s="13">
        <f t="shared" si="17"/>
        <v>1.4999999999999998</v>
      </c>
    </row>
    <row r="31" spans="1:23" x14ac:dyDescent="0.2">
      <c r="A31" s="15" t="str">
        <f>[1]!to_windcode(B31)</f>
        <v>1755.HK</v>
      </c>
      <c r="B31" s="15" t="s">
        <v>0</v>
      </c>
      <c r="C31" s="13">
        <v>2.03138</v>
      </c>
      <c r="D31" s="13">
        <v>2.7884599999999997</v>
      </c>
      <c r="E31" s="13">
        <v>3.1269999999999998</v>
      </c>
      <c r="F31" s="13" t="s">
        <v>29</v>
      </c>
      <c r="G31" s="9" t="s">
        <v>29</v>
      </c>
      <c r="H31" s="13">
        <v>1.0141500000000001</v>
      </c>
      <c r="I31" s="13">
        <v>1.53531</v>
      </c>
      <c r="J31" s="13">
        <v>1.9830000000000001</v>
      </c>
      <c r="K31" s="13">
        <v>2.2370000000000001</v>
      </c>
      <c r="L31" s="9">
        <f t="shared" si="14"/>
        <v>0.2070769385817921</v>
      </c>
      <c r="M31" s="13">
        <f t="shared" si="19"/>
        <v>2.0030370260809542</v>
      </c>
      <c r="N31" s="13">
        <f t="shared" si="15"/>
        <v>1.8162195256983931</v>
      </c>
      <c r="O31" s="13">
        <f t="shared" si="16"/>
        <v>1.5769036812909731</v>
      </c>
      <c r="P31" s="13" t="s">
        <v>29</v>
      </c>
    </row>
    <row r="32" spans="1:23" x14ac:dyDescent="0.2">
      <c r="A32" s="24" t="str">
        <f>[1]!to_windcode(B32)</f>
        <v>6098.HK</v>
      </c>
      <c r="B32" s="24" t="s">
        <v>2</v>
      </c>
      <c r="C32" s="13">
        <v>8.2050000000000001</v>
      </c>
      <c r="D32" s="13">
        <v>14.379</v>
      </c>
      <c r="E32" s="13">
        <v>16.019000000000002</v>
      </c>
      <c r="F32" s="13">
        <v>16.329999999999998</v>
      </c>
      <c r="G32" s="9">
        <f t="shared" si="18"/>
        <v>6.5684748688455086E-2</v>
      </c>
      <c r="H32" s="13">
        <v>3.7730000000000001</v>
      </c>
      <c r="I32" s="13">
        <v>7.657</v>
      </c>
      <c r="J32" s="13">
        <v>8.6910000000000007</v>
      </c>
      <c r="K32" s="13">
        <v>9.5690000000000008</v>
      </c>
      <c r="L32" s="9">
        <f t="shared" si="14"/>
        <v>0.11790256786276543</v>
      </c>
      <c r="M32" s="13">
        <f t="shared" si="19"/>
        <v>2.1746620726212562</v>
      </c>
      <c r="N32" s="13">
        <f t="shared" si="15"/>
        <v>1.8778895128640458</v>
      </c>
      <c r="O32" s="13">
        <f t="shared" si="16"/>
        <v>1.8431710965366472</v>
      </c>
      <c r="P32" s="13">
        <f t="shared" si="17"/>
        <v>1.706552408820148</v>
      </c>
    </row>
    <row r="33" spans="1:20" x14ac:dyDescent="0.2">
      <c r="A33" s="24" t="str">
        <f>[1]!to_windcode(B33)</f>
        <v>1516.HK</v>
      </c>
      <c r="B33" s="24" t="s">
        <v>5</v>
      </c>
      <c r="C33" s="13">
        <v>2.64</v>
      </c>
      <c r="D33" s="13">
        <v>3.58</v>
      </c>
      <c r="E33" s="13">
        <v>3.93</v>
      </c>
      <c r="F33" s="13">
        <v>3.74</v>
      </c>
      <c r="G33" s="9">
        <f t="shared" si="18"/>
        <v>2.2102116928718329E-2</v>
      </c>
      <c r="H33" s="13">
        <v>1.35</v>
      </c>
      <c r="I33" s="13">
        <v>2.15</v>
      </c>
      <c r="J33" s="13">
        <v>2.44</v>
      </c>
      <c r="K33" s="13">
        <v>2.73</v>
      </c>
      <c r="L33" s="9">
        <f t="shared" si="14"/>
        <v>0.12683958124502581</v>
      </c>
      <c r="M33" s="13">
        <f t="shared" si="19"/>
        <v>1.9555555555555555</v>
      </c>
      <c r="N33" s="13">
        <f t="shared" si="15"/>
        <v>1.6651162790697676</v>
      </c>
      <c r="O33" s="13">
        <f t="shared" si="16"/>
        <v>1.6106557377049182</v>
      </c>
      <c r="P33" s="13">
        <f t="shared" si="17"/>
        <v>1.36996336996337</v>
      </c>
    </row>
    <row r="34" spans="1:20" x14ac:dyDescent="0.2">
      <c r="A34" s="24" t="str">
        <f>[1]!to_windcode(B34)</f>
        <v>9666.HK</v>
      </c>
      <c r="B34" s="24" t="s">
        <v>3</v>
      </c>
      <c r="C34" s="13">
        <v>2.77</v>
      </c>
      <c r="D34" s="13">
        <v>3.5979999999999999</v>
      </c>
      <c r="E34" s="13">
        <v>3.59822</v>
      </c>
      <c r="F34" s="13">
        <v>3.5089999999999999</v>
      </c>
      <c r="G34" s="9">
        <f t="shared" si="18"/>
        <v>-1.2445426533136072E-2</v>
      </c>
      <c r="H34" s="13">
        <v>1.5620000000000001</v>
      </c>
      <c r="I34" s="13">
        <v>2.379</v>
      </c>
      <c r="J34" s="13">
        <v>2.5449999999999999</v>
      </c>
      <c r="K34" s="13">
        <v>2.6760000000000002</v>
      </c>
      <c r="L34" s="9">
        <f t="shared" si="14"/>
        <v>6.0585862032871862E-2</v>
      </c>
      <c r="M34" s="13">
        <f t="shared" si="19"/>
        <v>1.7733674775928296</v>
      </c>
      <c r="N34" s="13">
        <f t="shared" si="15"/>
        <v>1.5124001681378729</v>
      </c>
      <c r="O34" s="13">
        <f t="shared" si="16"/>
        <v>1.4138388998035363</v>
      </c>
      <c r="P34" s="13">
        <f t="shared" si="17"/>
        <v>1.311285500747384</v>
      </c>
    </row>
    <row r="35" spans="1:20" x14ac:dyDescent="0.2">
      <c r="A35" s="24" t="str">
        <f>[1]!to_windcode(B35)</f>
        <v>1995.HK</v>
      </c>
      <c r="B35" s="24" t="s">
        <v>120</v>
      </c>
      <c r="C35" s="13">
        <v>1.8120000000000001</v>
      </c>
      <c r="D35" s="13">
        <v>2.7080000000000002</v>
      </c>
      <c r="E35" s="13">
        <v>3.0339999999999998</v>
      </c>
      <c r="F35" s="13">
        <v>3.0830000000000002</v>
      </c>
      <c r="G35" s="9">
        <f t="shared" si="18"/>
        <v>6.699511806723879E-2</v>
      </c>
      <c r="H35" s="13">
        <v>1.016</v>
      </c>
      <c r="I35" s="13">
        <v>1.71</v>
      </c>
      <c r="J35" s="13">
        <v>2.1</v>
      </c>
      <c r="K35" s="13">
        <v>2.214</v>
      </c>
      <c r="L35" s="9">
        <f t="shared" si="14"/>
        <v>0.13786503685861762</v>
      </c>
      <c r="M35" s="13">
        <f t="shared" si="19"/>
        <v>1.7834645669291338</v>
      </c>
      <c r="N35" s="13">
        <f t="shared" si="15"/>
        <v>1.5836257309941522</v>
      </c>
      <c r="O35" s="13">
        <f t="shared" si="16"/>
        <v>1.4447619047619047</v>
      </c>
      <c r="P35" s="13">
        <f t="shared" si="17"/>
        <v>1.392502258355917</v>
      </c>
    </row>
    <row r="36" spans="1:20" x14ac:dyDescent="0.2">
      <c r="A36" s="24" t="str">
        <f>[1]!to_windcode(B36)</f>
        <v>3319.HK</v>
      </c>
      <c r="B36" s="24" t="s">
        <v>4</v>
      </c>
      <c r="C36" s="13">
        <v>5.226</v>
      </c>
      <c r="D36" s="13">
        <v>6.6310000000000002</v>
      </c>
      <c r="E36" s="13">
        <v>7.3150000000000004</v>
      </c>
      <c r="F36" s="13">
        <v>7.6660000000000004</v>
      </c>
      <c r="G36" s="9">
        <f t="shared" si="18"/>
        <v>7.5213957798394793E-2</v>
      </c>
      <c r="H36" s="13">
        <v>3.7480000000000002</v>
      </c>
      <c r="I36" s="13">
        <v>4.8890000000000002</v>
      </c>
      <c r="J36" s="13">
        <v>5.4579999999999993</v>
      </c>
      <c r="K36" s="13">
        <v>5.9050000000000002</v>
      </c>
      <c r="L36" s="9">
        <f t="shared" si="14"/>
        <v>9.9005668222428955E-2</v>
      </c>
      <c r="M36" s="13">
        <f t="shared" si="19"/>
        <v>1.3943436499466382</v>
      </c>
      <c r="N36" s="13">
        <f t="shared" si="15"/>
        <v>1.3563100838617304</v>
      </c>
      <c r="O36" s="13">
        <f t="shared" si="16"/>
        <v>1.3402345181385125</v>
      </c>
      <c r="P36" s="13">
        <f t="shared" si="17"/>
        <v>1.2982218458933108</v>
      </c>
    </row>
    <row r="38" spans="1:20" x14ac:dyDescent="0.2">
      <c r="A38" s="11" t="s">
        <v>12</v>
      </c>
      <c r="B38" s="11" t="s">
        <v>11</v>
      </c>
      <c r="C38" s="8" t="s">
        <v>110</v>
      </c>
      <c r="D38" s="8" t="s">
        <v>127</v>
      </c>
      <c r="E38" s="8" t="s">
        <v>96</v>
      </c>
      <c r="F38" s="8" t="s">
        <v>97</v>
      </c>
      <c r="G38" s="8" t="s">
        <v>98</v>
      </c>
      <c r="H38" s="8" t="s">
        <v>99</v>
      </c>
      <c r="I38" s="8" t="s">
        <v>103</v>
      </c>
      <c r="J38" s="8" t="s">
        <v>104</v>
      </c>
      <c r="K38" s="8" t="s">
        <v>95</v>
      </c>
      <c r="L38" s="8" t="s">
        <v>100</v>
      </c>
      <c r="M38" s="8" t="s">
        <v>101</v>
      </c>
      <c r="N38" s="8" t="s">
        <v>102</v>
      </c>
    </row>
    <row r="39" spans="1:20" x14ac:dyDescent="0.2">
      <c r="A39" s="6" t="s">
        <v>85</v>
      </c>
      <c r="B39" s="6" t="s">
        <v>8</v>
      </c>
      <c r="C39" s="8">
        <f>[1]!hks_stm_is(A39,"83","2023/12/31",1,"Cur=CNY",100000000)</f>
        <v>130.74764999999999</v>
      </c>
      <c r="D39" s="8">
        <f t="shared" ref="D39:D48" si="20">C39*L15/100</f>
        <v>20.735531308799999</v>
      </c>
      <c r="E39" s="8">
        <v>94.149069999999995</v>
      </c>
      <c r="F39" s="8">
        <v>14.077540000000001</v>
      </c>
      <c r="G39" s="8">
        <v>107.06716999999999</v>
      </c>
      <c r="H39" s="8">
        <v>17.45054</v>
      </c>
      <c r="I39" s="8">
        <f t="shared" ref="I39:I48" si="21">$D3/C39</f>
        <v>1.0873161206093818</v>
      </c>
      <c r="J39" s="8">
        <f t="shared" ref="J39:J48" si="22">$D3/D39</f>
        <v>6.8560590736568159</v>
      </c>
      <c r="K39" s="8">
        <f t="shared" ref="K39:K48" si="23">$D3/E39</f>
        <v>1.5099886549786761</v>
      </c>
      <c r="L39" s="8">
        <f t="shared" ref="L39:L48" si="24">$D3/F39</f>
        <v>10.09864135188344</v>
      </c>
      <c r="M39" s="8">
        <f t="shared" ref="M39:M48" si="25">$D3/G39</f>
        <v>1.3278022345859448</v>
      </c>
      <c r="N39" s="8">
        <f t="shared" ref="N39:N48" si="26">$D3/H39</f>
        <v>8.1466835740781214</v>
      </c>
    </row>
    <row r="40" spans="1:20" x14ac:dyDescent="0.2">
      <c r="A40" s="6" t="s">
        <v>86</v>
      </c>
      <c r="B40" s="6" t="s">
        <v>9</v>
      </c>
      <c r="C40" s="8">
        <f>[1]!hks_stm_is(A40,"83","2023/12/31",1,"Cur=CNY",100000000)</f>
        <v>150.69708</v>
      </c>
      <c r="D40" s="8">
        <f t="shared" si="20"/>
        <v>29.546272293120001</v>
      </c>
      <c r="E40" s="8">
        <v>101.52181</v>
      </c>
      <c r="F40" s="8">
        <v>14.81077</v>
      </c>
      <c r="G40" s="8">
        <v>129.68541999999999</v>
      </c>
      <c r="H40" s="8">
        <v>25.618499999999997</v>
      </c>
      <c r="I40" s="8">
        <f t="shared" si="21"/>
        <v>0.90208567442169418</v>
      </c>
      <c r="J40" s="8">
        <f t="shared" si="22"/>
        <v>4.6009755713526914</v>
      </c>
      <c r="K40" s="8">
        <f t="shared" si="23"/>
        <v>1.3390391389316245</v>
      </c>
      <c r="L40" s="8">
        <f t="shared" si="24"/>
        <v>9.1785691793998563</v>
      </c>
      <c r="M40" s="8">
        <f t="shared" si="25"/>
        <v>1.0482417919082962</v>
      </c>
      <c r="N40" s="8">
        <f t="shared" si="26"/>
        <v>5.3063870657993251</v>
      </c>
    </row>
    <row r="41" spans="1:20" x14ac:dyDescent="0.2">
      <c r="A41" s="6" t="s">
        <v>87</v>
      </c>
      <c r="B41" s="6" t="s">
        <v>10</v>
      </c>
      <c r="C41" s="8">
        <f>[1]!hks_stm_is(A41,"83","2023/12/31",1,"Cur=CNY",100000000)</f>
        <v>174.10767999999999</v>
      </c>
      <c r="D41" s="8">
        <f t="shared" si="20"/>
        <v>29.163210507679995</v>
      </c>
      <c r="E41" s="8">
        <v>111.01501</v>
      </c>
      <c r="F41" s="8">
        <v>14.431951300000001</v>
      </c>
      <c r="G41" s="8">
        <v>146.70062000000001</v>
      </c>
      <c r="H41" s="8">
        <v>22.104357450000002</v>
      </c>
      <c r="I41" s="8">
        <f t="shared" si="21"/>
        <v>0.57751411528567087</v>
      </c>
      <c r="J41" s="8">
        <f t="shared" si="22"/>
        <v>3.4478248803629286</v>
      </c>
      <c r="K41" s="8">
        <f t="shared" si="23"/>
        <v>0.90573016008952911</v>
      </c>
      <c r="L41" s="8">
        <f t="shared" si="24"/>
        <v>6.9671550776117614</v>
      </c>
      <c r="M41" s="8">
        <f t="shared" si="25"/>
        <v>0.68540707448707894</v>
      </c>
      <c r="N41" s="8">
        <f t="shared" si="26"/>
        <v>4.5488606944166419</v>
      </c>
    </row>
    <row r="42" spans="1:20" x14ac:dyDescent="0.2">
      <c r="A42" s="15" t="s">
        <v>88</v>
      </c>
      <c r="B42" s="15" t="s">
        <v>1</v>
      </c>
      <c r="C42" s="8">
        <f>[1]!hks_stm_is(A42,"83","2023/12/31",1,"Cur=CNY",100000000)</f>
        <v>28.097370000000002</v>
      </c>
      <c r="D42" s="8">
        <f t="shared" si="20"/>
        <v>6.9601962042900007</v>
      </c>
      <c r="E42" s="8">
        <v>15.498900000000001</v>
      </c>
      <c r="F42" s="8">
        <v>2.8408000000000002</v>
      </c>
      <c r="G42" s="8">
        <v>22.283730000000002</v>
      </c>
      <c r="H42" s="8">
        <v>5.0333300000000003</v>
      </c>
      <c r="I42" s="8">
        <f t="shared" si="21"/>
        <v>1.4590925815277374</v>
      </c>
      <c r="J42" s="8">
        <f t="shared" si="22"/>
        <v>5.8901592604776312</v>
      </c>
      <c r="K42" s="8">
        <f t="shared" si="23"/>
        <v>2.6451337919103941</v>
      </c>
      <c r="L42" s="8">
        <f t="shared" si="24"/>
        <v>14.431379937848494</v>
      </c>
      <c r="M42" s="8">
        <f t="shared" si="25"/>
        <v>1.8397577123506703</v>
      </c>
      <c r="N42" s="8">
        <f t="shared" si="26"/>
        <v>8.1450380021655651</v>
      </c>
    </row>
    <row r="43" spans="1:20" s="17" customFormat="1" x14ac:dyDescent="0.2">
      <c r="A43" s="15" t="s">
        <v>89</v>
      </c>
      <c r="B43" s="15" t="s">
        <v>0</v>
      </c>
      <c r="C43" s="8">
        <f>[1]!hks_stm_is(A43,"83","2023/12/31",1,"Cur=CNY",100000000)</f>
        <v>54.332070000000002</v>
      </c>
      <c r="D43" s="8">
        <f t="shared" si="20"/>
        <v>14.408430307440002</v>
      </c>
      <c r="E43" s="8">
        <v>35.55106</v>
      </c>
      <c r="F43" s="8">
        <v>8.5406300000000002</v>
      </c>
      <c r="G43" s="8">
        <v>48.694139999999997</v>
      </c>
      <c r="H43" s="8">
        <v>13.22936</v>
      </c>
      <c r="I43" s="8">
        <f t="shared" si="21"/>
        <v>0.41743151265081557</v>
      </c>
      <c r="J43" s="8">
        <f t="shared" si="22"/>
        <v>1.5740727949968911</v>
      </c>
      <c r="K43" s="8">
        <f t="shared" si="23"/>
        <v>0.63795335963400246</v>
      </c>
      <c r="L43" s="8">
        <f t="shared" si="24"/>
        <v>2.6555322225116882</v>
      </c>
      <c r="M43" s="8">
        <f t="shared" si="25"/>
        <v>0.4657627830689689</v>
      </c>
      <c r="N43" s="8">
        <f t="shared" si="26"/>
        <v>1.7143624608862409</v>
      </c>
      <c r="Q43"/>
      <c r="R43"/>
      <c r="S43"/>
      <c r="T43"/>
    </row>
    <row r="44" spans="1:20" x14ac:dyDescent="0.2">
      <c r="A44" s="24" t="s">
        <v>90</v>
      </c>
      <c r="B44" s="24" t="s">
        <v>2</v>
      </c>
      <c r="C44" s="8">
        <f>[1]!hks_stm_is(A44,"83","2023/12/31",1,"Cur=CNY",100000000)</f>
        <v>426.22235000000001</v>
      </c>
      <c r="D44" s="8">
        <f t="shared" si="20"/>
        <v>87.341483961999998</v>
      </c>
      <c r="E44" s="8">
        <v>246.98500000000001</v>
      </c>
      <c r="F44" s="8">
        <v>54.583685000000003</v>
      </c>
      <c r="G44" s="8">
        <v>284.51400000000001</v>
      </c>
      <c r="H44" s="8">
        <v>69.370111000000009</v>
      </c>
      <c r="I44" s="8">
        <f t="shared" si="21"/>
        <v>0.35100421920758307</v>
      </c>
      <c r="J44" s="8">
        <f t="shared" si="22"/>
        <v>1.7128841460452036</v>
      </c>
      <c r="K44" s="8">
        <f t="shared" si="23"/>
        <v>0.60572845788437024</v>
      </c>
      <c r="L44" s="8">
        <f t="shared" si="24"/>
        <v>2.7408527506080103</v>
      </c>
      <c r="M44" s="8">
        <f t="shared" si="25"/>
        <v>0.52582946066123704</v>
      </c>
      <c r="N44" s="8">
        <f t="shared" si="26"/>
        <v>2.1566326046468514</v>
      </c>
    </row>
    <row r="45" spans="1:20" x14ac:dyDescent="0.2">
      <c r="A45" s="24" t="s">
        <v>91</v>
      </c>
      <c r="B45" s="24" t="s">
        <v>5</v>
      </c>
      <c r="C45" s="8">
        <f>[1]!hks_stm_is(A45,"83","2023/12/31",1,"Cur=CNY",100000000)</f>
        <v>70.095169999999996</v>
      </c>
      <c r="D45" s="8">
        <f t="shared" si="20"/>
        <v>16.678584940139999</v>
      </c>
      <c r="E45" s="8">
        <v>61.586469999999998</v>
      </c>
      <c r="F45" s="8">
        <v>14.68576</v>
      </c>
      <c r="G45" s="8">
        <v>65.357410000000002</v>
      </c>
      <c r="H45" s="8">
        <v>15.175930000000001</v>
      </c>
      <c r="I45" s="8">
        <f t="shared" si="21"/>
        <v>0.68904049046403626</v>
      </c>
      <c r="J45" s="8">
        <f t="shared" si="22"/>
        <v>2.8958338185945998</v>
      </c>
      <c r="K45" s="8">
        <f t="shared" si="23"/>
        <v>0.78423735466507494</v>
      </c>
      <c r="L45" s="8">
        <f t="shared" si="24"/>
        <v>3.2887920213839799</v>
      </c>
      <c r="M45" s="8">
        <f t="shared" si="25"/>
        <v>0.73898904984086722</v>
      </c>
      <c r="N45" s="8">
        <f t="shared" si="26"/>
        <v>3.1825667564333782</v>
      </c>
    </row>
    <row r="46" spans="1:20" x14ac:dyDescent="0.2">
      <c r="A46" s="24" t="s">
        <v>92</v>
      </c>
      <c r="B46" s="24" t="s">
        <v>3</v>
      </c>
      <c r="C46" s="8">
        <f>[1]!hks_stm_is(A46,"83","2023/12/31",1,"Cur=CNY",100000000)</f>
        <v>49.806870000000004</v>
      </c>
      <c r="D46" s="8">
        <f t="shared" si="20"/>
        <v>9.2835523061700016</v>
      </c>
      <c r="E46" s="8">
        <v>39.366729999999997</v>
      </c>
      <c r="F46" s="8">
        <v>6.4246600000000003</v>
      </c>
      <c r="G46" s="8">
        <v>42.537419999999997</v>
      </c>
      <c r="H46" s="8">
        <v>8.2686600000000006</v>
      </c>
      <c r="I46" s="8">
        <f t="shared" si="21"/>
        <v>0.75329705506499411</v>
      </c>
      <c r="J46" s="8">
        <f t="shared" si="22"/>
        <v>4.0414883501080743</v>
      </c>
      <c r="K46" s="8">
        <f t="shared" si="23"/>
        <v>0.95307302620779033</v>
      </c>
      <c r="L46" s="8">
        <f t="shared" si="24"/>
        <v>5.8398994644082336</v>
      </c>
      <c r="M46" s="8">
        <f t="shared" si="25"/>
        <v>0.88203206713065829</v>
      </c>
      <c r="N46" s="8">
        <f t="shared" si="26"/>
        <v>4.5375391530193525</v>
      </c>
    </row>
    <row r="47" spans="1:20" x14ac:dyDescent="0.2">
      <c r="A47" s="24" t="s">
        <v>93</v>
      </c>
      <c r="B47" s="24" t="s">
        <v>120</v>
      </c>
      <c r="C47" s="8">
        <f>[1]!hks_stm_is(A47,"83","2023/12/31",1,"Cur=CNY",100000000)</f>
        <v>65.449529999999996</v>
      </c>
      <c r="D47" s="8">
        <f t="shared" si="20"/>
        <v>12.544515066509998</v>
      </c>
      <c r="E47" s="8">
        <v>44.631880000000002</v>
      </c>
      <c r="F47" s="8">
        <v>8.3907934400000013</v>
      </c>
      <c r="G47" s="8">
        <v>53.534700000000001</v>
      </c>
      <c r="H47" s="8">
        <v>11.177376100000002</v>
      </c>
      <c r="I47" s="8">
        <f t="shared" si="21"/>
        <v>0.37387082393257831</v>
      </c>
      <c r="J47" s="8">
        <f t="shared" si="22"/>
        <v>1.9506269933404203</v>
      </c>
      <c r="K47" s="8">
        <f t="shared" si="23"/>
        <v>0.54825541086550689</v>
      </c>
      <c r="L47" s="8">
        <f t="shared" si="24"/>
        <v>2.9162521854548236</v>
      </c>
      <c r="M47" s="8">
        <f t="shared" si="25"/>
        <v>0.4570805422856577</v>
      </c>
      <c r="N47" s="8">
        <f t="shared" si="26"/>
        <v>2.1892141311322608</v>
      </c>
    </row>
    <row r="48" spans="1:20" x14ac:dyDescent="0.2">
      <c r="A48" s="24" t="s">
        <v>94</v>
      </c>
      <c r="B48" s="24" t="s">
        <v>4</v>
      </c>
      <c r="C48" s="8">
        <f>[1]!hks_stm_is(A48,"83","2023/12/31",1,"Cur=CNY",100000000)</f>
        <v>154.48527999999999</v>
      </c>
      <c r="D48" s="8">
        <f t="shared" si="20"/>
        <v>26.464255375680001</v>
      </c>
      <c r="E48" s="8">
        <v>108.06700000000001</v>
      </c>
      <c r="F48" s="8">
        <v>17.695</v>
      </c>
      <c r="G48" s="8">
        <v>131.41200000000001</v>
      </c>
      <c r="H48" s="8">
        <v>22.693999999999999</v>
      </c>
      <c r="I48" s="8">
        <f t="shared" si="21"/>
        <v>0.22750148363872602</v>
      </c>
      <c r="J48" s="8">
        <f t="shared" si="22"/>
        <v>1.3280415375919465</v>
      </c>
      <c r="K48" s="8">
        <f t="shared" si="23"/>
        <v>0.32522074639199755</v>
      </c>
      <c r="L48" s="8">
        <f t="shared" si="24"/>
        <v>1.9861899067727609</v>
      </c>
      <c r="M48" s="8">
        <f t="shared" si="25"/>
        <v>0.26744612668815637</v>
      </c>
      <c r="N48" s="8">
        <f t="shared" si="26"/>
        <v>1.548674997811933</v>
      </c>
    </row>
  </sheetData>
  <mergeCells count="3">
    <mergeCell ref="M1:O1"/>
    <mergeCell ref="P1:R1"/>
    <mergeCell ref="P12:R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A425-A11B-4617-860F-CED25BDD8AAA}">
  <dimension ref="A1:P51"/>
  <sheetViews>
    <sheetView topLeftCell="A16" workbookViewId="0">
      <selection activeCell="C50" sqref="C50"/>
    </sheetView>
  </sheetViews>
  <sheetFormatPr defaultRowHeight="14.25" x14ac:dyDescent="0.2"/>
  <cols>
    <col min="1" max="1" width="8.5" bestFit="1" customWidth="1"/>
    <col min="2" max="2" width="13" bestFit="1" customWidth="1"/>
    <col min="3" max="3" width="9.125" bestFit="1" customWidth="1"/>
    <col min="4" max="5" width="17.25" bestFit="1" customWidth="1"/>
    <col min="6" max="7" width="31.125" bestFit="1" customWidth="1"/>
    <col min="8" max="8" width="35" style="42" bestFit="1" customWidth="1"/>
    <col min="9" max="9" width="9.25" bestFit="1" customWidth="1"/>
    <col min="10" max="10" width="9" bestFit="1" customWidth="1"/>
    <col min="11" max="11" width="7.125" style="28" bestFit="1" customWidth="1"/>
    <col min="12" max="12" width="6.875" bestFit="1" customWidth="1"/>
    <col min="13" max="13" width="8.25" bestFit="1" customWidth="1"/>
    <col min="14" max="14" width="28.75" bestFit="1" customWidth="1"/>
    <col min="15" max="15" width="30.75" bestFit="1" customWidth="1"/>
    <col min="16" max="16" width="17.25" bestFit="1" customWidth="1"/>
  </cols>
  <sheetData>
    <row r="1" spans="1:16" x14ac:dyDescent="0.2">
      <c r="A1" s="21" t="s">
        <v>12</v>
      </c>
      <c r="B1" s="21" t="s">
        <v>11</v>
      </c>
      <c r="C1" s="21" t="s">
        <v>31</v>
      </c>
      <c r="D1" s="21" t="s">
        <v>75</v>
      </c>
      <c r="E1" s="21" t="s">
        <v>84</v>
      </c>
      <c r="F1" s="21" t="s">
        <v>76</v>
      </c>
      <c r="G1" s="21" t="s">
        <v>77</v>
      </c>
      <c r="H1" s="39" t="s">
        <v>81</v>
      </c>
      <c r="I1" s="21" t="s">
        <v>73</v>
      </c>
      <c r="J1" s="21" t="s">
        <v>74</v>
      </c>
      <c r="K1" s="27" t="s">
        <v>78</v>
      </c>
      <c r="L1" s="2"/>
      <c r="P1" s="3"/>
    </row>
    <row r="2" spans="1:16" x14ac:dyDescent="0.2">
      <c r="A2" s="11" t="str">
        <f>[1]!to_windcode(B2)</f>
        <v>2669.HK</v>
      </c>
      <c r="B2" s="11" t="s">
        <v>8</v>
      </c>
      <c r="C2" s="8">
        <f>[1]!hks_stm_is(A2,"83","2022/12/31",1,"Cur=CNY",100000000)</f>
        <v>113.34674445360001</v>
      </c>
      <c r="D2" s="8">
        <v>84.404869441411194</v>
      </c>
      <c r="E2" s="8">
        <v>11.297934342913974</v>
      </c>
      <c r="F2" s="8">
        <f>I2+I4</f>
        <v>92.265625617561241</v>
      </c>
      <c r="G2" s="8">
        <f>J2+J4</f>
        <v>14.319859131995296</v>
      </c>
      <c r="H2" s="32" t="s">
        <v>48</v>
      </c>
      <c r="I2" s="8">
        <v>84.404869441411194</v>
      </c>
      <c r="J2" s="8">
        <v>11.297934342913974</v>
      </c>
      <c r="K2" s="26">
        <v>0.13400000000000001</v>
      </c>
      <c r="M2" s="30"/>
    </row>
    <row r="3" spans="1:16" x14ac:dyDescent="0.2">
      <c r="A3" s="11"/>
      <c r="B3" s="11"/>
      <c r="C3" s="8"/>
      <c r="D3" s="8"/>
      <c r="E3" s="8"/>
      <c r="F3" s="8"/>
      <c r="G3" s="8"/>
      <c r="H3" s="40" t="s">
        <v>49</v>
      </c>
      <c r="I3" s="8">
        <v>18.85688214528723</v>
      </c>
      <c r="J3" s="8">
        <v>3.0969592798536629</v>
      </c>
      <c r="K3" s="26">
        <v>0.16400000000000001</v>
      </c>
    </row>
    <row r="4" spans="1:16" x14ac:dyDescent="0.2">
      <c r="A4" s="11"/>
      <c r="B4" s="11"/>
      <c r="C4" s="8"/>
      <c r="D4" s="8"/>
      <c r="E4" s="8"/>
      <c r="F4" s="8"/>
      <c r="G4" s="8"/>
      <c r="H4" s="32" t="s">
        <v>50</v>
      </c>
      <c r="I4" s="8">
        <v>7.860756176150054</v>
      </c>
      <c r="J4" s="8">
        <v>3.0219247890813214</v>
      </c>
      <c r="K4" s="26">
        <v>0.38400000000000001</v>
      </c>
    </row>
    <row r="5" spans="1:16" x14ac:dyDescent="0.2">
      <c r="A5" s="11"/>
      <c r="B5" s="11"/>
      <c r="C5" s="8"/>
      <c r="D5" s="8"/>
      <c r="E5" s="8"/>
      <c r="F5" s="8"/>
      <c r="G5" s="8"/>
      <c r="H5" s="40" t="s">
        <v>51</v>
      </c>
      <c r="I5" s="8">
        <v>2.2242366907515492</v>
      </c>
      <c r="J5" s="8">
        <v>0.61724801337723711</v>
      </c>
      <c r="K5" s="26">
        <v>0.27751004016064251</v>
      </c>
    </row>
    <row r="6" spans="1:16" x14ac:dyDescent="0.2">
      <c r="A6" s="21" t="str">
        <f>[1]!to_windcode(B6)</f>
        <v>6049.HK</v>
      </c>
      <c r="B6" s="21" t="s">
        <v>9</v>
      </c>
      <c r="C6" s="22">
        <f>[1]!hks_stm_is(A6,"83","2022/12/31",1,"Cur=CNY",100000000)</f>
        <v>136.86841999999999</v>
      </c>
      <c r="D6" s="22">
        <v>84.28</v>
      </c>
      <c r="E6" s="22">
        <v>11.94558</v>
      </c>
      <c r="F6" s="22">
        <f>I6+I7</f>
        <v>114.92</v>
      </c>
      <c r="G6" s="22">
        <f>J6+J7</f>
        <v>21.73291</v>
      </c>
      <c r="H6" s="33" t="s">
        <v>48</v>
      </c>
      <c r="I6" s="22">
        <v>84.28</v>
      </c>
      <c r="J6" s="22">
        <v>11.94558</v>
      </c>
      <c r="K6" s="27">
        <v>0.14173682961556716</v>
      </c>
      <c r="M6" s="29"/>
    </row>
    <row r="7" spans="1:16" x14ac:dyDescent="0.2">
      <c r="A7" s="21"/>
      <c r="B7" s="21"/>
      <c r="C7" s="22"/>
      <c r="D7" s="22"/>
      <c r="E7" s="22"/>
      <c r="F7" s="22"/>
      <c r="G7" s="22"/>
      <c r="H7" s="33" t="s">
        <v>52</v>
      </c>
      <c r="I7" s="22">
        <v>30.64</v>
      </c>
      <c r="J7" s="22">
        <v>9.7873300000000008</v>
      </c>
      <c r="K7" s="27">
        <v>0.31942983028720628</v>
      </c>
    </row>
    <row r="8" spans="1:16" x14ac:dyDescent="0.2">
      <c r="A8" s="21"/>
      <c r="B8" s="21"/>
      <c r="C8" s="22"/>
      <c r="D8" s="22"/>
      <c r="E8" s="22"/>
      <c r="F8" s="22"/>
      <c r="G8" s="22"/>
      <c r="H8" s="41" t="s">
        <v>53</v>
      </c>
      <c r="I8" s="22">
        <v>21.95</v>
      </c>
      <c r="J8" s="22">
        <v>4.0055300000000003</v>
      </c>
      <c r="K8" s="27">
        <v>0.1824842824601367</v>
      </c>
    </row>
    <row r="9" spans="1:16" x14ac:dyDescent="0.2">
      <c r="A9" s="11" t="str">
        <f>[1]!to_windcode(B9)</f>
        <v>0816.HK</v>
      </c>
      <c r="B9" s="11" t="s">
        <v>7</v>
      </c>
      <c r="C9" s="8">
        <f>[1]!hks_stm_is(A9,"83","2022/12/31",1,"Cur=CNY",100000000)</f>
        <v>24.36994</v>
      </c>
      <c r="D9" s="8">
        <v>12.07</v>
      </c>
      <c r="E9" s="8">
        <v>2.0324800000000001</v>
      </c>
      <c r="F9" s="8">
        <f>I9+I10</f>
        <v>18.52</v>
      </c>
      <c r="G9" s="8">
        <f>J9+J10</f>
        <v>4.6337100000000007</v>
      </c>
      <c r="H9" s="32" t="s">
        <v>48</v>
      </c>
      <c r="I9" s="8">
        <v>12.07</v>
      </c>
      <c r="J9" s="8">
        <v>2.0324800000000001</v>
      </c>
      <c r="K9" s="26">
        <v>0.16839105219552611</v>
      </c>
      <c r="M9" s="31"/>
    </row>
    <row r="10" spans="1:16" x14ac:dyDescent="0.2">
      <c r="A10" s="11"/>
      <c r="B10" s="11"/>
      <c r="C10" s="8"/>
      <c r="D10" s="8"/>
      <c r="E10" s="8"/>
      <c r="F10" s="8"/>
      <c r="G10" s="8"/>
      <c r="H10" s="32" t="s">
        <v>52</v>
      </c>
      <c r="I10" s="8">
        <v>6.45</v>
      </c>
      <c r="J10" s="8">
        <v>2.6012300000000002</v>
      </c>
      <c r="K10" s="26">
        <v>0.40329147286821709</v>
      </c>
    </row>
    <row r="11" spans="1:16" x14ac:dyDescent="0.2">
      <c r="A11" s="11"/>
      <c r="B11" s="11"/>
      <c r="C11" s="8"/>
      <c r="D11" s="8"/>
      <c r="E11" s="8"/>
      <c r="F11" s="8"/>
      <c r="G11" s="8"/>
      <c r="H11" s="40" t="s">
        <v>53</v>
      </c>
      <c r="I11" s="8">
        <v>5.85</v>
      </c>
      <c r="J11" s="8">
        <v>2.70499</v>
      </c>
      <c r="K11" s="26">
        <v>0.46239145299145301</v>
      </c>
    </row>
    <row r="12" spans="1:16" x14ac:dyDescent="0.2">
      <c r="A12" s="21" t="str">
        <f>[1]!to_windcode(B12)</f>
        <v>2869.HK</v>
      </c>
      <c r="B12" s="21" t="s">
        <v>10</v>
      </c>
      <c r="C12" s="22">
        <f>[1]!hks_stm_is(A12,"83","2022/12/31",1,"Cur=CNY",100000000)</f>
        <v>148.68468999999999</v>
      </c>
      <c r="D12" s="22">
        <v>94.46</v>
      </c>
      <c r="E12" s="22">
        <v>11.429659999999998</v>
      </c>
      <c r="F12" s="22">
        <f>I12+I13</f>
        <v>122.66999999999999</v>
      </c>
      <c r="G12" s="22">
        <f>J12+J13</f>
        <v>17.297339999999998</v>
      </c>
      <c r="H12" s="33" t="s">
        <v>54</v>
      </c>
      <c r="I12" s="22">
        <v>94.46</v>
      </c>
      <c r="J12" s="22">
        <v>11.429659999999998</v>
      </c>
      <c r="K12" s="27">
        <v>0.121</v>
      </c>
      <c r="M12" s="31"/>
    </row>
    <row r="13" spans="1:16" x14ac:dyDescent="0.2">
      <c r="A13" s="21"/>
      <c r="B13" s="21"/>
      <c r="C13" s="22"/>
      <c r="D13" s="22"/>
      <c r="E13" s="22"/>
      <c r="F13" s="22"/>
      <c r="G13" s="22"/>
      <c r="H13" s="33" t="s">
        <v>55</v>
      </c>
      <c r="I13" s="22">
        <v>28.21</v>
      </c>
      <c r="J13" s="22">
        <v>5.86768</v>
      </c>
      <c r="K13" s="27">
        <v>0.20799999999999999</v>
      </c>
    </row>
    <row r="14" spans="1:16" x14ac:dyDescent="0.2">
      <c r="A14" s="21"/>
      <c r="B14" s="21"/>
      <c r="C14" s="22"/>
      <c r="D14" s="22"/>
      <c r="E14" s="22"/>
      <c r="F14" s="22"/>
      <c r="G14" s="22"/>
      <c r="H14" s="41" t="s">
        <v>56</v>
      </c>
      <c r="I14" s="22">
        <v>20.67</v>
      </c>
      <c r="J14" s="22">
        <v>4.6920900000000003</v>
      </c>
      <c r="K14" s="27">
        <v>0.22700000000000001</v>
      </c>
    </row>
    <row r="15" spans="1:16" x14ac:dyDescent="0.2">
      <c r="A15" s="21"/>
      <c r="B15" s="21"/>
      <c r="C15" s="22"/>
      <c r="D15" s="22"/>
      <c r="E15" s="22"/>
      <c r="F15" s="22"/>
      <c r="G15" s="22"/>
      <c r="H15" s="41" t="s">
        <v>57</v>
      </c>
      <c r="I15" s="22">
        <v>4.8899999999999997</v>
      </c>
      <c r="J15" s="22">
        <v>2.0000099999999996</v>
      </c>
      <c r="K15" s="27">
        <v>0.40899999999999997</v>
      </c>
    </row>
    <row r="16" spans="1:16" x14ac:dyDescent="0.2">
      <c r="A16" s="21"/>
      <c r="B16" s="21"/>
      <c r="C16" s="22"/>
      <c r="D16" s="22"/>
      <c r="E16" s="22"/>
      <c r="F16" s="22"/>
      <c r="G16" s="22"/>
      <c r="H16" s="41" t="s">
        <v>79</v>
      </c>
      <c r="I16" s="22">
        <v>0.33</v>
      </c>
      <c r="J16" s="22"/>
      <c r="K16" s="27"/>
    </row>
    <row r="17" spans="1:13" x14ac:dyDescent="0.2">
      <c r="A17" s="11" t="str">
        <f>[1]!to_windcode(B17)</f>
        <v>3316.HK</v>
      </c>
      <c r="B17" s="11" t="s">
        <v>1</v>
      </c>
      <c r="C17" s="8">
        <f>[1]!hks_stm_is(A17,"83","2022/12/31",1,"Cur=CNY",100000000)</f>
        <v>19.857220000000002</v>
      </c>
      <c r="D17" s="8">
        <v>11.93</v>
      </c>
      <c r="E17" s="8">
        <v>2.28383</v>
      </c>
      <c r="F17" s="8">
        <f>I17+I19</f>
        <v>14.42</v>
      </c>
      <c r="G17" s="8">
        <f>J17+J19</f>
        <v>3.48685</v>
      </c>
      <c r="H17" s="32" t="s">
        <v>48</v>
      </c>
      <c r="I17" s="8">
        <v>11.93</v>
      </c>
      <c r="J17" s="8">
        <v>2.28383</v>
      </c>
      <c r="K17" s="26">
        <v>0.19143587594300085</v>
      </c>
    </row>
    <row r="18" spans="1:13" x14ac:dyDescent="0.2">
      <c r="A18" s="11"/>
      <c r="B18" s="11"/>
      <c r="C18" s="8"/>
      <c r="D18" s="8"/>
      <c r="E18" s="8"/>
      <c r="F18" s="8"/>
      <c r="G18" s="8"/>
      <c r="H18" s="40" t="s">
        <v>53</v>
      </c>
      <c r="I18" s="8">
        <v>5.4</v>
      </c>
      <c r="J18" s="8">
        <v>2.4356200000000001</v>
      </c>
      <c r="K18" s="26">
        <v>0.45104074074074074</v>
      </c>
    </row>
    <row r="19" spans="1:13" x14ac:dyDescent="0.2">
      <c r="A19" s="11"/>
      <c r="B19" s="11"/>
      <c r="C19" s="8"/>
      <c r="D19" s="8"/>
      <c r="E19" s="8"/>
      <c r="F19" s="8"/>
      <c r="G19" s="8"/>
      <c r="H19" s="32" t="s">
        <v>58</v>
      </c>
      <c r="I19" s="8">
        <v>2.4900000000000002</v>
      </c>
      <c r="J19" s="8">
        <v>1.20302</v>
      </c>
      <c r="K19" s="26">
        <v>0.48314056224899593</v>
      </c>
    </row>
    <row r="20" spans="1:13" x14ac:dyDescent="0.2">
      <c r="A20" s="35" t="str">
        <f>[1]!to_windcode(B20)</f>
        <v>1755.HK</v>
      </c>
      <c r="B20" s="35" t="s">
        <v>0</v>
      </c>
      <c r="C20" s="36">
        <f>[1]!hks_stm_is(A20,"83","2022/12/31",1,"Cur=CNY",100000000)</f>
        <v>51.865740000000002</v>
      </c>
      <c r="D20" s="36">
        <v>30.25</v>
      </c>
      <c r="E20" s="36">
        <v>7.3989900000000004</v>
      </c>
      <c r="F20" s="36">
        <f>I20+I21</f>
        <v>43.1</v>
      </c>
      <c r="G20" s="36">
        <f>J20+J21</f>
        <v>11.540190000000001</v>
      </c>
      <c r="H20" s="34" t="s">
        <v>48</v>
      </c>
      <c r="I20" s="36">
        <v>30.25</v>
      </c>
      <c r="J20" s="36">
        <v>7.3989900000000004</v>
      </c>
      <c r="K20" s="37">
        <v>0.24459471074380168</v>
      </c>
      <c r="M20" s="31"/>
    </row>
    <row r="21" spans="1:13" x14ac:dyDescent="0.2">
      <c r="A21" s="35"/>
      <c r="B21" s="35"/>
      <c r="C21" s="36"/>
      <c r="D21" s="36"/>
      <c r="E21" s="36"/>
      <c r="F21" s="36"/>
      <c r="G21" s="36"/>
      <c r="H21" s="34" t="s">
        <v>52</v>
      </c>
      <c r="I21" s="36">
        <v>12.85</v>
      </c>
      <c r="J21" s="36">
        <v>4.1412000000000004</v>
      </c>
      <c r="K21" s="37">
        <v>0.32227237354085608</v>
      </c>
    </row>
    <row r="22" spans="1:13" x14ac:dyDescent="0.2">
      <c r="A22" s="35"/>
      <c r="B22" s="35"/>
      <c r="C22" s="36"/>
      <c r="D22" s="36"/>
      <c r="E22" s="36"/>
      <c r="F22" s="36"/>
      <c r="G22" s="36"/>
      <c r="H22" s="38" t="s">
        <v>59</v>
      </c>
      <c r="I22" s="36">
        <v>5.2</v>
      </c>
      <c r="J22" s="36">
        <v>1.27542</v>
      </c>
      <c r="K22" s="37">
        <v>0.24527307692307693</v>
      </c>
    </row>
    <row r="23" spans="1:13" x14ac:dyDescent="0.2">
      <c r="A23" s="35"/>
      <c r="B23" s="35"/>
      <c r="C23" s="36"/>
      <c r="D23" s="36"/>
      <c r="E23" s="36"/>
      <c r="F23" s="36"/>
      <c r="G23" s="36"/>
      <c r="H23" s="38" t="s">
        <v>60</v>
      </c>
      <c r="I23" s="36">
        <v>3.51</v>
      </c>
      <c r="J23" s="36">
        <v>0.56579000000000002</v>
      </c>
      <c r="K23" s="37">
        <v>0.1611937321937322</v>
      </c>
    </row>
    <row r="24" spans="1:13" x14ac:dyDescent="0.2">
      <c r="A24" s="11" t="str">
        <f>[1]!to_windcode(B24)</f>
        <v>6098.HK</v>
      </c>
      <c r="B24" s="11" t="s">
        <v>2</v>
      </c>
      <c r="C24" s="8">
        <f>[1]!hks_stm_is(A24,"83","2022/12/31",1,"Cur=CNY",100000000)</f>
        <v>414.15933000000001</v>
      </c>
      <c r="D24" s="8">
        <v>228.55599999999998</v>
      </c>
      <c r="E24" s="8">
        <v>58.281779999999998</v>
      </c>
      <c r="F24" s="8">
        <f>I24+I25</f>
        <v>268.73099999999999</v>
      </c>
      <c r="G24" s="8">
        <f>J24+J25</f>
        <v>79.775404999999992</v>
      </c>
      <c r="H24" s="32" t="s">
        <v>48</v>
      </c>
      <c r="I24" s="8">
        <v>228.55599999999998</v>
      </c>
      <c r="J24" s="8">
        <v>58.281779999999998</v>
      </c>
      <c r="K24" s="26">
        <v>0.255</v>
      </c>
      <c r="M24" s="31"/>
    </row>
    <row r="25" spans="1:13" x14ac:dyDescent="0.2">
      <c r="A25" s="11"/>
      <c r="B25" s="11"/>
      <c r="C25" s="8"/>
      <c r="D25" s="8"/>
      <c r="E25" s="8"/>
      <c r="F25" s="8"/>
      <c r="G25" s="8"/>
      <c r="H25" s="32" t="s">
        <v>52</v>
      </c>
      <c r="I25" s="8">
        <v>40.174999999999997</v>
      </c>
      <c r="J25" s="8">
        <v>21.493624999999998</v>
      </c>
      <c r="K25" s="26">
        <v>0.53500000000000003</v>
      </c>
      <c r="M25" s="31"/>
    </row>
    <row r="26" spans="1:13" x14ac:dyDescent="0.2">
      <c r="A26" s="11"/>
      <c r="B26" s="11"/>
      <c r="C26" s="8"/>
      <c r="D26" s="8"/>
      <c r="E26" s="8"/>
      <c r="F26" s="8"/>
      <c r="G26" s="8"/>
      <c r="H26" s="40" t="s">
        <v>53</v>
      </c>
      <c r="I26" s="8">
        <v>26.646999999999998</v>
      </c>
      <c r="J26" s="8">
        <v>3.6239919999999999</v>
      </c>
      <c r="K26" s="26">
        <v>0.13600000000000001</v>
      </c>
      <c r="M26" s="31"/>
    </row>
    <row r="27" spans="1:13" x14ac:dyDescent="0.2">
      <c r="A27" s="11"/>
      <c r="B27" s="11"/>
      <c r="C27" s="8"/>
      <c r="D27" s="8"/>
      <c r="E27" s="8"/>
      <c r="F27" s="8"/>
      <c r="G27" s="8"/>
      <c r="H27" s="40" t="s">
        <v>61</v>
      </c>
      <c r="I27" s="8">
        <v>55.53</v>
      </c>
      <c r="J27" s="8">
        <v>4.8866399999999999</v>
      </c>
      <c r="K27" s="26">
        <v>8.7999999999999995E-2</v>
      </c>
    </row>
    <row r="28" spans="1:13" x14ac:dyDescent="0.2">
      <c r="A28" s="11"/>
      <c r="B28" s="11"/>
      <c r="C28" s="8"/>
      <c r="D28" s="8"/>
      <c r="E28" s="8"/>
      <c r="F28" s="8"/>
      <c r="G28" s="8"/>
      <c r="H28" s="40" t="s">
        <v>62</v>
      </c>
      <c r="I28" s="8">
        <v>48.37</v>
      </c>
      <c r="J28" s="8">
        <v>9.0935600000000001</v>
      </c>
      <c r="K28" s="26">
        <v>0.188</v>
      </c>
    </row>
    <row r="29" spans="1:13" x14ac:dyDescent="0.2">
      <c r="A29" s="11"/>
      <c r="B29" s="11"/>
      <c r="C29" s="8"/>
      <c r="D29" s="8"/>
      <c r="E29" s="8"/>
      <c r="F29" s="8"/>
      <c r="G29" s="8"/>
      <c r="H29" s="40" t="s">
        <v>63</v>
      </c>
      <c r="I29" s="8">
        <v>12.85</v>
      </c>
      <c r="J29" s="8">
        <v>4.56175</v>
      </c>
      <c r="K29" s="26">
        <v>0.35499999999999998</v>
      </c>
    </row>
    <row r="30" spans="1:13" x14ac:dyDescent="0.2">
      <c r="A30" s="21" t="str">
        <f>[1]!to_windcode(B30)</f>
        <v>1516.HK</v>
      </c>
      <c r="B30" s="21" t="s">
        <v>5</v>
      </c>
      <c r="C30" s="22">
        <f>[1]!hks_stm_is(A30,"83","2022/12/31",1,"Cur=CNY",100000000)</f>
        <v>71.261610000000005</v>
      </c>
      <c r="D30" s="22">
        <v>53.65</v>
      </c>
      <c r="E30" s="22">
        <v>12.36417</v>
      </c>
      <c r="F30" s="22">
        <f>I30+I32</f>
        <v>59.26</v>
      </c>
      <c r="G30" s="22">
        <f>J30+J32</f>
        <v>14.369149999999999</v>
      </c>
      <c r="H30" s="33" t="s">
        <v>48</v>
      </c>
      <c r="I30" s="22">
        <v>53.65</v>
      </c>
      <c r="J30" s="22">
        <v>12.36417</v>
      </c>
      <c r="K30" s="27">
        <v>0.23045983224603914</v>
      </c>
      <c r="M30" s="31"/>
    </row>
    <row r="31" spans="1:13" x14ac:dyDescent="0.2">
      <c r="A31" s="21"/>
      <c r="B31" s="21"/>
      <c r="C31" s="22"/>
      <c r="D31" s="22"/>
      <c r="E31" s="22"/>
      <c r="F31" s="22"/>
      <c r="G31" s="22"/>
      <c r="H31" s="41" t="s">
        <v>53</v>
      </c>
      <c r="I31" s="22">
        <v>10.52</v>
      </c>
      <c r="J31" s="22">
        <v>0.65534000000000003</v>
      </c>
      <c r="K31" s="27">
        <v>6.2294676806083658E-2</v>
      </c>
    </row>
    <row r="32" spans="1:13" x14ac:dyDescent="0.2">
      <c r="A32" s="21"/>
      <c r="B32" s="21"/>
      <c r="C32" s="22"/>
      <c r="D32" s="22"/>
      <c r="E32" s="22"/>
      <c r="F32" s="22"/>
      <c r="G32" s="22"/>
      <c r="H32" s="33" t="s">
        <v>64</v>
      </c>
      <c r="I32" s="22">
        <v>5.61</v>
      </c>
      <c r="J32" s="22">
        <v>2.0049800000000002</v>
      </c>
      <c r="K32" s="27">
        <v>0.35739393939393943</v>
      </c>
    </row>
    <row r="33" spans="1:13" x14ac:dyDescent="0.2">
      <c r="A33" s="21"/>
      <c r="B33" s="21"/>
      <c r="C33" s="22"/>
      <c r="D33" s="22"/>
      <c r="E33" s="22"/>
      <c r="F33" s="22"/>
      <c r="G33" s="22"/>
      <c r="H33" s="41" t="s">
        <v>65</v>
      </c>
      <c r="I33" s="22">
        <v>1.48</v>
      </c>
      <c r="J33" s="22">
        <v>1.0199</v>
      </c>
      <c r="K33" s="27">
        <v>0.68912162162162161</v>
      </c>
    </row>
    <row r="34" spans="1:13" x14ac:dyDescent="0.2">
      <c r="A34" s="11" t="str">
        <f>[1]!to_windcode(B34)</f>
        <v>9666.HK</v>
      </c>
      <c r="B34" s="11" t="s">
        <v>3</v>
      </c>
      <c r="C34" s="8">
        <f>[1]!hks_stm_is(A34,"83","2022/12/31",1,"Cur=CNY",100000000)</f>
        <v>50.052759999999999</v>
      </c>
      <c r="D34" s="8">
        <v>36.76</v>
      </c>
      <c r="E34" s="8">
        <v>6.4995799999999999</v>
      </c>
      <c r="F34" s="8">
        <f>I34+I37</f>
        <v>40.089999999999996</v>
      </c>
      <c r="G34" s="8">
        <f>J34+J37</f>
        <v>7.4268900000000002</v>
      </c>
      <c r="H34" s="32" t="s">
        <v>66</v>
      </c>
      <c r="I34" s="8">
        <v>36.76</v>
      </c>
      <c r="J34" s="8">
        <v>6.4995799999999999</v>
      </c>
      <c r="K34" s="26">
        <v>0.17681120783460283</v>
      </c>
      <c r="M34" s="31"/>
    </row>
    <row r="35" spans="1:13" x14ac:dyDescent="0.2">
      <c r="A35" s="11"/>
      <c r="B35" s="11"/>
      <c r="C35" s="8"/>
      <c r="D35" s="8"/>
      <c r="E35" s="8"/>
      <c r="F35" s="8"/>
      <c r="G35" s="8"/>
      <c r="H35" s="40" t="s">
        <v>67</v>
      </c>
      <c r="I35" s="8">
        <v>4.88</v>
      </c>
      <c r="J35" s="8">
        <v>1.0216799999999999</v>
      </c>
      <c r="K35" s="26">
        <v>0.2093606557377049</v>
      </c>
    </row>
    <row r="36" spans="1:13" x14ac:dyDescent="0.2">
      <c r="A36" s="11"/>
      <c r="B36" s="11"/>
      <c r="C36" s="8"/>
      <c r="D36" s="8"/>
      <c r="E36" s="8"/>
      <c r="F36" s="8"/>
      <c r="G36" s="8"/>
      <c r="H36" s="40" t="s">
        <v>68</v>
      </c>
      <c r="I36" s="8">
        <v>4.25</v>
      </c>
      <c r="J36" s="8">
        <v>0.80840999999999996</v>
      </c>
      <c r="K36" s="26">
        <v>0.19021411764705881</v>
      </c>
    </row>
    <row r="37" spans="1:13" x14ac:dyDescent="0.2">
      <c r="A37" s="11"/>
      <c r="B37" s="11"/>
      <c r="C37" s="8"/>
      <c r="D37" s="8"/>
      <c r="E37" s="8"/>
      <c r="F37" s="8"/>
      <c r="G37" s="8"/>
      <c r="H37" s="32" t="s">
        <v>52</v>
      </c>
      <c r="I37" s="8">
        <v>3.33</v>
      </c>
      <c r="J37" s="8">
        <v>0.92730999999999997</v>
      </c>
      <c r="K37" s="26">
        <v>0.27847147147147144</v>
      </c>
    </row>
    <row r="38" spans="1:13" x14ac:dyDescent="0.2">
      <c r="A38" s="11"/>
      <c r="B38" s="11"/>
      <c r="C38" s="8"/>
      <c r="D38" s="8"/>
      <c r="E38" s="8"/>
      <c r="F38" s="8"/>
      <c r="G38" s="8"/>
      <c r="H38" s="40" t="s">
        <v>69</v>
      </c>
      <c r="I38" s="8">
        <v>0.83</v>
      </c>
      <c r="J38" s="8">
        <v>0.17504</v>
      </c>
      <c r="K38" s="26">
        <v>0.21089156626506025</v>
      </c>
    </row>
    <row r="39" spans="1:13" x14ac:dyDescent="0.2">
      <c r="A39" s="21" t="str">
        <f>[1]!to_windcode(B39)</f>
        <v>0873.HK</v>
      </c>
      <c r="B39" s="21" t="s">
        <v>13</v>
      </c>
      <c r="C39" s="22">
        <f>[1]!hks_stm_is(A39,"83","2022/12/31",1,"Cur=CNY",100000000)</f>
        <v>86.482320000000001</v>
      </c>
      <c r="D39" s="22">
        <v>50.42</v>
      </c>
      <c r="E39" s="22">
        <v>11.268000000000001</v>
      </c>
      <c r="F39" s="22">
        <f>I39+I40</f>
        <v>67.3</v>
      </c>
      <c r="G39" s="22">
        <f>J39+J40</f>
        <v>16.513986600000003</v>
      </c>
      <c r="H39" s="33" t="s">
        <v>48</v>
      </c>
      <c r="I39" s="22">
        <v>50.42</v>
      </c>
      <c r="J39" s="22">
        <v>11.268000000000001</v>
      </c>
      <c r="K39" s="27">
        <v>0.22348274494248316</v>
      </c>
      <c r="M39" s="31"/>
    </row>
    <row r="40" spans="1:13" x14ac:dyDescent="0.2">
      <c r="A40" s="21"/>
      <c r="B40" s="21"/>
      <c r="C40" s="22"/>
      <c r="D40" s="22"/>
      <c r="E40" s="22"/>
      <c r="F40" s="22"/>
      <c r="G40" s="22"/>
      <c r="H40" s="33" t="s">
        <v>52</v>
      </c>
      <c r="I40" s="22">
        <v>16.88</v>
      </c>
      <c r="J40" s="22">
        <v>5.2459866000000011</v>
      </c>
      <c r="K40" s="27">
        <v>0.31078119668246451</v>
      </c>
    </row>
    <row r="41" spans="1:13" x14ac:dyDescent="0.2">
      <c r="A41" s="21"/>
      <c r="B41" s="21"/>
      <c r="C41" s="22"/>
      <c r="D41" s="22"/>
      <c r="E41" s="22"/>
      <c r="F41" s="22"/>
      <c r="G41" s="22"/>
      <c r="H41" s="41" t="s">
        <v>70</v>
      </c>
      <c r="I41" s="22">
        <v>13.81</v>
      </c>
      <c r="J41" s="22">
        <v>1.7875213600000002</v>
      </c>
      <c r="K41" s="27">
        <v>0.12943673859522087</v>
      </c>
    </row>
    <row r="42" spans="1:13" x14ac:dyDescent="0.2">
      <c r="A42" s="21"/>
      <c r="B42" s="21"/>
      <c r="C42" s="22"/>
      <c r="D42" s="22"/>
      <c r="E42" s="22"/>
      <c r="F42" s="22"/>
      <c r="G42" s="22"/>
      <c r="H42" s="41" t="s">
        <v>53</v>
      </c>
      <c r="I42" s="22">
        <v>5.25</v>
      </c>
      <c r="J42" s="22">
        <v>1.12691564</v>
      </c>
      <c r="K42" s="27">
        <v>0.21465059809523809</v>
      </c>
    </row>
    <row r="43" spans="1:13" x14ac:dyDescent="0.2">
      <c r="A43" s="11" t="str">
        <f>[1]!to_windcode(B43)</f>
        <v>1995.HK</v>
      </c>
      <c r="B43" s="11" t="s">
        <v>6</v>
      </c>
      <c r="C43" s="8">
        <f>[1]!hks_stm_is(A43,"83","2022/12/31",1,"Cur=CNY",100000000)</f>
        <v>62.814120000000003</v>
      </c>
      <c r="D43" s="8">
        <v>38.880000000000003</v>
      </c>
      <c r="E43" s="8">
        <v>7.542720000000001</v>
      </c>
      <c r="F43" s="8">
        <f>I43+I44</f>
        <v>49.08</v>
      </c>
      <c r="G43" s="8">
        <f>J43+J44</f>
        <v>10.572120000000002</v>
      </c>
      <c r="H43" s="32" t="s">
        <v>48</v>
      </c>
      <c r="I43" s="8">
        <v>38.880000000000003</v>
      </c>
      <c r="J43" s="8">
        <v>7.542720000000001</v>
      </c>
      <c r="K43" s="26">
        <v>0.19400000000000001</v>
      </c>
      <c r="M43" s="29"/>
    </row>
    <row r="44" spans="1:13" x14ac:dyDescent="0.2">
      <c r="A44" s="11"/>
      <c r="B44" s="11"/>
      <c r="C44" s="8"/>
      <c r="D44" s="8"/>
      <c r="E44" s="8"/>
      <c r="F44" s="8"/>
      <c r="G44" s="8"/>
      <c r="H44" s="32" t="s">
        <v>52</v>
      </c>
      <c r="I44" s="8">
        <v>10.199999999999999</v>
      </c>
      <c r="J44" s="8">
        <v>3.0293999999999999</v>
      </c>
      <c r="K44" s="26">
        <v>0.29699999999999999</v>
      </c>
    </row>
    <row r="45" spans="1:13" x14ac:dyDescent="0.2">
      <c r="A45" s="11"/>
      <c r="B45" s="11"/>
      <c r="C45" s="8"/>
      <c r="D45" s="8"/>
      <c r="E45" s="8"/>
      <c r="F45" s="8"/>
      <c r="G45" s="8"/>
      <c r="H45" s="40" t="s">
        <v>71</v>
      </c>
      <c r="I45" s="8">
        <v>9.64</v>
      </c>
      <c r="J45" s="8">
        <v>2.0533200000000003</v>
      </c>
      <c r="K45" s="26">
        <v>0.21299999999999999</v>
      </c>
    </row>
    <row r="46" spans="1:13" x14ac:dyDescent="0.2">
      <c r="A46" s="11"/>
      <c r="B46" s="11"/>
      <c r="C46" s="8"/>
      <c r="D46" s="8"/>
      <c r="E46" s="8"/>
      <c r="F46" s="8"/>
      <c r="G46" s="8"/>
      <c r="H46" s="40" t="s">
        <v>70</v>
      </c>
      <c r="I46" s="8">
        <v>4.03</v>
      </c>
      <c r="J46" s="8">
        <v>0.30628</v>
      </c>
      <c r="K46" s="26">
        <v>7.5999999999999998E-2</v>
      </c>
    </row>
    <row r="47" spans="1:13" x14ac:dyDescent="0.2">
      <c r="A47" s="11"/>
      <c r="B47" s="11"/>
      <c r="C47" s="8"/>
      <c r="D47" s="8"/>
      <c r="E47" s="8"/>
      <c r="F47" s="8"/>
      <c r="G47" s="8"/>
      <c r="H47" s="40" t="s">
        <v>72</v>
      </c>
      <c r="I47" s="8">
        <v>0.01</v>
      </c>
      <c r="J47" s="8"/>
      <c r="K47" s="26"/>
    </row>
    <row r="48" spans="1:13" x14ac:dyDescent="0.2">
      <c r="A48" s="21" t="str">
        <f>[1]!to_windcode(B48)</f>
        <v>3319.HK</v>
      </c>
      <c r="B48" s="21" t="s">
        <v>4</v>
      </c>
      <c r="C48" s="22">
        <f>[1]!hks_stm_is(A48,"83","2022/12/31",1,"Cur=CNY",100000000)</f>
        <v>153.84079</v>
      </c>
      <c r="D48" s="22">
        <v>100.29</v>
      </c>
      <c r="E48" s="22">
        <v>19.187000000000001</v>
      </c>
      <c r="F48" s="22">
        <f>I48+I49</f>
        <v>123.49000000000001</v>
      </c>
      <c r="G48" s="22">
        <f>J48+J49</f>
        <v>27.130000000000003</v>
      </c>
      <c r="H48" s="33" t="s">
        <v>48</v>
      </c>
      <c r="I48" s="22">
        <v>100.29</v>
      </c>
      <c r="J48" s="22">
        <v>19.187000000000001</v>
      </c>
      <c r="K48" s="27">
        <f>J48/I48</f>
        <v>0.19131518596071392</v>
      </c>
      <c r="M48" s="31"/>
    </row>
    <row r="49" spans="1:11" x14ac:dyDescent="0.2">
      <c r="A49" s="21"/>
      <c r="B49" s="21"/>
      <c r="C49" s="22"/>
      <c r="D49" s="22"/>
      <c r="E49" s="22"/>
      <c r="F49" s="22"/>
      <c r="G49" s="22"/>
      <c r="H49" s="33" t="s">
        <v>82</v>
      </c>
      <c r="I49" s="22">
        <v>23.2</v>
      </c>
      <c r="J49" s="22">
        <v>7.9429999999999996</v>
      </c>
      <c r="K49" s="27">
        <f>J49/I49</f>
        <v>0.34237068965517242</v>
      </c>
    </row>
    <row r="50" spans="1:11" x14ac:dyDescent="0.2">
      <c r="A50" s="21"/>
      <c r="B50" s="21"/>
      <c r="C50" s="22"/>
      <c r="D50" s="22"/>
      <c r="E50" s="22"/>
      <c r="F50" s="22"/>
      <c r="G50" s="22"/>
      <c r="H50" s="41" t="s">
        <v>80</v>
      </c>
      <c r="I50" s="22">
        <v>13.147</v>
      </c>
      <c r="J50" s="22">
        <v>2.5329999999999999</v>
      </c>
      <c r="K50" s="27">
        <f>J50/I50</f>
        <v>0.19266752871377499</v>
      </c>
    </row>
    <row r="51" spans="1:11" x14ac:dyDescent="0.2">
      <c r="A51" s="21"/>
      <c r="B51" s="21"/>
      <c r="C51" s="22"/>
      <c r="D51" s="22"/>
      <c r="E51" s="22"/>
      <c r="F51" s="22"/>
      <c r="G51" s="22"/>
      <c r="H51" s="41" t="s">
        <v>83</v>
      </c>
      <c r="I51" s="22">
        <v>17.146999999999998</v>
      </c>
      <c r="J51" s="22">
        <v>4.1769999999999996</v>
      </c>
      <c r="K51" s="27">
        <f>J51/I51</f>
        <v>0.24359946346299644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CEE2-DD49-4FC2-B98D-6052B6F4B5FE}">
  <dimension ref="A1:X49"/>
  <sheetViews>
    <sheetView topLeftCell="A16" workbookViewId="0">
      <selection activeCell="B42" sqref="B42"/>
    </sheetView>
  </sheetViews>
  <sheetFormatPr defaultRowHeight="14.25" x14ac:dyDescent="0.2"/>
  <cols>
    <col min="1" max="1" width="8.5" bestFit="1" customWidth="1"/>
    <col min="2" max="2" width="13" bestFit="1" customWidth="1"/>
    <col min="3" max="3" width="9.125" bestFit="1" customWidth="1"/>
    <col min="4" max="5" width="17.25" bestFit="1" customWidth="1"/>
    <col min="6" max="7" width="31.125" bestFit="1" customWidth="1"/>
    <col min="8" max="8" width="28.75" bestFit="1" customWidth="1"/>
    <col min="9" max="9" width="12.875" bestFit="1" customWidth="1"/>
    <col min="10" max="10" width="11.75" bestFit="1" customWidth="1"/>
    <col min="12" max="12" width="10.5" bestFit="1" customWidth="1"/>
  </cols>
  <sheetData>
    <row r="1" spans="1:15" x14ac:dyDescent="0.2">
      <c r="A1" s="21" t="s">
        <v>12</v>
      </c>
      <c r="B1" s="21" t="s">
        <v>11</v>
      </c>
      <c r="C1" s="21" t="s">
        <v>110</v>
      </c>
      <c r="D1" s="21" t="s">
        <v>75</v>
      </c>
      <c r="E1" s="21" t="s">
        <v>84</v>
      </c>
      <c r="F1" s="21" t="s">
        <v>76</v>
      </c>
      <c r="G1" s="21" t="s">
        <v>77</v>
      </c>
      <c r="H1" s="39" t="s">
        <v>81</v>
      </c>
      <c r="I1" s="21" t="s">
        <v>73</v>
      </c>
      <c r="J1" s="21" t="s">
        <v>74</v>
      </c>
      <c r="K1" s="21" t="s">
        <v>78</v>
      </c>
      <c r="M1" s="21" t="s">
        <v>73</v>
      </c>
      <c r="N1" s="21" t="s">
        <v>74</v>
      </c>
      <c r="O1" s="27" t="s">
        <v>78</v>
      </c>
    </row>
    <row r="2" spans="1:15" x14ac:dyDescent="0.2">
      <c r="A2" s="11" t="str">
        <f>[1]!to_windcode(B2)</f>
        <v>2669.HK</v>
      </c>
      <c r="B2" s="11" t="s">
        <v>8</v>
      </c>
      <c r="C2" s="8">
        <f>[1]!hks_stm_is(A2,"83","2023/12/31",1,"Cur=CNY",100000000)</f>
        <v>130.74764999999999</v>
      </c>
      <c r="D2" s="8">
        <v>94.149069999999995</v>
      </c>
      <c r="E2" s="8">
        <v>14.077540000000001</v>
      </c>
      <c r="F2" s="8">
        <f>I2+I4</f>
        <v>107.06716999999999</v>
      </c>
      <c r="G2" s="8">
        <f>J2+J4</f>
        <v>17.45054</v>
      </c>
      <c r="H2" s="32" t="s">
        <v>48</v>
      </c>
      <c r="I2" s="8">
        <v>94.149069999999995</v>
      </c>
      <c r="J2" s="8">
        <v>14.077540000000001</v>
      </c>
      <c r="K2" s="26">
        <f>J2/I2</f>
        <v>0.14952394112868031</v>
      </c>
      <c r="M2" s="8">
        <v>84.404869441411194</v>
      </c>
      <c r="N2" s="8">
        <v>11.297934342913974</v>
      </c>
      <c r="O2" s="26">
        <v>0.13400000000000001</v>
      </c>
    </row>
    <row r="3" spans="1:15" x14ac:dyDescent="0.2">
      <c r="A3" s="11"/>
      <c r="B3" s="11"/>
      <c r="C3" s="8"/>
      <c r="D3" s="8"/>
      <c r="E3" s="8"/>
      <c r="F3" s="8"/>
      <c r="G3" s="8"/>
      <c r="H3" s="40" t="s">
        <v>49</v>
      </c>
      <c r="I3" s="8">
        <v>21.446580000000001</v>
      </c>
      <c r="J3" s="8">
        <v>2.8039999999999998</v>
      </c>
      <c r="K3" s="26">
        <f t="shared" ref="K3:K49" si="0">J3/I3</f>
        <v>0.13074345653246344</v>
      </c>
      <c r="M3" s="8">
        <v>18.85688214528723</v>
      </c>
      <c r="N3" s="8">
        <v>3.0969592798536629</v>
      </c>
      <c r="O3" s="26">
        <v>0.16400000000000001</v>
      </c>
    </row>
    <row r="4" spans="1:15" x14ac:dyDescent="0.2">
      <c r="A4" s="11"/>
      <c r="B4" s="11"/>
      <c r="C4" s="8"/>
      <c r="D4" s="8"/>
      <c r="E4" s="8"/>
      <c r="F4" s="8"/>
      <c r="G4" s="8"/>
      <c r="H4" s="32" t="s">
        <v>50</v>
      </c>
      <c r="I4" s="8">
        <v>12.918100000000001</v>
      </c>
      <c r="J4" s="8">
        <v>3.3730000000000002</v>
      </c>
      <c r="K4" s="26">
        <f t="shared" si="0"/>
        <v>0.26110650947120706</v>
      </c>
      <c r="M4" s="8">
        <v>7.860756176150054</v>
      </c>
      <c r="N4" s="8">
        <v>3.0219247890813214</v>
      </c>
      <c r="O4" s="26">
        <v>0.38400000000000001</v>
      </c>
    </row>
    <row r="5" spans="1:15" x14ac:dyDescent="0.2">
      <c r="A5" s="11"/>
      <c r="B5" s="11"/>
      <c r="C5" s="8"/>
      <c r="D5" s="8"/>
      <c r="E5" s="8"/>
      <c r="F5" s="8"/>
      <c r="G5" s="8"/>
      <c r="H5" s="40" t="s">
        <v>51</v>
      </c>
      <c r="I5" s="8">
        <v>1.99875</v>
      </c>
      <c r="J5" s="8">
        <v>0.44365999999999906</v>
      </c>
      <c r="K5" s="26">
        <f t="shared" si="0"/>
        <v>0.22196873045653487</v>
      </c>
      <c r="L5" s="31"/>
      <c r="M5" s="8">
        <v>2.2242366907515492</v>
      </c>
      <c r="N5" s="8">
        <v>0.61724801337723711</v>
      </c>
      <c r="O5" s="26">
        <v>0.27751004016064251</v>
      </c>
    </row>
    <row r="6" spans="1:15" x14ac:dyDescent="0.2">
      <c r="A6" s="21" t="str">
        <f>[1]!to_windcode(B6)</f>
        <v>6049.HK</v>
      </c>
      <c r="B6" s="21" t="s">
        <v>9</v>
      </c>
      <c r="C6" s="22">
        <f>[1]!hks_stm_is(A6,"83","2023/12/31",1,"Cur=CNY",100000000)</f>
        <v>150.69708</v>
      </c>
      <c r="D6" s="22">
        <v>101.52181</v>
      </c>
      <c r="E6" s="22">
        <v>14.81077</v>
      </c>
      <c r="F6" s="22">
        <f>I6+I7</f>
        <v>129.68541999999999</v>
      </c>
      <c r="G6" s="22">
        <f>J6+J7</f>
        <v>25.618499999999997</v>
      </c>
      <c r="H6" s="33" t="s">
        <v>48</v>
      </c>
      <c r="I6" s="22">
        <v>101.52181</v>
      </c>
      <c r="J6" s="22">
        <v>14.81077</v>
      </c>
      <c r="K6" s="27">
        <f t="shared" si="0"/>
        <v>0.14588756839540193</v>
      </c>
      <c r="M6" s="22">
        <v>84.28</v>
      </c>
      <c r="N6" s="22">
        <v>11.94558</v>
      </c>
      <c r="O6" s="27">
        <v>0.14173682961556716</v>
      </c>
    </row>
    <row r="7" spans="1:15" x14ac:dyDescent="0.2">
      <c r="A7" s="21"/>
      <c r="B7" s="21"/>
      <c r="C7" s="22"/>
      <c r="D7" s="22"/>
      <c r="E7" s="22"/>
      <c r="F7" s="22"/>
      <c r="G7" s="22"/>
      <c r="H7" s="33" t="s">
        <v>52</v>
      </c>
      <c r="I7" s="22">
        <v>28.163609999999998</v>
      </c>
      <c r="J7" s="22">
        <v>10.807729999999999</v>
      </c>
      <c r="K7" s="27">
        <f t="shared" si="0"/>
        <v>0.38374803514180178</v>
      </c>
      <c r="M7" s="22">
        <v>30.64</v>
      </c>
      <c r="N7" s="22">
        <v>9.7873300000000008</v>
      </c>
      <c r="O7" s="27">
        <v>0.31942983028720628</v>
      </c>
    </row>
    <row r="8" spans="1:15" x14ac:dyDescent="0.2">
      <c r="A8" s="21"/>
      <c r="B8" s="21"/>
      <c r="C8" s="22"/>
      <c r="D8" s="22"/>
      <c r="E8" s="22"/>
      <c r="F8" s="22"/>
      <c r="G8" s="22"/>
      <c r="H8" s="41" t="s">
        <v>53</v>
      </c>
      <c r="I8" s="22">
        <v>20.933160000000001</v>
      </c>
      <c r="J8" s="22">
        <v>3.9124099999999999</v>
      </c>
      <c r="K8" s="27">
        <f t="shared" si="0"/>
        <v>0.18690011445954646</v>
      </c>
      <c r="M8" s="22">
        <v>21.95</v>
      </c>
      <c r="N8" s="22">
        <v>4.0055300000000003</v>
      </c>
      <c r="O8" s="27">
        <v>0.1824842824601367</v>
      </c>
    </row>
    <row r="9" spans="1:15" x14ac:dyDescent="0.2">
      <c r="A9" s="11" t="str">
        <f>[1]!to_windcode(B9)</f>
        <v>0816.HK</v>
      </c>
      <c r="B9" s="11" t="s">
        <v>7</v>
      </c>
      <c r="C9" s="8">
        <f>[1]!hks_stm_is(A9,"83","2023/12/31",1,"Cur=CNY",100000000)</f>
        <v>27.04927</v>
      </c>
      <c r="D9" s="8">
        <v>15.74891</v>
      </c>
      <c r="E9" s="8">
        <v>2.4883299999999999</v>
      </c>
      <c r="F9" s="8">
        <f>I9+I10</f>
        <v>21.99776</v>
      </c>
      <c r="G9" s="8">
        <f>J9+J10</f>
        <v>5.2171400000000006</v>
      </c>
      <c r="H9" s="32" t="s">
        <v>48</v>
      </c>
      <c r="I9" s="8">
        <v>15.74891</v>
      </c>
      <c r="J9" s="8">
        <v>2.4883299999999999</v>
      </c>
      <c r="K9" s="26">
        <f t="shared" si="0"/>
        <v>0.15800014096213641</v>
      </c>
      <c r="M9" s="8">
        <v>12.07</v>
      </c>
      <c r="N9" s="8">
        <v>2.0324800000000001</v>
      </c>
      <c r="O9" s="26">
        <v>0.16839105219552611</v>
      </c>
    </row>
    <row r="10" spans="1:15" x14ac:dyDescent="0.2">
      <c r="A10" s="11"/>
      <c r="B10" s="11"/>
      <c r="C10" s="8"/>
      <c r="D10" s="8"/>
      <c r="E10" s="8"/>
      <c r="F10" s="8"/>
      <c r="G10" s="8"/>
      <c r="H10" s="32" t="s">
        <v>52</v>
      </c>
      <c r="I10" s="8">
        <v>6.24885</v>
      </c>
      <c r="J10" s="8">
        <v>2.7288100000000002</v>
      </c>
      <c r="K10" s="26">
        <f t="shared" si="0"/>
        <v>0.43668995095097501</v>
      </c>
      <c r="M10" s="8">
        <v>6.45</v>
      </c>
      <c r="N10" s="8">
        <v>2.6012300000000002</v>
      </c>
      <c r="O10" s="26">
        <v>0.40329147286821709</v>
      </c>
    </row>
    <row r="11" spans="1:15" x14ac:dyDescent="0.2">
      <c r="A11" s="11"/>
      <c r="B11" s="11"/>
      <c r="C11" s="8"/>
      <c r="D11" s="8"/>
      <c r="E11" s="8"/>
      <c r="F11" s="8"/>
      <c r="G11" s="8"/>
      <c r="H11" s="40" t="s">
        <v>53</v>
      </c>
      <c r="I11" s="8">
        <v>5.04636</v>
      </c>
      <c r="J11" s="8">
        <v>2.2482799999999998</v>
      </c>
      <c r="K11" s="26">
        <f t="shared" si="0"/>
        <v>0.44552509135297519</v>
      </c>
      <c r="M11" s="8">
        <v>5.85</v>
      </c>
      <c r="N11" s="8">
        <v>2.70499</v>
      </c>
      <c r="O11" s="26">
        <v>0.46239145299145301</v>
      </c>
    </row>
    <row r="12" spans="1:15" x14ac:dyDescent="0.2">
      <c r="A12" s="21" t="str">
        <f>[1]!to_windcode(B12)</f>
        <v>2869.HK</v>
      </c>
      <c r="B12" s="21" t="s">
        <v>10</v>
      </c>
      <c r="C12" s="22">
        <f>[1]!hks_stm_is(A12,"83","2023/12/31",1,"Cur=CNY",100000000)</f>
        <v>174.10767999999999</v>
      </c>
      <c r="D12" s="22">
        <v>111.01501</v>
      </c>
      <c r="E12" s="22">
        <v>14.431951300000001</v>
      </c>
      <c r="F12" s="22">
        <f>I12+I13</f>
        <v>146.70062000000001</v>
      </c>
      <c r="G12" s="22">
        <f>J12+J13</f>
        <v>22.104357450000002</v>
      </c>
      <c r="H12" s="33" t="s">
        <v>54</v>
      </c>
      <c r="I12" s="22">
        <v>111.01501</v>
      </c>
      <c r="J12" s="22">
        <v>14.431951300000001</v>
      </c>
      <c r="K12" s="27">
        <f t="shared" si="0"/>
        <v>0.13</v>
      </c>
      <c r="M12" s="22">
        <v>94.46</v>
      </c>
      <c r="N12" s="22">
        <v>11.429659999999998</v>
      </c>
      <c r="O12" s="27">
        <v>0.121</v>
      </c>
    </row>
    <row r="13" spans="1:15" x14ac:dyDescent="0.2">
      <c r="A13" s="21"/>
      <c r="B13" s="21"/>
      <c r="C13" s="22"/>
      <c r="D13" s="22"/>
      <c r="E13" s="22"/>
      <c r="F13" s="22"/>
      <c r="G13" s="22"/>
      <c r="H13" s="33" t="s">
        <v>55</v>
      </c>
      <c r="I13" s="22">
        <v>35.685609999999997</v>
      </c>
      <c r="J13" s="22">
        <v>7.6724061499999996</v>
      </c>
      <c r="K13" s="27">
        <f t="shared" si="0"/>
        <v>0.215</v>
      </c>
      <c r="L13" s="48"/>
      <c r="M13" s="22">
        <v>28.21</v>
      </c>
      <c r="N13" s="22">
        <v>5.86768</v>
      </c>
      <c r="O13" s="27">
        <v>0.20799999999999999</v>
      </c>
    </row>
    <row r="14" spans="1:15" x14ac:dyDescent="0.2">
      <c r="A14" s="21"/>
      <c r="B14" s="21"/>
      <c r="C14" s="22"/>
      <c r="D14" s="22"/>
      <c r="E14" s="22"/>
      <c r="F14" s="22"/>
      <c r="G14" s="22"/>
      <c r="H14" s="41" t="s">
        <v>56</v>
      </c>
      <c r="I14" s="22">
        <v>22.952559999999998</v>
      </c>
      <c r="J14" s="22">
        <v>5.3708990399999994</v>
      </c>
      <c r="K14" s="27">
        <f t="shared" si="0"/>
        <v>0.23399999999999999</v>
      </c>
      <c r="L14" s="48"/>
      <c r="M14" s="22">
        <v>20.67</v>
      </c>
      <c r="N14" s="22">
        <v>4.6920900000000003</v>
      </c>
      <c r="O14" s="27">
        <v>0.22700000000000001</v>
      </c>
    </row>
    <row r="15" spans="1:15" x14ac:dyDescent="0.2">
      <c r="A15" s="21"/>
      <c r="B15" s="21"/>
      <c r="C15" s="22"/>
      <c r="D15" s="22"/>
      <c r="E15" s="22"/>
      <c r="F15" s="22"/>
      <c r="G15" s="22"/>
      <c r="H15" s="41" t="s">
        <v>57</v>
      </c>
      <c r="I15" s="22">
        <v>4.2795399999999999</v>
      </c>
      <c r="J15" s="22">
        <v>1.6561819799999999</v>
      </c>
      <c r="K15" s="27">
        <f>J15/I15</f>
        <v>0.38700000000000001</v>
      </c>
      <c r="L15" s="48"/>
      <c r="M15" s="22">
        <v>4.8899999999999997</v>
      </c>
      <c r="N15" s="22">
        <v>2.0000099999999996</v>
      </c>
      <c r="O15" s="27">
        <v>0.40899999999999997</v>
      </c>
    </row>
    <row r="16" spans="1:15" x14ac:dyDescent="0.2">
      <c r="A16" s="11" t="str">
        <f>[1]!to_windcode(B16)</f>
        <v>3316.HK</v>
      </c>
      <c r="B16" s="11" t="s">
        <v>1</v>
      </c>
      <c r="C16" s="8">
        <f>[1]!hks_stm_is(A16,"83","2023/12/31",1,"Cur=CNY",100000000)</f>
        <v>28.097370000000002</v>
      </c>
      <c r="D16" s="8">
        <v>15.498900000000001</v>
      </c>
      <c r="E16" s="8">
        <v>2.8408000000000002</v>
      </c>
      <c r="F16" s="8">
        <f>I16+I18</f>
        <v>22.283730000000002</v>
      </c>
      <c r="G16" s="8">
        <f>J16+J18</f>
        <v>5.0333300000000003</v>
      </c>
      <c r="H16" s="32" t="s">
        <v>48</v>
      </c>
      <c r="I16" s="8">
        <v>15.498900000000001</v>
      </c>
      <c r="J16" s="8">
        <v>2.8408000000000002</v>
      </c>
      <c r="K16" s="26">
        <f t="shared" si="0"/>
        <v>0.18329042706256574</v>
      </c>
      <c r="L16" s="48"/>
      <c r="M16" s="8">
        <v>11.93</v>
      </c>
      <c r="N16" s="8">
        <v>2.28383</v>
      </c>
      <c r="O16" s="26">
        <v>0.19143587594300085</v>
      </c>
    </row>
    <row r="17" spans="1:24" x14ac:dyDescent="0.2">
      <c r="A17" s="11"/>
      <c r="B17" s="11"/>
      <c r="C17" s="8"/>
      <c r="D17" s="8"/>
      <c r="E17" s="8"/>
      <c r="F17" s="8"/>
      <c r="G17" s="8"/>
      <c r="H17" s="40" t="s">
        <v>53</v>
      </c>
      <c r="I17" s="8">
        <v>5.8083299999999998</v>
      </c>
      <c r="J17" s="8">
        <v>1.92554</v>
      </c>
      <c r="K17" s="26">
        <f t="shared" si="0"/>
        <v>0.33151353314980381</v>
      </c>
      <c r="M17" s="8">
        <v>5.4</v>
      </c>
      <c r="N17" s="8">
        <v>2.4356200000000001</v>
      </c>
      <c r="O17" s="26">
        <v>0.45104074074074074</v>
      </c>
    </row>
    <row r="18" spans="1:24" x14ac:dyDescent="0.2">
      <c r="A18" s="11"/>
      <c r="B18" s="11"/>
      <c r="C18" s="8"/>
      <c r="D18" s="8"/>
      <c r="E18" s="8"/>
      <c r="F18" s="8"/>
      <c r="G18" s="8"/>
      <c r="H18" s="32" t="s">
        <v>58</v>
      </c>
      <c r="I18" s="8">
        <v>6.7848300000000004</v>
      </c>
      <c r="J18" s="8">
        <v>2.1925300000000001</v>
      </c>
      <c r="K18" s="26">
        <f t="shared" si="0"/>
        <v>0.32315179599194083</v>
      </c>
      <c r="M18" s="8">
        <v>2.4900000000000002</v>
      </c>
      <c r="N18" s="8">
        <v>1.20302</v>
      </c>
      <c r="O18" s="26">
        <v>0.48314056224899593</v>
      </c>
    </row>
    <row r="19" spans="1:24" s="42" customFormat="1" x14ac:dyDescent="0.2">
      <c r="A19" s="39" t="str">
        <f>[1]!to_windcode(B19)</f>
        <v>1755.HK</v>
      </c>
      <c r="B19" s="39" t="s">
        <v>0</v>
      </c>
      <c r="C19" s="45">
        <f>[1]!hks_stm_is(A19,"83","2023/12/31",1,"Cur=CNY",100000000)</f>
        <v>54.332070000000002</v>
      </c>
      <c r="D19" s="45">
        <v>35.55106</v>
      </c>
      <c r="E19" s="45">
        <v>8.5406300000000002</v>
      </c>
      <c r="F19" s="45">
        <f>I19+I20</f>
        <v>48.694139999999997</v>
      </c>
      <c r="G19" s="45">
        <f>J19+J20</f>
        <v>13.22936</v>
      </c>
      <c r="H19" s="33" t="s">
        <v>48</v>
      </c>
      <c r="I19" s="45">
        <v>35.55106</v>
      </c>
      <c r="J19" s="45">
        <v>8.5406300000000002</v>
      </c>
      <c r="K19" s="46">
        <f t="shared" si="0"/>
        <v>0.24023559353785795</v>
      </c>
      <c r="M19" s="45">
        <v>30.25</v>
      </c>
      <c r="N19" s="45">
        <v>7.3989900000000004</v>
      </c>
      <c r="O19" s="46">
        <v>0.24459471074380168</v>
      </c>
    </row>
    <row r="20" spans="1:24" x14ac:dyDescent="0.2">
      <c r="A20" s="35"/>
      <c r="B20" s="35"/>
      <c r="C20" s="36"/>
      <c r="D20" s="36"/>
      <c r="E20" s="36"/>
      <c r="F20" s="36"/>
      <c r="G20" s="36"/>
      <c r="H20" s="33" t="s">
        <v>52</v>
      </c>
      <c r="I20" s="36">
        <v>13.143079999999999</v>
      </c>
      <c r="J20" s="36">
        <v>4.6887299999999996</v>
      </c>
      <c r="K20" s="37">
        <f t="shared" si="0"/>
        <v>0.356745146495342</v>
      </c>
      <c r="M20" s="36">
        <v>12.85</v>
      </c>
      <c r="N20" s="36">
        <v>4.1412000000000004</v>
      </c>
      <c r="O20" s="37">
        <v>0.32227237354085608</v>
      </c>
    </row>
    <row r="21" spans="1:24" x14ac:dyDescent="0.2">
      <c r="A21" s="35"/>
      <c r="B21" s="35"/>
      <c r="C21" s="36"/>
      <c r="D21" s="36"/>
      <c r="E21" s="36"/>
      <c r="F21" s="36"/>
      <c r="G21" s="36"/>
      <c r="H21" s="41" t="s">
        <v>59</v>
      </c>
      <c r="I21" s="36">
        <v>5.5487000000000002</v>
      </c>
      <c r="J21" s="36">
        <v>1.1554199999999999</v>
      </c>
      <c r="K21" s="37">
        <f t="shared" si="0"/>
        <v>0.20823255897777856</v>
      </c>
      <c r="M21" s="36">
        <v>5.2</v>
      </c>
      <c r="N21" s="36">
        <v>1.27542</v>
      </c>
      <c r="O21" s="37">
        <v>0.24527307692307693</v>
      </c>
    </row>
    <row r="22" spans="1:24" x14ac:dyDescent="0.2">
      <c r="A22" s="35"/>
      <c r="B22" s="35"/>
      <c r="C22" s="36"/>
      <c r="D22" s="36"/>
      <c r="E22" s="36"/>
      <c r="F22" s="36"/>
      <c r="G22" s="36"/>
      <c r="H22" s="41"/>
      <c r="I22" s="36"/>
      <c r="J22" s="36"/>
      <c r="K22" s="37"/>
      <c r="M22" s="36">
        <v>3.51</v>
      </c>
      <c r="N22" s="36">
        <v>0.56579000000000002</v>
      </c>
      <c r="O22" s="37">
        <v>0.1611937321937322</v>
      </c>
    </row>
    <row r="23" spans="1:24" x14ac:dyDescent="0.2">
      <c r="A23" s="11" t="str">
        <f>[1]!to_windcode(B23)</f>
        <v>6098.HK</v>
      </c>
      <c r="B23" s="11" t="s">
        <v>2</v>
      </c>
      <c r="C23" s="8">
        <f>[1]!hks_stm_is(A23,"83","2023/12/31",1,"Cur=CNY",100000000)</f>
        <v>426.22235000000001</v>
      </c>
      <c r="D23" s="8">
        <v>246.98500000000001</v>
      </c>
      <c r="E23" s="8">
        <v>54.583685000000003</v>
      </c>
      <c r="F23" s="8">
        <f>I23+I24</f>
        <v>284.51400000000001</v>
      </c>
      <c r="G23" s="8">
        <f>J23+J24</f>
        <v>69.370111000000009</v>
      </c>
      <c r="H23" s="32" t="s">
        <v>48</v>
      </c>
      <c r="I23" s="8">
        <v>246.98500000000001</v>
      </c>
      <c r="J23" s="8">
        <v>54.583685000000003</v>
      </c>
      <c r="K23" s="26">
        <f t="shared" si="0"/>
        <v>0.221</v>
      </c>
      <c r="L23" s="48"/>
      <c r="M23" s="8">
        <v>228.55599999999998</v>
      </c>
      <c r="N23" s="8">
        <v>58.281779999999998</v>
      </c>
      <c r="O23" s="26">
        <v>0.255</v>
      </c>
    </row>
    <row r="24" spans="1:24" x14ac:dyDescent="0.2">
      <c r="A24" s="11"/>
      <c r="B24" s="11"/>
      <c r="C24" s="8"/>
      <c r="D24" s="8"/>
      <c r="E24" s="8"/>
      <c r="F24" s="8"/>
      <c r="G24" s="8"/>
      <c r="H24" s="32" t="s">
        <v>52</v>
      </c>
      <c r="I24" s="8">
        <v>37.529000000000003</v>
      </c>
      <c r="J24" s="8">
        <v>14.786426000000002</v>
      </c>
      <c r="K24" s="26">
        <f t="shared" si="0"/>
        <v>0.39400000000000002</v>
      </c>
      <c r="L24" s="48"/>
      <c r="M24" s="8">
        <v>40.174999999999997</v>
      </c>
      <c r="N24" s="8">
        <v>21.493624999999998</v>
      </c>
      <c r="O24" s="26">
        <v>0.53500000000000003</v>
      </c>
    </row>
    <row r="25" spans="1:24" x14ac:dyDescent="0.2">
      <c r="A25" s="11"/>
      <c r="B25" s="11"/>
      <c r="C25" s="8"/>
      <c r="D25" s="8"/>
      <c r="E25" s="8"/>
      <c r="F25" s="8"/>
      <c r="G25" s="8"/>
      <c r="H25" s="40" t="s">
        <v>53</v>
      </c>
      <c r="I25" s="8">
        <v>15.534000000000001</v>
      </c>
      <c r="J25" s="8">
        <v>0.15534000000000001</v>
      </c>
      <c r="K25" s="26">
        <f t="shared" si="0"/>
        <v>0.01</v>
      </c>
      <c r="L25" s="47"/>
      <c r="M25" s="8">
        <v>26.646999999999998</v>
      </c>
      <c r="N25" s="8">
        <v>3.6239919999999999</v>
      </c>
      <c r="O25" s="26">
        <v>0.13600000000000001</v>
      </c>
    </row>
    <row r="26" spans="1:24" x14ac:dyDescent="0.2">
      <c r="A26" s="11"/>
      <c r="B26" s="11"/>
      <c r="C26" s="8"/>
      <c r="D26" s="8"/>
      <c r="E26" s="8"/>
      <c r="F26" s="8"/>
      <c r="G26" s="8"/>
      <c r="H26" s="40" t="s">
        <v>61</v>
      </c>
      <c r="I26" s="8">
        <v>65.201999999999998</v>
      </c>
      <c r="J26" s="8">
        <v>5.1916679999999999</v>
      </c>
      <c r="K26" s="26">
        <f t="shared" si="0"/>
        <v>7.9624367350694766E-2</v>
      </c>
      <c r="L26" s="29"/>
      <c r="M26" s="8">
        <v>55.53</v>
      </c>
      <c r="N26" s="8">
        <v>4.8866399999999999</v>
      </c>
      <c r="O26" s="26">
        <v>8.7999999999999995E-2</v>
      </c>
      <c r="Q26" s="29">
        <v>49.921999999999997</v>
      </c>
      <c r="R26" s="48">
        <v>7.3999999999999996E-2</v>
      </c>
      <c r="S26">
        <f>Q26*R26</f>
        <v>3.6942279999999994</v>
      </c>
    </row>
    <row r="27" spans="1:24" x14ac:dyDescent="0.2">
      <c r="A27" s="11"/>
      <c r="B27" s="11"/>
      <c r="C27" s="8"/>
      <c r="D27" s="8"/>
      <c r="E27" s="8"/>
      <c r="F27" s="8"/>
      <c r="G27" s="8"/>
      <c r="H27" s="40" t="s">
        <v>62</v>
      </c>
      <c r="I27" s="8">
        <v>48.836000000000006</v>
      </c>
      <c r="J27" s="8">
        <v>8.2044480000000011</v>
      </c>
      <c r="K27" s="26">
        <f>J27/I27</f>
        <v>0.16800000000000001</v>
      </c>
      <c r="L27" s="48"/>
      <c r="M27" s="8">
        <v>48.37</v>
      </c>
      <c r="N27" s="8">
        <v>9.0935600000000001</v>
      </c>
      <c r="O27" s="26">
        <v>0.188</v>
      </c>
      <c r="Q27" s="29">
        <v>15.28</v>
      </c>
      <c r="R27" s="48">
        <v>9.8000000000000004E-2</v>
      </c>
      <c r="S27">
        <f>Q27*R27</f>
        <v>1.4974400000000001</v>
      </c>
    </row>
    <row r="28" spans="1:24" x14ac:dyDescent="0.2">
      <c r="A28" s="11"/>
      <c r="B28" s="11"/>
      <c r="C28" s="8"/>
      <c r="D28" s="8"/>
      <c r="E28" s="8"/>
      <c r="F28" s="8"/>
      <c r="G28" s="8"/>
      <c r="H28" s="40" t="s">
        <v>63</v>
      </c>
      <c r="I28" s="8">
        <v>10.124000000000001</v>
      </c>
      <c r="J28" s="8">
        <v>3.1283160000000003</v>
      </c>
      <c r="K28" s="26">
        <f t="shared" si="0"/>
        <v>0.309</v>
      </c>
      <c r="L28" s="48"/>
      <c r="M28" s="8">
        <v>12.85</v>
      </c>
      <c r="N28" s="8">
        <v>4.56175</v>
      </c>
      <c r="O28" s="26">
        <v>0.35499999999999998</v>
      </c>
      <c r="S28">
        <f>S26+S27</f>
        <v>5.1916679999999999</v>
      </c>
    </row>
    <row r="29" spans="1:24" x14ac:dyDescent="0.2">
      <c r="A29" s="21" t="str">
        <f>[1]!to_windcode(B29)</f>
        <v>1516.HK</v>
      </c>
      <c r="B29" s="21" t="s">
        <v>5</v>
      </c>
      <c r="C29" s="22">
        <f>[1]!hks_stm_is(A29,"83","2023/12/31",1,"Cur=CNY",100000000)</f>
        <v>70.095169999999996</v>
      </c>
      <c r="D29" s="22">
        <v>61.586469999999998</v>
      </c>
      <c r="E29" s="22">
        <v>14.68576</v>
      </c>
      <c r="F29" s="22">
        <f>I29+I31</f>
        <v>65.357410000000002</v>
      </c>
      <c r="G29" s="22">
        <f>J29+J31</f>
        <v>15.175930000000001</v>
      </c>
      <c r="H29" s="33" t="s">
        <v>48</v>
      </c>
      <c r="I29" s="22">
        <v>61.586469999999998</v>
      </c>
      <c r="J29" s="22">
        <v>14.68576</v>
      </c>
      <c r="K29" s="27">
        <f t="shared" si="0"/>
        <v>0.23845757030724443</v>
      </c>
      <c r="M29" s="22">
        <v>53.65</v>
      </c>
      <c r="N29" s="22">
        <v>12.36417</v>
      </c>
      <c r="O29" s="27">
        <v>0.23045983224603914</v>
      </c>
    </row>
    <row r="30" spans="1:24" x14ac:dyDescent="0.2">
      <c r="A30" s="21"/>
      <c r="B30" s="21"/>
      <c r="C30" s="22"/>
      <c r="D30" s="22"/>
      <c r="E30" s="22"/>
      <c r="F30" s="22"/>
      <c r="G30" s="22"/>
      <c r="H30" s="41" t="s">
        <v>53</v>
      </c>
      <c r="I30" s="22">
        <v>4.7377599999999997</v>
      </c>
      <c r="J30" s="22">
        <v>1.50267</v>
      </c>
      <c r="K30" s="27">
        <f t="shared" si="0"/>
        <v>0.31716887305393265</v>
      </c>
      <c r="M30" s="22">
        <v>10.52</v>
      </c>
      <c r="N30" s="22">
        <v>0.65534000000000003</v>
      </c>
      <c r="O30" s="27">
        <v>6.2294676806083658E-2</v>
      </c>
    </row>
    <row r="31" spans="1:24" x14ac:dyDescent="0.2">
      <c r="A31" s="21"/>
      <c r="B31" s="21"/>
      <c r="C31" s="22"/>
      <c r="D31" s="22"/>
      <c r="E31" s="22"/>
      <c r="F31" s="22"/>
      <c r="G31" s="22"/>
      <c r="H31" s="33" t="s">
        <v>64</v>
      </c>
      <c r="I31" s="22">
        <v>3.77094</v>
      </c>
      <c r="J31" s="22">
        <v>0.49016999999999999</v>
      </c>
      <c r="K31" s="27">
        <f t="shared" si="0"/>
        <v>0.12998615729764992</v>
      </c>
      <c r="M31" s="22">
        <v>5.61</v>
      </c>
      <c r="N31" s="22">
        <v>2.0049800000000002</v>
      </c>
      <c r="O31" s="27">
        <v>0.35739393939393943</v>
      </c>
      <c r="Q31" s="41" t="s">
        <v>65</v>
      </c>
      <c r="R31" s="22"/>
      <c r="S31" s="22"/>
      <c r="T31" s="27" t="e">
        <f t="shared" ref="T31" si="1">S31/R31</f>
        <v>#DIV/0!</v>
      </c>
      <c r="V31" s="22">
        <v>1.48</v>
      </c>
      <c r="W31" s="22">
        <v>1.0199</v>
      </c>
      <c r="X31" s="27">
        <v>0.68912162162162161</v>
      </c>
    </row>
    <row r="32" spans="1:24" x14ac:dyDescent="0.2">
      <c r="A32" s="11" t="str">
        <f>[1]!to_windcode(B32)</f>
        <v>9666.HK</v>
      </c>
      <c r="B32" s="11" t="s">
        <v>3</v>
      </c>
      <c r="C32" s="8">
        <f>[1]!hks_stm_is(A32,"83","2023/12/31",1,"Cur=CNY",100000000)</f>
        <v>49.806870000000004</v>
      </c>
      <c r="D32" s="8">
        <v>39.366729999999997</v>
      </c>
      <c r="E32" s="8">
        <v>6.4246600000000003</v>
      </c>
      <c r="F32" s="8">
        <f>I32+I35</f>
        <v>42.537419999999997</v>
      </c>
      <c r="G32" s="8">
        <f>J32+J35</f>
        <v>8.2686600000000006</v>
      </c>
      <c r="H32" s="32" t="s">
        <v>66</v>
      </c>
      <c r="I32" s="8">
        <v>39.366729999999997</v>
      </c>
      <c r="J32" s="8">
        <v>6.4246600000000003</v>
      </c>
      <c r="K32" s="26">
        <f t="shared" si="0"/>
        <v>0.1632002454864806</v>
      </c>
      <c r="M32" s="8">
        <v>36.76</v>
      </c>
      <c r="N32" s="8">
        <v>6.4995799999999999</v>
      </c>
      <c r="O32" s="26">
        <v>0.17681120783460283</v>
      </c>
    </row>
    <row r="33" spans="1:15" x14ac:dyDescent="0.2">
      <c r="A33" s="11"/>
      <c r="B33" s="11"/>
      <c r="C33" s="8"/>
      <c r="D33" s="8"/>
      <c r="E33" s="8"/>
      <c r="F33" s="8"/>
      <c r="G33" s="8"/>
      <c r="H33" s="40" t="s">
        <v>67</v>
      </c>
      <c r="I33" s="8">
        <v>5.1389399999999998</v>
      </c>
      <c r="J33" s="8">
        <v>0.70326999999999995</v>
      </c>
      <c r="K33" s="26">
        <f t="shared" si="0"/>
        <v>0.13685117942610733</v>
      </c>
      <c r="M33" s="8">
        <v>4.88</v>
      </c>
      <c r="N33" s="8">
        <v>1.0216799999999999</v>
      </c>
      <c r="O33" s="26">
        <v>0.2093606557377049</v>
      </c>
    </row>
    <row r="34" spans="1:15" x14ac:dyDescent="0.2">
      <c r="A34" s="11"/>
      <c r="B34" s="11"/>
      <c r="C34" s="8"/>
      <c r="D34" s="8"/>
      <c r="E34" s="8"/>
      <c r="F34" s="8"/>
      <c r="G34" s="8"/>
      <c r="H34" s="40" t="s">
        <v>68</v>
      </c>
      <c r="I34" s="8">
        <v>1.55355</v>
      </c>
      <c r="J34" s="8">
        <v>0.18514</v>
      </c>
      <c r="K34" s="26">
        <f t="shared" si="0"/>
        <v>0.11917221846738116</v>
      </c>
      <c r="M34" s="8">
        <v>4.25</v>
      </c>
      <c r="N34" s="8">
        <v>0.80840999999999996</v>
      </c>
      <c r="O34" s="26">
        <v>0.19021411764705881</v>
      </c>
    </row>
    <row r="35" spans="1:15" x14ac:dyDescent="0.2">
      <c r="A35" s="11"/>
      <c r="B35" s="11"/>
      <c r="C35" s="8"/>
      <c r="D35" s="8"/>
      <c r="E35" s="8"/>
      <c r="F35" s="8"/>
      <c r="G35" s="8"/>
      <c r="H35" s="32" t="s">
        <v>52</v>
      </c>
      <c r="I35" s="8">
        <v>3.17069</v>
      </c>
      <c r="J35" s="8">
        <v>1.8440000000000001</v>
      </c>
      <c r="K35" s="26">
        <f t="shared" si="0"/>
        <v>0.58157688074204672</v>
      </c>
      <c r="M35" s="8">
        <v>3.33</v>
      </c>
      <c r="N35" s="8">
        <v>0.92730999999999997</v>
      </c>
      <c r="O35" s="26">
        <v>0.27847147147147144</v>
      </c>
    </row>
    <row r="36" spans="1:15" x14ac:dyDescent="0.2">
      <c r="A36" s="11"/>
      <c r="B36" s="11"/>
      <c r="C36" s="8"/>
      <c r="D36" s="8"/>
      <c r="E36" s="8"/>
      <c r="F36" s="8"/>
      <c r="G36" s="8"/>
      <c r="H36" s="40" t="s">
        <v>69</v>
      </c>
      <c r="I36" s="8">
        <v>0.5675</v>
      </c>
      <c r="J36" s="8">
        <v>0.12470000000000001</v>
      </c>
      <c r="K36" s="26">
        <f t="shared" si="0"/>
        <v>0.21973568281938327</v>
      </c>
      <c r="M36" s="8">
        <v>0.83</v>
      </c>
      <c r="N36" s="8">
        <v>0.17504</v>
      </c>
      <c r="O36" s="26">
        <v>0.21089156626506025</v>
      </c>
    </row>
    <row r="37" spans="1:15" x14ac:dyDescent="0.2">
      <c r="A37" s="21" t="str">
        <f>[1]!to_windcode(B37)</f>
        <v>0873.HK</v>
      </c>
      <c r="B37" s="21" t="s">
        <v>13</v>
      </c>
      <c r="C37" s="22">
        <f>[1]!hks_stm_is(A37,"83","2023/12/31",1,"Cur=CNY",100000000)</f>
        <v>82.113169999999997</v>
      </c>
      <c r="D37" s="22">
        <v>52.918999999999997</v>
      </c>
      <c r="E37" s="22">
        <v>10.636719000000001</v>
      </c>
      <c r="F37" s="22">
        <f>I37+I38</f>
        <v>66.548000000000002</v>
      </c>
      <c r="G37" s="22">
        <f>J37+J38</f>
        <v>14.193888000000001</v>
      </c>
      <c r="H37" s="33" t="s">
        <v>48</v>
      </c>
      <c r="I37" s="22">
        <v>52.918999999999997</v>
      </c>
      <c r="J37" s="22">
        <v>10.636719000000001</v>
      </c>
      <c r="K37" s="27">
        <f t="shared" si="0"/>
        <v>0.20100000000000004</v>
      </c>
      <c r="L37" s="49"/>
      <c r="M37" s="22">
        <v>50.42</v>
      </c>
      <c r="N37" s="22">
        <v>11.268000000000001</v>
      </c>
      <c r="O37" s="27">
        <v>0.22348274494248316</v>
      </c>
    </row>
    <row r="38" spans="1:15" x14ac:dyDescent="0.2">
      <c r="A38" s="21"/>
      <c r="B38" s="21"/>
      <c r="C38" s="22"/>
      <c r="D38" s="22"/>
      <c r="E38" s="22"/>
      <c r="F38" s="22"/>
      <c r="G38" s="22"/>
      <c r="H38" s="33" t="s">
        <v>52</v>
      </c>
      <c r="I38" s="22">
        <v>13.629000000000001</v>
      </c>
      <c r="J38" s="22">
        <v>3.557169</v>
      </c>
      <c r="K38" s="27">
        <f t="shared" si="0"/>
        <v>0.26099999999999995</v>
      </c>
      <c r="L38" s="48"/>
      <c r="M38" s="22">
        <v>16.88</v>
      </c>
      <c r="N38" s="22">
        <v>5.2459866000000011</v>
      </c>
      <c r="O38" s="27">
        <v>0.31078119668246451</v>
      </c>
    </row>
    <row r="39" spans="1:15" x14ac:dyDescent="0.2">
      <c r="A39" s="21"/>
      <c r="B39" s="21"/>
      <c r="C39" s="22"/>
      <c r="D39" s="22"/>
      <c r="E39" s="22"/>
      <c r="F39" s="22"/>
      <c r="G39" s="22"/>
      <c r="H39" s="41" t="s">
        <v>70</v>
      </c>
      <c r="I39" s="22">
        <v>13.347999999999999</v>
      </c>
      <c r="J39" s="22">
        <v>1.8687200000000002</v>
      </c>
      <c r="K39" s="27">
        <f t="shared" si="0"/>
        <v>0.14000000000000001</v>
      </c>
      <c r="L39" s="47"/>
      <c r="M39" s="22">
        <v>13.81</v>
      </c>
      <c r="N39" s="22">
        <v>1.7875213600000002</v>
      </c>
      <c r="O39" s="27">
        <v>0.12943673859522087</v>
      </c>
    </row>
    <row r="40" spans="1:15" x14ac:dyDescent="0.2">
      <c r="A40" s="21"/>
      <c r="B40" s="21"/>
      <c r="C40" s="22"/>
      <c r="D40" s="22"/>
      <c r="E40" s="22"/>
      <c r="F40" s="22"/>
      <c r="G40" s="22"/>
      <c r="H40" s="41" t="s">
        <v>53</v>
      </c>
      <c r="I40" s="22">
        <v>2.1309999999999998</v>
      </c>
      <c r="J40" s="22">
        <v>0.38571100000000003</v>
      </c>
      <c r="K40" s="27">
        <f t="shared" si="0"/>
        <v>0.18100000000000002</v>
      </c>
      <c r="L40" s="48"/>
      <c r="M40" s="22">
        <v>5.25</v>
      </c>
      <c r="N40" s="22">
        <v>1.12691564</v>
      </c>
      <c r="O40" s="27">
        <v>0.21465059809523809</v>
      </c>
    </row>
    <row r="41" spans="1:15" x14ac:dyDescent="0.2">
      <c r="A41" s="11" t="str">
        <f>[1]!to_windcode(B41)</f>
        <v>1995.HK</v>
      </c>
      <c r="B41" s="11" t="s">
        <v>6</v>
      </c>
      <c r="C41" s="8">
        <f>[1]!hks_stm_is(A41,"83","2023/12/31",1,"Cur=CNY",100000000)</f>
        <v>65.449529999999996</v>
      </c>
      <c r="D41" s="8">
        <v>44.631880000000002</v>
      </c>
      <c r="E41" s="8">
        <v>8.3907934400000013</v>
      </c>
      <c r="F41" s="8">
        <f>I41+I42</f>
        <v>53.534700000000001</v>
      </c>
      <c r="G41" s="8">
        <f>J41+J42</f>
        <v>11.177376100000002</v>
      </c>
      <c r="H41" s="32" t="s">
        <v>48</v>
      </c>
      <c r="I41" s="8">
        <v>44.631880000000002</v>
      </c>
      <c r="J41" s="8">
        <v>8.3907934400000013</v>
      </c>
      <c r="K41" s="26">
        <f t="shared" si="0"/>
        <v>0.18800000000000003</v>
      </c>
      <c r="L41" s="50"/>
      <c r="M41" s="8">
        <v>38.880000000000003</v>
      </c>
      <c r="N41" s="8">
        <v>7.542720000000001</v>
      </c>
      <c r="O41" s="26">
        <v>0.19400000000000001</v>
      </c>
    </row>
    <row r="42" spans="1:15" x14ac:dyDescent="0.2">
      <c r="A42" s="11"/>
      <c r="B42" s="11"/>
      <c r="C42" s="8"/>
      <c r="D42" s="8"/>
      <c r="E42" s="8"/>
      <c r="F42" s="8"/>
      <c r="G42" s="8"/>
      <c r="H42" s="32" t="s">
        <v>52</v>
      </c>
      <c r="I42" s="8">
        <v>8.9028200000000002</v>
      </c>
      <c r="J42" s="8">
        <v>2.7865826600000001</v>
      </c>
      <c r="K42" s="26">
        <f t="shared" si="0"/>
        <v>0.313</v>
      </c>
      <c r="L42" s="48"/>
      <c r="M42" s="8">
        <v>10.199999999999999</v>
      </c>
      <c r="N42" s="8">
        <v>3.0293999999999999</v>
      </c>
      <c r="O42" s="26">
        <v>0.29699999999999999</v>
      </c>
    </row>
    <row r="43" spans="1:15" x14ac:dyDescent="0.2">
      <c r="A43" s="11"/>
      <c r="B43" s="11"/>
      <c r="C43" s="8"/>
      <c r="D43" s="8"/>
      <c r="E43" s="8"/>
      <c r="F43" s="8"/>
      <c r="G43" s="8"/>
      <c r="H43" s="40" t="s">
        <v>71</v>
      </c>
      <c r="I43" s="8">
        <v>7.7755700000000001</v>
      </c>
      <c r="J43" s="8">
        <v>1.01859967</v>
      </c>
      <c r="K43" s="26">
        <f t="shared" si="0"/>
        <v>0.13100000000000001</v>
      </c>
      <c r="L43" s="48"/>
      <c r="M43" s="8">
        <v>9.64</v>
      </c>
      <c r="N43" s="8">
        <v>2.0533200000000003</v>
      </c>
      <c r="O43" s="26">
        <v>0.21299999999999999</v>
      </c>
    </row>
    <row r="44" spans="1:15" x14ac:dyDescent="0.2">
      <c r="A44" s="11"/>
      <c r="B44" s="11"/>
      <c r="C44" s="8"/>
      <c r="D44" s="8"/>
      <c r="E44" s="8"/>
      <c r="F44" s="8"/>
      <c r="G44" s="8"/>
      <c r="H44" s="40" t="s">
        <v>70</v>
      </c>
      <c r="I44" s="8">
        <v>4.0595299999999996</v>
      </c>
      <c r="J44" s="8">
        <v>0.34100052000000003</v>
      </c>
      <c r="K44" s="26">
        <f t="shared" si="0"/>
        <v>8.4000000000000019E-2</v>
      </c>
      <c r="L44" s="48"/>
      <c r="M44" s="8">
        <v>4.03</v>
      </c>
      <c r="N44" s="8">
        <v>0.30628</v>
      </c>
      <c r="O44" s="26">
        <v>7.5999999999999998E-2</v>
      </c>
    </row>
    <row r="45" spans="1:15" x14ac:dyDescent="0.2">
      <c r="A45" s="11"/>
      <c r="B45" s="11"/>
      <c r="C45" s="8"/>
      <c r="D45" s="8"/>
      <c r="E45" s="8"/>
      <c r="F45" s="8"/>
      <c r="G45" s="8"/>
      <c r="H45" s="40" t="s">
        <v>72</v>
      </c>
      <c r="I45" s="8">
        <v>4.4299999999999999E-3</v>
      </c>
      <c r="J45" s="8"/>
      <c r="K45" s="26">
        <f t="shared" si="0"/>
        <v>0</v>
      </c>
      <c r="M45" s="8">
        <v>0.01</v>
      </c>
      <c r="N45" s="8"/>
      <c r="O45" s="26"/>
    </row>
    <row r="46" spans="1:15" x14ac:dyDescent="0.2">
      <c r="A46" s="21" t="str">
        <f>[1]!to_windcode(B46)</f>
        <v>3319.HK</v>
      </c>
      <c r="B46" s="21" t="s">
        <v>4</v>
      </c>
      <c r="C46" s="22">
        <f>[1]!hks_stm_is(A46,"83","2023/12/31",1,"Cur=CNY",100000000)</f>
        <v>154.48527999999999</v>
      </c>
      <c r="D46" s="22">
        <v>108.06700000000001</v>
      </c>
      <c r="E46" s="22">
        <v>17.695</v>
      </c>
      <c r="F46" s="22">
        <f>I46+I47</f>
        <v>131.41200000000001</v>
      </c>
      <c r="G46" s="22">
        <f>J46+J47</f>
        <v>22.693999999999999</v>
      </c>
      <c r="H46" s="33" t="s">
        <v>48</v>
      </c>
      <c r="I46" s="22">
        <v>108.06700000000001</v>
      </c>
      <c r="J46" s="22">
        <v>17.695</v>
      </c>
      <c r="K46" s="27">
        <f t="shared" si="0"/>
        <v>0.16374101252001072</v>
      </c>
      <c r="M46" s="22">
        <v>100.29</v>
      </c>
      <c r="N46" s="22">
        <v>19.187000000000001</v>
      </c>
      <c r="O46" s="27">
        <v>0.19131518596071392</v>
      </c>
    </row>
    <row r="47" spans="1:15" x14ac:dyDescent="0.2">
      <c r="A47" s="21"/>
      <c r="B47" s="21"/>
      <c r="C47" s="22"/>
      <c r="D47" s="22"/>
      <c r="E47" s="22"/>
      <c r="F47" s="22"/>
      <c r="G47" s="22"/>
      <c r="H47" s="33" t="s">
        <v>82</v>
      </c>
      <c r="I47" s="22">
        <v>23.344999999999999</v>
      </c>
      <c r="J47" s="22">
        <v>4.9989999999999997</v>
      </c>
      <c r="K47" s="27">
        <f t="shared" si="0"/>
        <v>0.21413578924823301</v>
      </c>
      <c r="M47" s="22">
        <v>23.2</v>
      </c>
      <c r="N47" s="22">
        <v>7.9429999999999996</v>
      </c>
      <c r="O47" s="27">
        <v>0.34237068965517242</v>
      </c>
    </row>
    <row r="48" spans="1:15" x14ac:dyDescent="0.2">
      <c r="A48" s="21"/>
      <c r="B48" s="21"/>
      <c r="C48" s="22"/>
      <c r="D48" s="22"/>
      <c r="E48" s="22"/>
      <c r="F48" s="22"/>
      <c r="G48" s="22"/>
      <c r="H48" s="41" t="s">
        <v>80</v>
      </c>
      <c r="I48" s="22">
        <v>13.874000000000001</v>
      </c>
      <c r="J48" s="22">
        <v>2.319</v>
      </c>
      <c r="K48" s="27">
        <f t="shared" si="0"/>
        <v>0.16714718177886695</v>
      </c>
      <c r="M48" s="22">
        <v>13.147</v>
      </c>
      <c r="N48" s="22">
        <v>2.5329999999999999</v>
      </c>
      <c r="O48" s="27">
        <v>0.19266752871377499</v>
      </c>
    </row>
    <row r="49" spans="1:15" x14ac:dyDescent="0.2">
      <c r="A49" s="21"/>
      <c r="B49" s="21"/>
      <c r="C49" s="22"/>
      <c r="D49" s="22"/>
      <c r="E49" s="22"/>
      <c r="F49" s="22"/>
      <c r="G49" s="22"/>
      <c r="H49" s="41" t="s">
        <v>83</v>
      </c>
      <c r="I49" s="22">
        <v>9.1479999999999997</v>
      </c>
      <c r="J49" s="22">
        <v>1.4430000000000001</v>
      </c>
      <c r="K49" s="27">
        <f t="shared" si="0"/>
        <v>0.15773939658941846</v>
      </c>
      <c r="M49" s="22">
        <v>17.146999999999998</v>
      </c>
      <c r="N49" s="22">
        <v>4.1769999999999996</v>
      </c>
      <c r="O49" s="27">
        <v>0.24359946346299644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84BE-DFF3-425B-AEAF-8049A5E36BAA}">
  <dimension ref="A1:P13"/>
  <sheetViews>
    <sheetView workbookViewId="0">
      <selection activeCell="I19" sqref="I19"/>
    </sheetView>
  </sheetViews>
  <sheetFormatPr defaultRowHeight="14.25" x14ac:dyDescent="0.2"/>
  <cols>
    <col min="1" max="1" width="8.125" bestFit="1" customWidth="1"/>
    <col min="2" max="2" width="11" bestFit="1" customWidth="1"/>
    <col min="3" max="5" width="13.125" bestFit="1" customWidth="1"/>
    <col min="6" max="6" width="14.625" bestFit="1" customWidth="1"/>
    <col min="7" max="7" width="12.375" bestFit="1" customWidth="1"/>
    <col min="8" max="10" width="13.125" bestFit="1" customWidth="1"/>
    <col min="11" max="11" width="14.625" bestFit="1" customWidth="1"/>
    <col min="12" max="12" width="12.375" bestFit="1" customWidth="1"/>
    <col min="13" max="15" width="14" bestFit="1" customWidth="1"/>
    <col min="16" max="16" width="15.375" bestFit="1" customWidth="1"/>
  </cols>
  <sheetData>
    <row r="1" spans="1:16" x14ac:dyDescent="0.2">
      <c r="A1" s="4" t="s">
        <v>12</v>
      </c>
      <c r="B1" s="4" t="s">
        <v>11</v>
      </c>
      <c r="C1" s="4" t="s">
        <v>35</v>
      </c>
      <c r="D1" s="4" t="s">
        <v>25</v>
      </c>
      <c r="E1" s="4" t="s">
        <v>37</v>
      </c>
      <c r="F1" s="4" t="s">
        <v>38</v>
      </c>
      <c r="G1" s="4" t="s">
        <v>45</v>
      </c>
      <c r="H1" s="4" t="s">
        <v>23</v>
      </c>
      <c r="I1" s="4" t="s">
        <v>24</v>
      </c>
      <c r="J1" s="4" t="s">
        <v>39</v>
      </c>
      <c r="K1" s="4" t="s">
        <v>40</v>
      </c>
      <c r="L1" s="4" t="s">
        <v>45</v>
      </c>
      <c r="M1" s="11" t="s">
        <v>28</v>
      </c>
      <c r="N1" s="11" t="s">
        <v>27</v>
      </c>
      <c r="O1" s="11" t="s">
        <v>42</v>
      </c>
      <c r="P1" s="11" t="s">
        <v>41</v>
      </c>
    </row>
    <row r="2" spans="1:16" x14ac:dyDescent="0.2">
      <c r="A2" s="6" t="str">
        <f>[1]!to_windcode(B2)</f>
        <v>2669.HK</v>
      </c>
      <c r="B2" s="6" t="s">
        <v>8</v>
      </c>
      <c r="C2" s="13" t="s">
        <v>36</v>
      </c>
      <c r="D2" s="13" t="s">
        <v>36</v>
      </c>
      <c r="E2" s="13" t="s">
        <v>29</v>
      </c>
      <c r="F2" s="13" t="s">
        <v>29</v>
      </c>
      <c r="G2" s="9" t="s">
        <v>29</v>
      </c>
      <c r="H2" s="13">
        <v>1.871</v>
      </c>
      <c r="I2" s="13">
        <v>2.6</v>
      </c>
      <c r="J2" s="13">
        <v>3.2030000000000003</v>
      </c>
      <c r="K2" s="13">
        <v>3.633</v>
      </c>
      <c r="L2" s="9" t="s">
        <v>29</v>
      </c>
      <c r="M2" s="14" t="s">
        <v>36</v>
      </c>
      <c r="N2" s="14" t="s">
        <v>36</v>
      </c>
      <c r="O2" s="13" t="s">
        <v>29</v>
      </c>
      <c r="P2" s="13" t="s">
        <v>29</v>
      </c>
    </row>
    <row r="3" spans="1:16" x14ac:dyDescent="0.2">
      <c r="A3" s="6" t="str">
        <f>[1]!to_windcode(B3)</f>
        <v>6049.HK</v>
      </c>
      <c r="B3" s="6" t="s">
        <v>9</v>
      </c>
      <c r="C3" s="13">
        <v>5.6719999999999997</v>
      </c>
      <c r="D3" s="13">
        <v>6.5629999999999997</v>
      </c>
      <c r="E3" s="13">
        <v>7.7160000000000002</v>
      </c>
      <c r="F3" s="13">
        <v>8.4239999999999995</v>
      </c>
      <c r="G3" s="9">
        <f t="shared" ref="G3:G13" si="0">(E3/C3)^0.5-1</f>
        <v>0.16634759556542189</v>
      </c>
      <c r="H3" s="13">
        <v>3.8010000000000002</v>
      </c>
      <c r="I3" s="13">
        <v>4.6529999999999996</v>
      </c>
      <c r="J3" s="13">
        <v>5.7610000000000001</v>
      </c>
      <c r="K3" s="13">
        <v>6.5049999999999999</v>
      </c>
      <c r="L3" s="9">
        <f t="shared" ref="L3:L13" si="1">(J3/H3)^0.5-1</f>
        <v>0.23111891193429557</v>
      </c>
      <c r="M3" s="13">
        <f t="shared" ref="M3:P13" si="2">C3/H3</f>
        <v>1.4922388845040777</v>
      </c>
      <c r="N3" s="13">
        <f t="shared" si="2"/>
        <v>1.4104878572963679</v>
      </c>
      <c r="O3" s="13">
        <f t="shared" si="2"/>
        <v>1.3393508071515361</v>
      </c>
      <c r="P3" s="13">
        <f t="shared" si="2"/>
        <v>1.2950038431975404</v>
      </c>
    </row>
    <row r="4" spans="1:16" x14ac:dyDescent="0.2">
      <c r="A4" s="6" t="str">
        <f>[1]!to_windcode(B4)</f>
        <v>0816.HK</v>
      </c>
      <c r="B4" s="6" t="s">
        <v>7</v>
      </c>
      <c r="C4" s="13">
        <v>0.40506329113924044</v>
      </c>
      <c r="D4" s="13">
        <v>0.57599999999999996</v>
      </c>
      <c r="E4" s="13">
        <v>0.80799999999999994</v>
      </c>
      <c r="F4" s="13">
        <v>0.94499999999999995</v>
      </c>
      <c r="G4" s="9">
        <f t="shared" si="0"/>
        <v>0.4123561873691779</v>
      </c>
      <c r="H4" s="13">
        <v>0.17652000000000001</v>
      </c>
      <c r="I4" s="13">
        <v>0.36399999999999999</v>
      </c>
      <c r="J4" s="13">
        <v>0.56899999999999995</v>
      </c>
      <c r="K4" s="13">
        <v>0.71</v>
      </c>
      <c r="L4" s="9">
        <f t="shared" si="1"/>
        <v>0.79539153744161672</v>
      </c>
      <c r="M4" s="13">
        <f t="shared" si="2"/>
        <v>2.2947161292728326</v>
      </c>
      <c r="N4" s="13">
        <f t="shared" si="2"/>
        <v>1.5824175824175823</v>
      </c>
      <c r="O4" s="13">
        <f t="shared" si="2"/>
        <v>1.4200351493848857</v>
      </c>
      <c r="P4" s="13">
        <f t="shared" si="2"/>
        <v>1.3309859154929577</v>
      </c>
    </row>
    <row r="5" spans="1:16" x14ac:dyDescent="0.2">
      <c r="A5" s="15" t="str">
        <f>[1]!to_windcode(B5)</f>
        <v>2869.HK</v>
      </c>
      <c r="B5" s="15" t="s">
        <v>10</v>
      </c>
      <c r="C5" s="13">
        <v>5.3479999999999999</v>
      </c>
      <c r="D5" s="13">
        <v>6.5179999999999998</v>
      </c>
      <c r="E5" s="13">
        <v>7.6310000000000002</v>
      </c>
      <c r="F5" s="13">
        <v>7.9379999999999997</v>
      </c>
      <c r="G5" s="9">
        <f t="shared" si="0"/>
        <v>0.19452440597490872</v>
      </c>
      <c r="H5" s="13">
        <v>2.5049999999999999</v>
      </c>
      <c r="I5" s="13">
        <v>3.0410000000000004</v>
      </c>
      <c r="J5" s="13">
        <v>3.8410000000000002</v>
      </c>
      <c r="K5" s="13">
        <v>4.1449999999999996</v>
      </c>
      <c r="L5" s="9">
        <f t="shared" si="1"/>
        <v>0.23827837473378066</v>
      </c>
      <c r="M5" s="13">
        <f t="shared" si="2"/>
        <v>2.1349301397205589</v>
      </c>
      <c r="N5" s="13">
        <f t="shared" si="2"/>
        <v>2.1433738901677075</v>
      </c>
      <c r="O5" s="13">
        <f t="shared" si="2"/>
        <v>1.9867222077583961</v>
      </c>
      <c r="P5" s="13">
        <f t="shared" si="2"/>
        <v>1.9150784077201448</v>
      </c>
    </row>
    <row r="6" spans="1:16" x14ac:dyDescent="0.2">
      <c r="A6" s="15" t="str">
        <f>[1]!to_windcode(B6)</f>
        <v>3316.HK</v>
      </c>
      <c r="B6" s="15" t="s">
        <v>1</v>
      </c>
      <c r="C6" s="13">
        <v>0.35488000000000003</v>
      </c>
      <c r="D6" s="13">
        <v>0.49782999999999999</v>
      </c>
      <c r="E6" s="13">
        <v>0.69099999999999995</v>
      </c>
      <c r="F6" s="13">
        <v>0.74199999999999999</v>
      </c>
      <c r="G6" s="9">
        <f t="shared" si="0"/>
        <v>0.39539853103505451</v>
      </c>
      <c r="H6" s="13">
        <v>0.19955000000000001</v>
      </c>
      <c r="I6" s="13">
        <v>0.29948000000000002</v>
      </c>
      <c r="J6" s="13">
        <v>0.42</v>
      </c>
      <c r="K6" s="13">
        <v>0.48700000000000004</v>
      </c>
      <c r="L6" s="9">
        <f t="shared" si="1"/>
        <v>0.45077071076867781</v>
      </c>
      <c r="M6" s="13">
        <f t="shared" si="2"/>
        <v>1.7784014031571036</v>
      </c>
      <c r="N6" s="13">
        <f t="shared" si="2"/>
        <v>1.6623146787765459</v>
      </c>
      <c r="O6" s="13">
        <f t="shared" si="2"/>
        <v>1.6452380952380952</v>
      </c>
      <c r="P6" s="13">
        <f t="shared" si="2"/>
        <v>1.5236139630390142</v>
      </c>
    </row>
    <row r="7" spans="1:16" x14ac:dyDescent="0.2">
      <c r="A7" s="15" t="str">
        <f>[1]!to_windcode(B7)</f>
        <v>1755.HK</v>
      </c>
      <c r="B7" s="15" t="s">
        <v>0</v>
      </c>
      <c r="C7" s="13">
        <v>2.03138</v>
      </c>
      <c r="D7" s="13">
        <v>2.7884599999999997</v>
      </c>
      <c r="E7" s="13">
        <v>3.1269999999999998</v>
      </c>
      <c r="F7" s="13">
        <v>3.2280000000000002</v>
      </c>
      <c r="G7" s="9">
        <f t="shared" si="0"/>
        <v>0.24070449164878727</v>
      </c>
      <c r="H7" s="13">
        <v>1.0141500000000001</v>
      </c>
      <c r="I7" s="13">
        <v>1.53531</v>
      </c>
      <c r="J7" s="13">
        <v>1.9830000000000001</v>
      </c>
      <c r="K7" s="13">
        <v>2.085</v>
      </c>
      <c r="L7" s="9">
        <f t="shared" si="1"/>
        <v>0.3983318817332584</v>
      </c>
      <c r="M7" s="13">
        <f t="shared" si="2"/>
        <v>2.0030370260809542</v>
      </c>
      <c r="N7" s="13">
        <f t="shared" si="2"/>
        <v>1.8162195256983931</v>
      </c>
      <c r="O7" s="13">
        <f t="shared" si="2"/>
        <v>1.5769036812909731</v>
      </c>
      <c r="P7" s="13">
        <f t="shared" si="2"/>
        <v>1.5482014388489209</v>
      </c>
    </row>
    <row r="8" spans="1:16" x14ac:dyDescent="0.2">
      <c r="A8" s="24" t="str">
        <f>[1]!to_windcode(B8)</f>
        <v>6098.HK</v>
      </c>
      <c r="B8" s="24" t="s">
        <v>2</v>
      </c>
      <c r="C8" s="13">
        <v>8.2050000000000001</v>
      </c>
      <c r="D8" s="13">
        <v>14.379</v>
      </c>
      <c r="E8" s="13">
        <v>16.019000000000002</v>
      </c>
      <c r="F8" s="13">
        <v>16.465999999999998</v>
      </c>
      <c r="G8" s="9">
        <f t="shared" si="0"/>
        <v>0.3972638012946188</v>
      </c>
      <c r="H8" s="13">
        <v>3.7730000000000001</v>
      </c>
      <c r="I8" s="13">
        <v>7.657</v>
      </c>
      <c r="J8" s="13">
        <v>8.6910000000000007</v>
      </c>
      <c r="K8" s="13">
        <v>9.16</v>
      </c>
      <c r="L8" s="9">
        <f t="shared" si="1"/>
        <v>0.5177193542173455</v>
      </c>
      <c r="M8" s="13">
        <f t="shared" si="2"/>
        <v>2.1746620726212562</v>
      </c>
      <c r="N8" s="13">
        <f t="shared" si="2"/>
        <v>1.8778895128640458</v>
      </c>
      <c r="O8" s="13">
        <f t="shared" si="2"/>
        <v>1.8431710965366472</v>
      </c>
      <c r="P8" s="13">
        <f t="shared" si="2"/>
        <v>1.7975982532751089</v>
      </c>
    </row>
    <row r="9" spans="1:16" x14ac:dyDescent="0.2">
      <c r="A9" s="24" t="str">
        <f>[1]!to_windcode(B9)</f>
        <v>1516.HK</v>
      </c>
      <c r="B9" s="24" t="s">
        <v>5</v>
      </c>
      <c r="C9" s="13">
        <v>2.64</v>
      </c>
      <c r="D9" s="13">
        <v>3.58</v>
      </c>
      <c r="E9" s="13">
        <v>3.93</v>
      </c>
      <c r="F9" s="13">
        <v>3.96</v>
      </c>
      <c r="G9" s="9">
        <f t="shared" si="0"/>
        <v>0.22009686649723159</v>
      </c>
      <c r="H9" s="13">
        <v>1.35</v>
      </c>
      <c r="I9" s="13">
        <v>2.15</v>
      </c>
      <c r="J9" s="13">
        <v>2.44</v>
      </c>
      <c r="K9" s="13">
        <v>2.63</v>
      </c>
      <c r="L9" s="9">
        <f t="shared" si="1"/>
        <v>0.34439852997814868</v>
      </c>
      <c r="M9" s="13">
        <f t="shared" si="2"/>
        <v>1.9555555555555555</v>
      </c>
      <c r="N9" s="13">
        <f t="shared" si="2"/>
        <v>1.6651162790697676</v>
      </c>
      <c r="O9" s="13">
        <f t="shared" si="2"/>
        <v>1.6106557377049182</v>
      </c>
      <c r="P9" s="13">
        <f t="shared" si="2"/>
        <v>1.5057034220532319</v>
      </c>
    </row>
    <row r="10" spans="1:16" x14ac:dyDescent="0.2">
      <c r="A10" s="24" t="str">
        <f>[1]!to_windcode(B10)</f>
        <v>9666.HK</v>
      </c>
      <c r="B10" s="24" t="s">
        <v>3</v>
      </c>
      <c r="C10" s="13">
        <v>2.77</v>
      </c>
      <c r="D10" s="13">
        <v>3.5979999999999999</v>
      </c>
      <c r="E10" s="13">
        <v>3.59822</v>
      </c>
      <c r="F10" s="13">
        <v>3.6219999999999999</v>
      </c>
      <c r="G10" s="9">
        <f t="shared" si="0"/>
        <v>0.1397352279769617</v>
      </c>
      <c r="H10" s="13">
        <v>1.5620000000000001</v>
      </c>
      <c r="I10" s="13">
        <v>2.379</v>
      </c>
      <c r="J10" s="13">
        <v>2.5449999999999999</v>
      </c>
      <c r="K10" s="13">
        <v>2.6549999999999998</v>
      </c>
      <c r="L10" s="9">
        <f t="shared" si="1"/>
        <v>0.27644873882287557</v>
      </c>
      <c r="M10" s="13">
        <f t="shared" si="2"/>
        <v>1.7733674775928296</v>
      </c>
      <c r="N10" s="13">
        <f t="shared" si="2"/>
        <v>1.5124001681378729</v>
      </c>
      <c r="O10" s="13">
        <f t="shared" si="2"/>
        <v>1.4138388998035363</v>
      </c>
      <c r="P10" s="13">
        <f t="shared" si="2"/>
        <v>1.3642184557438795</v>
      </c>
    </row>
    <row r="11" spans="1:16" x14ac:dyDescent="0.2">
      <c r="A11" s="24" t="str">
        <f>[1]!to_windcode(B11)</f>
        <v>0873.HK</v>
      </c>
      <c r="B11" s="24" t="s">
        <v>13</v>
      </c>
      <c r="C11" s="13">
        <v>2.0104438642297651</v>
      </c>
      <c r="D11" s="13">
        <v>3.08</v>
      </c>
      <c r="E11" s="13">
        <v>3.4130000000000003</v>
      </c>
      <c r="F11" s="13">
        <v>3.4619999999999997</v>
      </c>
      <c r="G11" s="9">
        <f t="shared" si="0"/>
        <v>0.30293325421337869</v>
      </c>
      <c r="H11" s="13">
        <v>1.4611178614823814</v>
      </c>
      <c r="I11" s="13">
        <v>2.4049999999999998</v>
      </c>
      <c r="J11" s="13">
        <v>2.6160000000000001</v>
      </c>
      <c r="K11" s="13">
        <v>2.6069999999999998</v>
      </c>
      <c r="L11" s="9">
        <f t="shared" si="1"/>
        <v>0.33806202367826721</v>
      </c>
      <c r="M11" s="13">
        <f t="shared" si="2"/>
        <v>1.3759628276599558</v>
      </c>
      <c r="N11" s="13">
        <f t="shared" si="2"/>
        <v>1.2806652806652807</v>
      </c>
      <c r="O11" s="13">
        <f t="shared" si="2"/>
        <v>1.3046636085626913</v>
      </c>
      <c r="P11" s="13">
        <f t="shared" si="2"/>
        <v>1.3279631760644419</v>
      </c>
    </row>
    <row r="12" spans="1:16" x14ac:dyDescent="0.2">
      <c r="A12" s="24" t="str">
        <f>[1]!to_windcode(B12)</f>
        <v>1995.HK</v>
      </c>
      <c r="B12" s="24" t="s">
        <v>120</v>
      </c>
      <c r="C12" s="13">
        <v>1.8120000000000001</v>
      </c>
      <c r="D12" s="13">
        <v>2.7080000000000002</v>
      </c>
      <c r="E12" s="13">
        <v>3.0339999999999998</v>
      </c>
      <c r="F12" s="13">
        <v>3.0430000000000001</v>
      </c>
      <c r="G12" s="9">
        <f t="shared" si="0"/>
        <v>0.29398336000983405</v>
      </c>
      <c r="H12" s="13">
        <v>1.016</v>
      </c>
      <c r="I12" s="13">
        <v>1.71</v>
      </c>
      <c r="J12" s="13">
        <v>2.1</v>
      </c>
      <c r="K12" s="13">
        <v>2.056</v>
      </c>
      <c r="L12" s="9">
        <f t="shared" si="1"/>
        <v>0.4376818611425366</v>
      </c>
      <c r="M12" s="13">
        <f t="shared" si="2"/>
        <v>1.7834645669291338</v>
      </c>
      <c r="N12" s="13">
        <f t="shared" si="2"/>
        <v>1.5836257309941522</v>
      </c>
      <c r="O12" s="13">
        <f t="shared" si="2"/>
        <v>1.4447619047619047</v>
      </c>
      <c r="P12" s="13">
        <f t="shared" si="2"/>
        <v>1.4800583657587549</v>
      </c>
    </row>
    <row r="13" spans="1:16" x14ac:dyDescent="0.2">
      <c r="A13" s="24" t="str">
        <f>[1]!to_windcode(B13)</f>
        <v>3319.HK</v>
      </c>
      <c r="B13" s="24" t="s">
        <v>4</v>
      </c>
      <c r="C13" s="13">
        <v>5.226</v>
      </c>
      <c r="D13" s="13">
        <v>6.6310000000000002</v>
      </c>
      <c r="E13" s="13">
        <v>7.3150000000000004</v>
      </c>
      <c r="F13" s="13">
        <v>7.6210000000000004</v>
      </c>
      <c r="G13" s="9">
        <f t="shared" si="0"/>
        <v>0.18310274646259384</v>
      </c>
      <c r="H13" s="13">
        <v>3.7480000000000002</v>
      </c>
      <c r="I13" s="13">
        <v>4.8890000000000002</v>
      </c>
      <c r="J13" s="13">
        <v>5.4579999999999993</v>
      </c>
      <c r="K13" s="13">
        <v>5.7539999999999996</v>
      </c>
      <c r="L13" s="9">
        <f t="shared" si="1"/>
        <v>0.20674907490160521</v>
      </c>
      <c r="M13" s="13">
        <f t="shared" si="2"/>
        <v>1.3943436499466382</v>
      </c>
      <c r="N13" s="13">
        <f t="shared" si="2"/>
        <v>1.3563100838617304</v>
      </c>
      <c r="O13" s="13">
        <f t="shared" si="2"/>
        <v>1.3402345181385125</v>
      </c>
      <c r="P13" s="13">
        <f t="shared" si="2"/>
        <v>1.3244699339589852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2022年收入构成</vt:lpstr>
      <vt:lpstr>2023年收入构成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Natalie Smith</cp:lastModifiedBy>
  <dcterms:created xsi:type="dcterms:W3CDTF">2015-06-05T18:19:34Z</dcterms:created>
  <dcterms:modified xsi:type="dcterms:W3CDTF">2024-07-23T01:12:59Z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13e619c3</vt:lpwstr>
  </property>
</Properties>
</file>