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no\Downloads\"/>
    </mc:Choice>
  </mc:AlternateContent>
  <xr:revisionPtr revIDLastSave="0" documentId="13_ncr:1_{99B4F467-C9E4-4A24-BADF-79D98BF8B9E3}" xr6:coauthVersionLast="47" xr6:coauthVersionMax="47" xr10:uidLastSave="{00000000-0000-0000-0000-000000000000}"/>
  <bookViews>
    <workbookView xWindow="-108" yWindow="-108" windowWidth="23256" windowHeight="12576" tabRatio="663" firstSheet="1" activeTab="1" xr2:uid="{1949D7F6-5005-4F63-B20E-8C8F8587C4BE}"/>
  </bookViews>
  <sheets>
    <sheet name="Graphs flow rate" sheetId="8" r:id="rId1"/>
    <sheet name="Graphs additional" sheetId="9" r:id="rId2"/>
    <sheet name="Pump" sheetId="4" r:id="rId3"/>
    <sheet name="Flexible shelf" sheetId="6" r:id="rId4"/>
    <sheet name="Stiff shelf" sheetId="7" r:id="rId5"/>
    <sheet name="Balaenoptera acutorostrata" sheetId="3" r:id="rId6"/>
    <sheet name="Tursiops trancatus" sheetId="1" r:id="rId7"/>
    <sheet name="Eschrichtius robustus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6" l="1"/>
  <c r="B18" i="6"/>
  <c r="D20" i="2"/>
  <c r="C20" i="2"/>
  <c r="B20" i="2"/>
  <c r="E20" i="2" s="1"/>
  <c r="D19" i="2"/>
  <c r="C19" i="2"/>
  <c r="B19" i="2"/>
  <c r="E19" i="2" s="1"/>
  <c r="E21" i="2" s="1"/>
  <c r="D20" i="1"/>
  <c r="C20" i="1"/>
  <c r="B20" i="1"/>
  <c r="E20" i="1" s="1"/>
  <c r="D19" i="1"/>
  <c r="C19" i="1"/>
  <c r="B19" i="1"/>
  <c r="E19" i="1" s="1"/>
  <c r="D20" i="3"/>
  <c r="C20" i="3"/>
  <c r="B20" i="3"/>
  <c r="E20" i="3" s="1"/>
  <c r="D19" i="3"/>
  <c r="C19" i="3"/>
  <c r="E19" i="3" s="1"/>
  <c r="B19" i="3"/>
  <c r="D36" i="1"/>
  <c r="D20" i="6"/>
  <c r="C20" i="6"/>
  <c r="E20" i="6" s="1"/>
  <c r="E21" i="6" s="1"/>
  <c r="D19" i="6"/>
  <c r="C19" i="6"/>
  <c r="E19" i="6" s="1"/>
  <c r="B19" i="6"/>
  <c r="C37" i="7"/>
  <c r="B37" i="7"/>
  <c r="E37" i="7" s="1"/>
  <c r="C36" i="7"/>
  <c r="B36" i="7"/>
  <c r="E36" i="7" s="1"/>
  <c r="E38" i="7" s="1"/>
  <c r="E20" i="7"/>
  <c r="C20" i="7"/>
  <c r="B20" i="7"/>
  <c r="E19" i="7"/>
  <c r="C19" i="7"/>
  <c r="B19" i="7"/>
  <c r="G34" i="4"/>
  <c r="G18" i="4"/>
  <c r="F33" i="4"/>
  <c r="E33" i="4"/>
  <c r="D33" i="4"/>
  <c r="C33" i="4"/>
  <c r="B33" i="4"/>
  <c r="G33" i="4" s="1"/>
  <c r="F32" i="4"/>
  <c r="E32" i="4"/>
  <c r="D32" i="4"/>
  <c r="C32" i="4"/>
  <c r="B32" i="4"/>
  <c r="G32" i="4" s="1"/>
  <c r="C18" i="2"/>
  <c r="B18" i="7"/>
  <c r="C43" i="9"/>
  <c r="C44" i="9"/>
  <c r="B43" i="9"/>
  <c r="B44" i="9"/>
  <c r="C45" i="9"/>
  <c r="C47" i="9"/>
  <c r="C46" i="9"/>
  <c r="B34" i="2"/>
  <c r="B35" i="2" s="1"/>
  <c r="D33" i="2"/>
  <c r="C33" i="2"/>
  <c r="B33" i="2"/>
  <c r="E33" i="2" s="1"/>
  <c r="D32" i="2"/>
  <c r="D34" i="2" s="1"/>
  <c r="D35" i="2" s="1"/>
  <c r="C32" i="2"/>
  <c r="C34" i="2" s="1"/>
  <c r="C35" i="2" s="1"/>
  <c r="B32" i="2"/>
  <c r="B36" i="2" s="1"/>
  <c r="C17" i="2"/>
  <c r="B17" i="2"/>
  <c r="B18" i="2" s="1"/>
  <c r="D16" i="2"/>
  <c r="C16" i="2"/>
  <c r="B16" i="2"/>
  <c r="E16" i="2" s="1"/>
  <c r="D15" i="2"/>
  <c r="D17" i="2" s="1"/>
  <c r="D18" i="2" s="1"/>
  <c r="C15" i="2"/>
  <c r="B15" i="2"/>
  <c r="D2" i="2"/>
  <c r="C2" i="2"/>
  <c r="B2" i="2"/>
  <c r="D33" i="1"/>
  <c r="C33" i="1"/>
  <c r="B33" i="1"/>
  <c r="D32" i="1"/>
  <c r="D34" i="1" s="1"/>
  <c r="D35" i="1" s="1"/>
  <c r="C32" i="1"/>
  <c r="C34" i="1" s="1"/>
  <c r="C35" i="1" s="1"/>
  <c r="B32" i="1"/>
  <c r="D16" i="1"/>
  <c r="C16" i="1"/>
  <c r="B16" i="1"/>
  <c r="D15" i="1"/>
  <c r="D17" i="1" s="1"/>
  <c r="D18" i="1" s="1"/>
  <c r="C15" i="1"/>
  <c r="C17" i="1" s="1"/>
  <c r="C18" i="1" s="1"/>
  <c r="B15" i="1"/>
  <c r="B17" i="1" s="1"/>
  <c r="B18" i="1" s="1"/>
  <c r="D2" i="1"/>
  <c r="C2" i="1"/>
  <c r="B2" i="1"/>
  <c r="D33" i="3"/>
  <c r="C33" i="3"/>
  <c r="B33" i="3"/>
  <c r="E33" i="3" s="1"/>
  <c r="D32" i="3"/>
  <c r="D34" i="3" s="1"/>
  <c r="D35" i="3" s="1"/>
  <c r="C32" i="3"/>
  <c r="C34" i="3" s="1"/>
  <c r="C35" i="3" s="1"/>
  <c r="B32" i="3"/>
  <c r="B34" i="3" s="1"/>
  <c r="B35" i="3" s="1"/>
  <c r="D16" i="3"/>
  <c r="C16" i="3"/>
  <c r="B16" i="3"/>
  <c r="D15" i="3"/>
  <c r="D17" i="3" s="1"/>
  <c r="D18" i="3" s="1"/>
  <c r="C15" i="3"/>
  <c r="C17" i="3" s="1"/>
  <c r="C18" i="3" s="1"/>
  <c r="B15" i="3"/>
  <c r="B17" i="3" s="1"/>
  <c r="B18" i="3" s="1"/>
  <c r="D2" i="3"/>
  <c r="C2" i="3"/>
  <c r="B2" i="3"/>
  <c r="D33" i="6"/>
  <c r="C33" i="6"/>
  <c r="B33" i="6"/>
  <c r="D32" i="6"/>
  <c r="D34" i="6" s="1"/>
  <c r="D35" i="6" s="1"/>
  <c r="C32" i="6"/>
  <c r="C34" i="6" s="1"/>
  <c r="C35" i="6" s="1"/>
  <c r="B32" i="6"/>
  <c r="D16" i="6"/>
  <c r="C16" i="6"/>
  <c r="B16" i="6"/>
  <c r="D15" i="6"/>
  <c r="D17" i="6" s="1"/>
  <c r="D18" i="6" s="1"/>
  <c r="C15" i="6"/>
  <c r="C17" i="6" s="1"/>
  <c r="C18" i="6" s="1"/>
  <c r="B15" i="6"/>
  <c r="B17" i="6" s="1"/>
  <c r="D2" i="6"/>
  <c r="C2" i="6"/>
  <c r="B2" i="6"/>
  <c r="C33" i="7"/>
  <c r="B33" i="7"/>
  <c r="C32" i="7"/>
  <c r="C34" i="7" s="1"/>
  <c r="C35" i="7" s="1"/>
  <c r="B32" i="7"/>
  <c r="B34" i="7" s="1"/>
  <c r="B35" i="7" s="1"/>
  <c r="C16" i="7"/>
  <c r="B16" i="7"/>
  <c r="E16" i="7" s="1"/>
  <c r="C15" i="7"/>
  <c r="C17" i="7" s="1"/>
  <c r="C18" i="7" s="1"/>
  <c r="B15" i="7"/>
  <c r="B17" i="7" s="1"/>
  <c r="C2" i="7"/>
  <c r="B2" i="7"/>
  <c r="F30" i="4"/>
  <c r="E30" i="4"/>
  <c r="D30" i="4"/>
  <c r="C30" i="4"/>
  <c r="B30" i="4"/>
  <c r="F29" i="4"/>
  <c r="F31" i="4" s="1"/>
  <c r="E29" i="4"/>
  <c r="E31" i="4" s="1"/>
  <c r="D29" i="4"/>
  <c r="D31" i="4" s="1"/>
  <c r="C29" i="4"/>
  <c r="C31" i="4" s="1"/>
  <c r="B29" i="4"/>
  <c r="B31" i="4" s="1"/>
  <c r="F14" i="4"/>
  <c r="E14" i="4"/>
  <c r="D14" i="4"/>
  <c r="C14" i="4"/>
  <c r="B14" i="4"/>
  <c r="F13" i="4"/>
  <c r="F15" i="4" s="1"/>
  <c r="E13" i="4"/>
  <c r="E15" i="4" s="1"/>
  <c r="D13" i="4"/>
  <c r="D15" i="4" s="1"/>
  <c r="C13" i="4"/>
  <c r="C15" i="4" s="1"/>
  <c r="B13" i="4"/>
  <c r="B15" i="4" s="1"/>
  <c r="E21" i="1" l="1"/>
  <c r="E21" i="3"/>
  <c r="B37" i="3"/>
  <c r="B36" i="3"/>
  <c r="C37" i="3"/>
  <c r="E37" i="3" s="1"/>
  <c r="E16" i="3"/>
  <c r="C36" i="3"/>
  <c r="E36" i="3" s="1"/>
  <c r="E38" i="3" s="1"/>
  <c r="D37" i="3"/>
  <c r="D36" i="3"/>
  <c r="B34" i="1"/>
  <c r="B35" i="1" s="1"/>
  <c r="C37" i="1"/>
  <c r="E16" i="1"/>
  <c r="E33" i="1"/>
  <c r="C36" i="1"/>
  <c r="D37" i="1"/>
  <c r="B37" i="2"/>
  <c r="E37" i="2" s="1"/>
  <c r="C37" i="2"/>
  <c r="D36" i="2"/>
  <c r="C36" i="2"/>
  <c r="E36" i="2" s="1"/>
  <c r="E38" i="2" s="1"/>
  <c r="D37" i="2"/>
  <c r="C37" i="6"/>
  <c r="B34" i="6"/>
  <c r="B35" i="6" s="1"/>
  <c r="D36" i="6"/>
  <c r="E16" i="6"/>
  <c r="E33" i="6"/>
  <c r="C36" i="6"/>
  <c r="D37" i="6"/>
  <c r="E33" i="7"/>
  <c r="F17" i="4"/>
  <c r="E16" i="4"/>
  <c r="B17" i="4"/>
  <c r="D16" i="4"/>
  <c r="E17" i="4"/>
  <c r="G14" i="4"/>
  <c r="B16" i="4"/>
  <c r="C16" i="4"/>
  <c r="D17" i="4"/>
  <c r="F16" i="4"/>
  <c r="C17" i="4"/>
  <c r="G30" i="4"/>
  <c r="B37" i="1" l="1"/>
  <c r="E37" i="1" s="1"/>
  <c r="B36" i="1"/>
  <c r="E36" i="1" s="1"/>
  <c r="E38" i="1" s="1"/>
  <c r="B37" i="6"/>
  <c r="E37" i="6" s="1"/>
  <c r="B36" i="6"/>
  <c r="E36" i="6" s="1"/>
  <c r="E38" i="6" s="1"/>
  <c r="G17" i="4"/>
  <c r="G16" i="4"/>
  <c r="E21" i="7"/>
</calcChain>
</file>

<file path=xl/sharedStrings.xml><?xml version="1.0" encoding="utf-8"?>
<sst xmlns="http://schemas.openxmlformats.org/spreadsheetml/2006/main" count="159" uniqueCount="25">
  <si>
    <t>Average time (sec)</t>
  </si>
  <si>
    <t>Amplitude (cm)</t>
  </si>
  <si>
    <t>x</t>
  </si>
  <si>
    <t>Frequency (bpm)</t>
  </si>
  <si>
    <t>Time (sec) per meter flow in 45 cm deep water column</t>
  </si>
  <si>
    <t>Time (sec) per meter flow in 40 cm shallow water column</t>
  </si>
  <si>
    <r>
      <t xml:space="preserve">Time (sec) per meter flow in </t>
    </r>
    <r>
      <rPr>
        <b/>
        <sz val="11"/>
        <color rgb="FFFF0000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 xml:space="preserve"> cm deep water column</t>
    </r>
  </si>
  <si>
    <t>Engine power (%)</t>
  </si>
  <si>
    <t>Pump water flow generation (L/h)</t>
  </si>
  <si>
    <t>Average pump energy consumption (W)</t>
  </si>
  <si>
    <t>Average motor energy consumption (W)</t>
  </si>
  <si>
    <t>Stiff shelf</t>
  </si>
  <si>
    <t>Flexible shelf</t>
  </si>
  <si>
    <t>Balaenoptera acutorostrata</t>
  </si>
  <si>
    <t>Tursiops trancatus</t>
  </si>
  <si>
    <t>Eschrichtius robustus</t>
  </si>
  <si>
    <t>Aspect Ratio</t>
  </si>
  <si>
    <t>Weight (g)</t>
  </si>
  <si>
    <t>Surface area (cm²)</t>
  </si>
  <si>
    <t>Volumetric flow rate (m3/min)</t>
  </si>
  <si>
    <t>Flow velocity (m/min)</t>
  </si>
  <si>
    <t>Standard deviation of average time (sec)</t>
  </si>
  <si>
    <t>Standard deviation of flow velocity (up)</t>
  </si>
  <si>
    <t>Standard deviation of flow velocity (down)</t>
  </si>
  <si>
    <t>Standard deviation of flow velocity (mean)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</si>
</sst>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C8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2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0" fontId="1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0" fillId="2" borderId="1" xfId="0" applyFont="1" applyFill="1" applyBorder="1"/>
    <xf numFmtId="2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0" xfId="0" applyFill="1" applyBorder="1"/>
    <xf numFmtId="165" fontId="0" fillId="3" borderId="0" xfId="0" applyNumberFormat="1" applyFill="1" applyBorder="1" applyAlignment="1">
      <alignment horizontal="center"/>
    </xf>
    <xf numFmtId="165" fontId="0" fillId="3" borderId="0" xfId="0" applyNumberFormat="1" applyFill="1" applyBorder="1"/>
    <xf numFmtId="0" fontId="0" fillId="0" borderId="0" xfId="0" applyBorder="1"/>
    <xf numFmtId="165" fontId="0" fillId="3" borderId="2" xfId="0" applyNumberFormat="1" applyFill="1" applyBorder="1"/>
    <xf numFmtId="0" fontId="0" fillId="3" borderId="2" xfId="0" applyFill="1" applyBorder="1"/>
    <xf numFmtId="165" fontId="0" fillId="0" borderId="0" xfId="0" applyNumberFormat="1" applyFill="1" applyBorder="1" applyAlignment="1">
      <alignment horizontal="center"/>
    </xf>
    <xf numFmtId="0" fontId="0" fillId="4" borderId="0" xfId="0" applyFill="1"/>
    <xf numFmtId="164" fontId="1" fillId="4" borderId="0" xfId="0" applyNumberFormat="1" applyFont="1" applyFill="1" applyAlignment="1">
      <alignment horizontal="center"/>
    </xf>
    <xf numFmtId="164" fontId="0" fillId="4" borderId="0" xfId="0" applyNumberFormat="1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Flow</a:t>
            </a:r>
            <a:r>
              <a:rPr lang="nl-NL" baseline="0"/>
              <a:t> rate per motor power in deep water column of the TinyOcean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Flexible shelf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x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numRef>
              <c:f>'Flexible shelf'!$B$1:$D$1</c:f>
              <c:numCache>
                <c:formatCode>General</c:formatCode>
                <c:ptCount val="3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'Flexible shelf'!$B$17:$D$17</c:f>
              <c:numCache>
                <c:formatCode>0.000</c:formatCode>
                <c:ptCount val="3"/>
                <c:pt idx="0">
                  <c:v>1.2586796450523403</c:v>
                </c:pt>
                <c:pt idx="1">
                  <c:v>2.283278788340056</c:v>
                </c:pt>
                <c:pt idx="2">
                  <c:v>3.0289262456459189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77-46CD-A734-AF5388B60D8B}"/>
            </c:ext>
          </c:extLst>
        </c:ser>
        <c:ser>
          <c:idx val="2"/>
          <c:order val="1"/>
          <c:tx>
            <c:v>Stiff shelf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'Stiff shelf'!$B$1:$C$1</c:f>
              <c:numCache>
                <c:formatCode>General</c:formatCode>
                <c:ptCount val="2"/>
                <c:pt idx="0">
                  <c:v>50</c:v>
                </c:pt>
                <c:pt idx="1">
                  <c:v>75</c:v>
                </c:pt>
              </c:numCache>
            </c:numRef>
          </c:xVal>
          <c:yVal>
            <c:numRef>
              <c:f>'Stiff shelf'!$B$17:$C$17</c:f>
              <c:numCache>
                <c:formatCode>0.000</c:formatCode>
                <c:ptCount val="2"/>
                <c:pt idx="0">
                  <c:v>0.99472794190788816</c:v>
                </c:pt>
                <c:pt idx="1">
                  <c:v>1.854828737479906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477-46CD-A734-AF5388B60D8B}"/>
            </c:ext>
          </c:extLst>
        </c:ser>
        <c:ser>
          <c:idx val="0"/>
          <c:order val="2"/>
          <c:tx>
            <c:v>Balaenoptera acutorostrata (small fin)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'Balaenoptera acutorostrata'!$B$1:$D$1</c:f>
              <c:numCache>
                <c:formatCode>General</c:formatCode>
                <c:ptCount val="3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'Balaenoptera acutorostrata'!$B$17:$D$17</c:f>
              <c:numCache>
                <c:formatCode>0.000</c:formatCode>
                <c:ptCount val="3"/>
                <c:pt idx="0">
                  <c:v>1.514692517418964</c:v>
                </c:pt>
                <c:pt idx="1">
                  <c:v>3.0324471848781966</c:v>
                </c:pt>
                <c:pt idx="2">
                  <c:v>4.3804573197441812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477-46CD-A734-AF5388B60D8B}"/>
            </c:ext>
          </c:extLst>
        </c:ser>
        <c:ser>
          <c:idx val="3"/>
          <c:order val="3"/>
          <c:tx>
            <c:v>Tursiops trancatus (medium fin)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'Tursiops trancatus'!$B$1:$D$1</c:f>
              <c:numCache>
                <c:formatCode>General</c:formatCode>
                <c:ptCount val="3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'Tursiops trancatus'!$B$17:$D$17</c:f>
              <c:numCache>
                <c:formatCode>0.000</c:formatCode>
                <c:ptCount val="3"/>
                <c:pt idx="0">
                  <c:v>1.583949313621964</c:v>
                </c:pt>
                <c:pt idx="1">
                  <c:v>2.9795898098028504</c:v>
                </c:pt>
                <c:pt idx="2">
                  <c:v>3.2376429958989847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477-46CD-A734-AF5388B60D8B}"/>
            </c:ext>
          </c:extLst>
        </c:ser>
        <c:ser>
          <c:idx val="4"/>
          <c:order val="4"/>
          <c:tx>
            <c:v>Eschrichtius robustus (large fin)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'Eschrichtius robustus'!$B$1:$D$1</c:f>
              <c:numCache>
                <c:formatCode>General</c:formatCode>
                <c:ptCount val="3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'Eschrichtius robustus'!$B$17:$D$17</c:f>
              <c:numCache>
                <c:formatCode>0.000</c:formatCode>
                <c:ptCount val="3"/>
                <c:pt idx="0">
                  <c:v>2.4666995559940799</c:v>
                </c:pt>
                <c:pt idx="1">
                  <c:v>3.156233561283535</c:v>
                </c:pt>
                <c:pt idx="2">
                  <c:v>3.3952014486192841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D2-47DB-B19F-21EDFE144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766928"/>
        <c:axId val="330765288"/>
      </c:scatterChart>
      <c:valAx>
        <c:axId val="330766928"/>
        <c:scaling>
          <c:orientation val="minMax"/>
          <c:max val="1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Motor power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0"/>
        <c:majorTickMark val="out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0765288"/>
        <c:crosses val="autoZero"/>
        <c:crossBetween val="midCat"/>
        <c:majorUnit val="10"/>
        <c:minorUnit val="5"/>
      </c:valAx>
      <c:valAx>
        <c:axId val="330765288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rate (m/min)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0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076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Flow</a:t>
            </a:r>
            <a:r>
              <a:rPr lang="nl-NL" baseline="0"/>
              <a:t> velocity calibration with pump in deep water column of the TinyOcean</a:t>
            </a:r>
            <a:endParaRPr lang="nl-NL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5"/>
          <c:order val="11"/>
          <c:tx>
            <c:v>Pump (calibration)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Pump!$B$1:$F$1</c:f>
              <c:numCache>
                <c:formatCode>General</c:formatCode>
                <c:ptCount val="5"/>
                <c:pt idx="0">
                  <c:v>4000</c:v>
                </c:pt>
                <c:pt idx="1">
                  <c:v>5600</c:v>
                </c:pt>
                <c:pt idx="2">
                  <c:v>6100</c:v>
                </c:pt>
                <c:pt idx="3">
                  <c:v>7300</c:v>
                </c:pt>
                <c:pt idx="4">
                  <c:v>8000</c:v>
                </c:pt>
              </c:numCache>
            </c:numRef>
          </c:xVal>
          <c:yVal>
            <c:numRef>
              <c:f>Pump!$B$15:$F$15</c:f>
              <c:numCache>
                <c:formatCode>0.000</c:formatCode>
                <c:ptCount val="5"/>
                <c:pt idx="0">
                  <c:v>1.6202641030487972</c:v>
                </c:pt>
                <c:pt idx="1">
                  <c:v>2.1461530207103769</c:v>
                </c:pt>
                <c:pt idx="2">
                  <c:v>2.6495915213071322</c:v>
                </c:pt>
                <c:pt idx="3">
                  <c:v>2.9365700861393891</c:v>
                </c:pt>
                <c:pt idx="4">
                  <c:v>3.1689025034329776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A9-448D-BA1E-824D1976E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766928"/>
        <c:axId val="33076528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0"/>
                <c:tx>
                  <c:v>Flexible shelf</c:v>
                </c:tx>
                <c:spPr>
                  <a:ln>
                    <a:solidFill>
                      <a:srgbClr val="FFC000"/>
                    </a:solidFill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'Flexible shelf'!$B$1:$D$1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'Flexible shelf'!$B$17:$D$17</c15:sqref>
                        </c15:formulaRef>
                      </c:ext>
                    </c:extLst>
                    <c:numCache>
                      <c:formatCode>0.000</c:formatCode>
                      <c:ptCount val="3"/>
                      <c:pt idx="0">
                        <c:v>1.2586796450523403</c:v>
                      </c:pt>
                      <c:pt idx="1">
                        <c:v>2.283278788340056</c:v>
                      </c:pt>
                      <c:pt idx="2">
                        <c:v>3.0289262456459189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E8A9-448D-BA1E-824D1976E65F}"/>
                  </c:ext>
                </c:extLst>
              </c15:ser>
            </c15:filteredScatterSeries>
            <c15:filteredScatterSeries>
              <c15:ser>
                <c:idx val="7"/>
                <c:order val="1"/>
                <c:tx>
                  <c:v>Stiff shelf</c:v>
                </c:tx>
                <c:spPr>
                  <a:ln>
                    <a:solidFill>
                      <a:srgbClr val="FF0000"/>
                    </a:solidFill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'Stiff shelf'!$B$1:$C$1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50</c:v>
                      </c:pt>
                      <c:pt idx="1">
                        <c:v>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'Stiff shelf'!$B$17:$C$17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0.99472794190788816</c:v>
                      </c:pt>
                      <c:pt idx="1">
                        <c:v>1.854828737479906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8A9-448D-BA1E-824D1976E65F}"/>
                  </c:ext>
                </c:extLst>
              </c15:ser>
            </c15:filteredScatterSeries>
            <c15:filteredScatterSeries>
              <c15:ser>
                <c:idx val="8"/>
                <c:order val="2"/>
                <c:tx>
                  <c:v>Balaenoptera acutorostrata (small fin)</c:v>
                </c:tx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'Balaenoptera acutorostrata'!$B$1:$D$1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'Balaenoptera acutorostrata'!$B$17:$D$17</c15:sqref>
                        </c15:formulaRef>
                      </c:ext>
                    </c:extLst>
                    <c:numCache>
                      <c:formatCode>0.000</c:formatCode>
                      <c:ptCount val="3"/>
                      <c:pt idx="0">
                        <c:v>1.514692517418964</c:v>
                      </c:pt>
                      <c:pt idx="1">
                        <c:v>3.0324471848781966</c:v>
                      </c:pt>
                      <c:pt idx="2">
                        <c:v>4.3804573197441812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8A9-448D-BA1E-824D1976E65F}"/>
                  </c:ext>
                </c:extLst>
              </c15:ser>
            </c15:filteredScatterSeries>
            <c15:filteredScatterSeries>
              <c15:ser>
                <c:idx val="9"/>
                <c:order val="3"/>
                <c:tx>
                  <c:v>Tursiops trancatus (medium fin)</c:v>
                </c:tx>
                <c:spPr>
                  <a:ln>
                    <a:solidFill>
                      <a:srgbClr val="00B050"/>
                    </a:solidFill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'Tursiops trancatus'!$B$1:$D$1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'Tursiops trancatus'!$B$17:$D$17</c15:sqref>
                        </c15:formulaRef>
                      </c:ext>
                    </c:extLst>
                    <c:numCache>
                      <c:formatCode>0.000</c:formatCode>
                      <c:ptCount val="3"/>
                      <c:pt idx="0">
                        <c:v>1.583949313621964</c:v>
                      </c:pt>
                      <c:pt idx="1">
                        <c:v>2.9795898098028504</c:v>
                      </c:pt>
                      <c:pt idx="2">
                        <c:v>3.2376429958989847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8A9-448D-BA1E-824D1976E65F}"/>
                  </c:ext>
                </c:extLst>
              </c15:ser>
            </c15:filteredScatterSeries>
            <c15:filteredScatterSeries>
              <c15:ser>
                <c:idx val="10"/>
                <c:order val="4"/>
                <c:tx>
                  <c:v>Eschrichtius robustus (large fin)</c:v>
                </c:tx>
                <c:spPr>
                  <a:ln>
                    <a:solidFill>
                      <a:schemeClr val="tx1">
                        <a:lumMod val="50000"/>
                        <a:lumOff val="50000"/>
                      </a:schemeClr>
                    </a:solidFill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'Eschrichtius robustus'!$B$1:$D$1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'Eschrichtius robustus'!$B$17:$D$17</c15:sqref>
                        </c15:formulaRef>
                      </c:ext>
                    </c:extLst>
                    <c:numCache>
                      <c:formatCode>0.000</c:formatCode>
                      <c:ptCount val="3"/>
                      <c:pt idx="0">
                        <c:v>2.4666995559940799</c:v>
                      </c:pt>
                      <c:pt idx="1">
                        <c:v>3.156233561283535</c:v>
                      </c:pt>
                      <c:pt idx="2">
                        <c:v>3.3952014486192841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8A9-448D-BA1E-824D1976E65F}"/>
                  </c:ext>
                </c:extLst>
              </c15:ser>
            </c15:filteredScatterSeries>
            <c15:filteredScatterSeries>
              <c15:ser>
                <c:idx val="11"/>
                <c:order val="5"/>
                <c:tx>
                  <c:v>Pump (calibration)</c:v>
                </c:tx>
                <c:spPr>
                  <a:ln>
                    <a:solidFill>
                      <a:srgbClr val="7030A0"/>
                    </a:solidFill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Pump!$B$1:$F$1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4000</c:v>
                      </c:pt>
                      <c:pt idx="1">
                        <c:v>5600</c:v>
                      </c:pt>
                      <c:pt idx="2">
                        <c:v>6100</c:v>
                      </c:pt>
                      <c:pt idx="3">
                        <c:v>7300</c:v>
                      </c:pt>
                      <c:pt idx="4">
                        <c:v>8000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Pump!$B$15:$F$15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1.6202641030487972</c:v>
                      </c:pt>
                      <c:pt idx="1">
                        <c:v>2.1461530207103769</c:v>
                      </c:pt>
                      <c:pt idx="2">
                        <c:v>2.6495915213071322</c:v>
                      </c:pt>
                      <c:pt idx="3">
                        <c:v>2.9365700861393891</c:v>
                      </c:pt>
                      <c:pt idx="4">
                        <c:v>3.1689025034329776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8A9-448D-BA1E-824D1976E65F}"/>
                  </c:ext>
                </c:extLst>
              </c15:ser>
            </c15:filteredScatterSeries>
            <c15:filteredScatterSeries>
              <c15:ser>
                <c:idx val="1"/>
                <c:order val="6"/>
                <c:tx>
                  <c:v>Flexible shelf</c:v>
                </c:tx>
                <c:spPr>
                  <a:ln w="1905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x"/>
                  <c:size val="5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'Flexible shelf'!$B$1:$D$1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'Flexible shelf'!$B$17:$D$17</c15:sqref>
                        </c15:formulaRef>
                      </c:ext>
                    </c:extLst>
                    <c:numCache>
                      <c:formatCode>0.000</c:formatCode>
                      <c:ptCount val="3"/>
                      <c:pt idx="0">
                        <c:v>1.2586796450523403</c:v>
                      </c:pt>
                      <c:pt idx="1">
                        <c:v>2.283278788340056</c:v>
                      </c:pt>
                      <c:pt idx="2">
                        <c:v>3.0289262456459189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8A9-448D-BA1E-824D1976E65F}"/>
                  </c:ext>
                </c:extLst>
              </c15:ser>
            </c15:filteredScatterSeries>
            <c15:filteredScatterSeries>
              <c15:ser>
                <c:idx val="2"/>
                <c:order val="7"/>
                <c:tx>
                  <c:v>Stiff shelf</c:v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5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'Stiff shelf'!$B$1:$C$1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50</c:v>
                      </c:pt>
                      <c:pt idx="1">
                        <c:v>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'Stiff shelf'!$B$17:$C$17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0.99472794190788816</c:v>
                      </c:pt>
                      <c:pt idx="1">
                        <c:v>1.854828737479906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8A9-448D-BA1E-824D1976E65F}"/>
                  </c:ext>
                </c:extLst>
              </c15:ser>
            </c15:filteredScatterSeries>
            <c15:filteredScatterSeries>
              <c15:ser>
                <c:idx val="0"/>
                <c:order val="8"/>
                <c:tx>
                  <c:v>Balaenoptera acutorostrata (small fin)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'Balaenoptera acutorostrata'!$B$1:$D$1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'Balaenoptera acutorostrata'!$B$17:$D$17</c15:sqref>
                        </c15:formulaRef>
                      </c:ext>
                    </c:extLst>
                    <c:numCache>
                      <c:formatCode>0.000</c:formatCode>
                      <c:ptCount val="3"/>
                      <c:pt idx="0">
                        <c:v>1.514692517418964</c:v>
                      </c:pt>
                      <c:pt idx="1">
                        <c:v>3.0324471848781966</c:v>
                      </c:pt>
                      <c:pt idx="2">
                        <c:v>4.3804573197441812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8A9-448D-BA1E-824D1976E65F}"/>
                  </c:ext>
                </c:extLst>
              </c15:ser>
            </c15:filteredScatterSeries>
            <c15:filteredScatterSeries>
              <c15:ser>
                <c:idx val="3"/>
                <c:order val="9"/>
                <c:tx>
                  <c:v>Tursiops trancatus (medium fin)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rgbClr val="00B050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'Tursiops trancatus'!$B$1:$D$1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'Tursiops trancatus'!$B$17:$D$17</c15:sqref>
                        </c15:formulaRef>
                      </c:ext>
                    </c:extLst>
                    <c:numCache>
                      <c:formatCode>0.000</c:formatCode>
                      <c:ptCount val="3"/>
                      <c:pt idx="0">
                        <c:v>1.583949313621964</c:v>
                      </c:pt>
                      <c:pt idx="1">
                        <c:v>2.9795898098028504</c:v>
                      </c:pt>
                      <c:pt idx="2">
                        <c:v>3.2376429958989847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8A9-448D-BA1E-824D1976E65F}"/>
                  </c:ext>
                </c:extLst>
              </c15:ser>
            </c15:filteredScatterSeries>
            <c15:filteredScatterSeries>
              <c15:ser>
                <c:idx val="4"/>
                <c:order val="10"/>
                <c:tx>
                  <c:v>Eschrichtius robustus (large fin)</c:v>
                </c:tx>
                <c:spPr>
                  <a:ln w="19050" cap="rnd">
                    <a:solidFill>
                      <a:schemeClr val="tx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tx1">
                        <a:lumMod val="50000"/>
                        <a:lumOff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'Eschrichtius robustus'!$B$1:$D$1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'Eschrichtius robustus'!$B$17:$D$17</c15:sqref>
                        </c15:formulaRef>
                      </c:ext>
                    </c:extLst>
                    <c:numCache>
                      <c:formatCode>0.000</c:formatCode>
                      <c:ptCount val="3"/>
                      <c:pt idx="0">
                        <c:v>2.4666995559940799</c:v>
                      </c:pt>
                      <c:pt idx="1">
                        <c:v>3.156233561283535</c:v>
                      </c:pt>
                      <c:pt idx="2">
                        <c:v>3.3952014486192841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8A9-448D-BA1E-824D1976E65F}"/>
                  </c:ext>
                </c:extLst>
              </c15:ser>
            </c15:filteredScatterSeries>
          </c:ext>
        </c:extLst>
      </c:scatterChart>
      <c:valAx>
        <c:axId val="330766928"/>
        <c:scaling>
          <c:orientation val="minMax"/>
          <c:max val="8000"/>
          <c:min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Pump water flow generation (L/h)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0765288"/>
        <c:crosses val="autoZero"/>
        <c:crossBetween val="midCat"/>
        <c:majorUnit val="500"/>
        <c:minorUnit val="100"/>
      </c:valAx>
      <c:valAx>
        <c:axId val="330765288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velocity (m/min)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0766928"/>
        <c:crosses val="autoZero"/>
        <c:crossBetween val="midCat"/>
      </c:valAx>
    </c:plotArea>
    <c:plotVisOnly val="1"/>
    <c:dispBlanksAs val="gap"/>
    <c:showDLblsOverMax val="0"/>
    <c:extLst/>
  </c:chart>
  <c:spPr>
    <a:ln>
      <a:solidFill>
        <a:sysClr val="windowText" lastClr="000000"/>
      </a:solidFill>
    </a:ln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Flow</a:t>
            </a:r>
            <a:r>
              <a:rPr lang="nl-NL" baseline="0"/>
              <a:t> velocity calibration with pump in shallow water column of the TinyOcean</a:t>
            </a:r>
            <a:endParaRPr lang="nl-NL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5"/>
          <c:order val="11"/>
          <c:tx>
            <c:v>Pump (calibration)</c:v>
          </c:tx>
          <c:spPr>
            <a:ln>
              <a:solidFill>
                <a:srgbClr val="7030A0"/>
              </a:solidFill>
            </a:ln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Pump!$B$1:$F$1</c:f>
              <c:numCache>
                <c:formatCode>General</c:formatCode>
                <c:ptCount val="5"/>
                <c:pt idx="0">
                  <c:v>4000</c:v>
                </c:pt>
                <c:pt idx="1">
                  <c:v>5600</c:v>
                </c:pt>
                <c:pt idx="2">
                  <c:v>6100</c:v>
                </c:pt>
                <c:pt idx="3">
                  <c:v>7300</c:v>
                </c:pt>
                <c:pt idx="4">
                  <c:v>8000</c:v>
                </c:pt>
              </c:numCache>
            </c:numRef>
          </c:xVal>
          <c:yVal>
            <c:numRef>
              <c:f>Pump!$B$31:$F$31</c:f>
              <c:numCache>
                <c:formatCode>0.000</c:formatCode>
                <c:ptCount val="5"/>
                <c:pt idx="0">
                  <c:v>2.0589547373116917</c:v>
                </c:pt>
                <c:pt idx="1">
                  <c:v>2.5007293794023253</c:v>
                </c:pt>
                <c:pt idx="2">
                  <c:v>2.9828486204325131</c:v>
                </c:pt>
                <c:pt idx="3">
                  <c:v>3.1828550209537947</c:v>
                </c:pt>
                <c:pt idx="4">
                  <c:v>3.7297196494063529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8240-4861-9E75-23E4C64F5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766928"/>
        <c:axId val="33076528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0"/>
                <c:tx>
                  <c:v>Flexible shelf</c:v>
                </c:tx>
                <c:spPr>
                  <a:ln>
                    <a:solidFill>
                      <a:srgbClr val="FFC000"/>
                    </a:solidFill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'Flexible shelf'!$B$1:$D$1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'Flexible shelf'!$B$17:$D$17</c15:sqref>
                        </c15:formulaRef>
                      </c:ext>
                    </c:extLst>
                    <c:numCache>
                      <c:formatCode>0.000</c:formatCode>
                      <c:ptCount val="3"/>
                      <c:pt idx="0">
                        <c:v>1.2586796450523403</c:v>
                      </c:pt>
                      <c:pt idx="1">
                        <c:v>2.283278788340056</c:v>
                      </c:pt>
                      <c:pt idx="2">
                        <c:v>3.0289262456459189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8240-4861-9E75-23E4C64F562D}"/>
                  </c:ext>
                </c:extLst>
              </c15:ser>
            </c15:filteredScatterSeries>
            <c15:filteredScatterSeries>
              <c15:ser>
                <c:idx val="7"/>
                <c:order val="1"/>
                <c:tx>
                  <c:v>Stiff shelf</c:v>
                </c:tx>
                <c:spPr>
                  <a:ln>
                    <a:solidFill>
                      <a:srgbClr val="FF0000"/>
                    </a:solidFill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'Stiff shelf'!$B$1:$C$1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50</c:v>
                      </c:pt>
                      <c:pt idx="1">
                        <c:v>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'Stiff shelf'!$B$17:$C$17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0.99472794190788816</c:v>
                      </c:pt>
                      <c:pt idx="1">
                        <c:v>1.854828737479906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240-4861-9E75-23E4C64F562D}"/>
                  </c:ext>
                </c:extLst>
              </c15:ser>
            </c15:filteredScatterSeries>
            <c15:filteredScatterSeries>
              <c15:ser>
                <c:idx val="8"/>
                <c:order val="2"/>
                <c:tx>
                  <c:v>Balaenoptera acutorostrata (small fin)</c:v>
                </c:tx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'Balaenoptera acutorostrata'!$B$1:$D$1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'Balaenoptera acutorostrata'!$B$17:$D$17</c15:sqref>
                        </c15:formulaRef>
                      </c:ext>
                    </c:extLst>
                    <c:numCache>
                      <c:formatCode>0.000</c:formatCode>
                      <c:ptCount val="3"/>
                      <c:pt idx="0">
                        <c:v>1.514692517418964</c:v>
                      </c:pt>
                      <c:pt idx="1">
                        <c:v>3.0324471848781966</c:v>
                      </c:pt>
                      <c:pt idx="2">
                        <c:v>4.3804573197441812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240-4861-9E75-23E4C64F562D}"/>
                  </c:ext>
                </c:extLst>
              </c15:ser>
            </c15:filteredScatterSeries>
            <c15:filteredScatterSeries>
              <c15:ser>
                <c:idx val="9"/>
                <c:order val="3"/>
                <c:tx>
                  <c:v>Tursiops trancatus (medium fin)</c:v>
                </c:tx>
                <c:spPr>
                  <a:ln>
                    <a:solidFill>
                      <a:srgbClr val="00B050"/>
                    </a:solidFill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'Tursiops trancatus'!$B$1:$D$1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'Tursiops trancatus'!$B$17:$D$17</c15:sqref>
                        </c15:formulaRef>
                      </c:ext>
                    </c:extLst>
                    <c:numCache>
                      <c:formatCode>0.000</c:formatCode>
                      <c:ptCount val="3"/>
                      <c:pt idx="0">
                        <c:v>1.583949313621964</c:v>
                      </c:pt>
                      <c:pt idx="1">
                        <c:v>2.9795898098028504</c:v>
                      </c:pt>
                      <c:pt idx="2">
                        <c:v>3.2376429958989847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240-4861-9E75-23E4C64F562D}"/>
                  </c:ext>
                </c:extLst>
              </c15:ser>
            </c15:filteredScatterSeries>
            <c15:filteredScatterSeries>
              <c15:ser>
                <c:idx val="10"/>
                <c:order val="4"/>
                <c:tx>
                  <c:v>Eschrichtius robustus (large fin)</c:v>
                </c:tx>
                <c:spPr>
                  <a:ln>
                    <a:solidFill>
                      <a:schemeClr val="tx1">
                        <a:lumMod val="50000"/>
                        <a:lumOff val="50000"/>
                      </a:schemeClr>
                    </a:solidFill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'Eschrichtius robustus'!$B$1:$D$1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'Eschrichtius robustus'!$B$17:$D$17</c15:sqref>
                        </c15:formulaRef>
                      </c:ext>
                    </c:extLst>
                    <c:numCache>
                      <c:formatCode>0.000</c:formatCode>
                      <c:ptCount val="3"/>
                      <c:pt idx="0">
                        <c:v>2.4666995559940799</c:v>
                      </c:pt>
                      <c:pt idx="1">
                        <c:v>3.156233561283535</c:v>
                      </c:pt>
                      <c:pt idx="2">
                        <c:v>3.3952014486192841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240-4861-9E75-23E4C64F562D}"/>
                  </c:ext>
                </c:extLst>
              </c15:ser>
            </c15:filteredScatterSeries>
            <c15:filteredScatterSeries>
              <c15:ser>
                <c:idx val="11"/>
                <c:order val="5"/>
                <c:tx>
                  <c:v>Pump (calibration)</c:v>
                </c:tx>
                <c:spPr>
                  <a:ln>
                    <a:solidFill>
                      <a:srgbClr val="7030A0"/>
                    </a:solidFill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Pump!$B$1:$F$1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4000</c:v>
                      </c:pt>
                      <c:pt idx="1">
                        <c:v>5600</c:v>
                      </c:pt>
                      <c:pt idx="2">
                        <c:v>6100</c:v>
                      </c:pt>
                      <c:pt idx="3">
                        <c:v>7300</c:v>
                      </c:pt>
                      <c:pt idx="4">
                        <c:v>8000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Pump!$B$15:$F$15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1.6202641030487972</c:v>
                      </c:pt>
                      <c:pt idx="1">
                        <c:v>2.1461530207103769</c:v>
                      </c:pt>
                      <c:pt idx="2">
                        <c:v>2.6495915213071322</c:v>
                      </c:pt>
                      <c:pt idx="3">
                        <c:v>2.9365700861393891</c:v>
                      </c:pt>
                      <c:pt idx="4">
                        <c:v>3.1689025034329776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240-4861-9E75-23E4C64F562D}"/>
                  </c:ext>
                </c:extLst>
              </c15:ser>
            </c15:filteredScatterSeries>
            <c15:filteredScatterSeries>
              <c15:ser>
                <c:idx val="1"/>
                <c:order val="6"/>
                <c:tx>
                  <c:v>Flexible shelf</c:v>
                </c:tx>
                <c:spPr>
                  <a:ln w="1905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x"/>
                  <c:size val="5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'Flexible shelf'!$B$1:$D$1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'Flexible shelf'!$B$17:$D$17</c15:sqref>
                        </c15:formulaRef>
                      </c:ext>
                    </c:extLst>
                    <c:numCache>
                      <c:formatCode>0.000</c:formatCode>
                      <c:ptCount val="3"/>
                      <c:pt idx="0">
                        <c:v>1.2586796450523403</c:v>
                      </c:pt>
                      <c:pt idx="1">
                        <c:v>2.283278788340056</c:v>
                      </c:pt>
                      <c:pt idx="2">
                        <c:v>3.0289262456459189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240-4861-9E75-23E4C64F562D}"/>
                  </c:ext>
                </c:extLst>
              </c15:ser>
            </c15:filteredScatterSeries>
            <c15:filteredScatterSeries>
              <c15:ser>
                <c:idx val="2"/>
                <c:order val="7"/>
                <c:tx>
                  <c:v>Stiff shelf</c:v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5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'Stiff shelf'!$B$1:$C$1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50</c:v>
                      </c:pt>
                      <c:pt idx="1">
                        <c:v>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'Stiff shelf'!$B$17:$C$17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0.99472794190788816</c:v>
                      </c:pt>
                      <c:pt idx="1">
                        <c:v>1.854828737479906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240-4861-9E75-23E4C64F562D}"/>
                  </c:ext>
                </c:extLst>
              </c15:ser>
            </c15:filteredScatterSeries>
            <c15:filteredScatterSeries>
              <c15:ser>
                <c:idx val="0"/>
                <c:order val="8"/>
                <c:tx>
                  <c:v>Balaenoptera acutorostrata (small fin)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'Balaenoptera acutorostrata'!$B$1:$D$1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'Balaenoptera acutorostrata'!$B$17:$D$17</c15:sqref>
                        </c15:formulaRef>
                      </c:ext>
                    </c:extLst>
                    <c:numCache>
                      <c:formatCode>0.000</c:formatCode>
                      <c:ptCount val="3"/>
                      <c:pt idx="0">
                        <c:v>1.514692517418964</c:v>
                      </c:pt>
                      <c:pt idx="1">
                        <c:v>3.0324471848781966</c:v>
                      </c:pt>
                      <c:pt idx="2">
                        <c:v>4.3804573197441812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240-4861-9E75-23E4C64F562D}"/>
                  </c:ext>
                </c:extLst>
              </c15:ser>
            </c15:filteredScatterSeries>
            <c15:filteredScatterSeries>
              <c15:ser>
                <c:idx val="3"/>
                <c:order val="9"/>
                <c:tx>
                  <c:v>Tursiops trancatus (medium fin)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rgbClr val="00B050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'Tursiops trancatus'!$B$1:$D$1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'Tursiops trancatus'!$B$17:$D$17</c15:sqref>
                        </c15:formulaRef>
                      </c:ext>
                    </c:extLst>
                    <c:numCache>
                      <c:formatCode>0.000</c:formatCode>
                      <c:ptCount val="3"/>
                      <c:pt idx="0">
                        <c:v>1.583949313621964</c:v>
                      </c:pt>
                      <c:pt idx="1">
                        <c:v>2.9795898098028504</c:v>
                      </c:pt>
                      <c:pt idx="2">
                        <c:v>3.2376429958989847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240-4861-9E75-23E4C64F562D}"/>
                  </c:ext>
                </c:extLst>
              </c15:ser>
            </c15:filteredScatterSeries>
            <c15:filteredScatterSeries>
              <c15:ser>
                <c:idx val="4"/>
                <c:order val="10"/>
                <c:tx>
                  <c:v>Eschrichtius robustus (large fin)</c:v>
                </c:tx>
                <c:spPr>
                  <a:ln w="19050" cap="rnd">
                    <a:solidFill>
                      <a:schemeClr val="tx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tx1">
                        <a:lumMod val="50000"/>
                        <a:lumOff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'Eschrichtius robustus'!$B$1:$D$1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'Eschrichtius robustus'!$B$17:$D$17</c15:sqref>
                        </c15:formulaRef>
                      </c:ext>
                    </c:extLst>
                    <c:numCache>
                      <c:formatCode>0.000</c:formatCode>
                      <c:ptCount val="3"/>
                      <c:pt idx="0">
                        <c:v>2.4666995559940799</c:v>
                      </c:pt>
                      <c:pt idx="1">
                        <c:v>3.156233561283535</c:v>
                      </c:pt>
                      <c:pt idx="2">
                        <c:v>3.3952014486192841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240-4861-9E75-23E4C64F562D}"/>
                  </c:ext>
                </c:extLst>
              </c15:ser>
            </c15:filteredScatterSeries>
          </c:ext>
        </c:extLst>
      </c:scatterChart>
      <c:valAx>
        <c:axId val="330766928"/>
        <c:scaling>
          <c:orientation val="minMax"/>
          <c:max val="8000"/>
          <c:min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Pump water flow generation (L/h)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0765288"/>
        <c:crosses val="autoZero"/>
        <c:crossBetween val="midCat"/>
        <c:majorUnit val="500"/>
        <c:minorUnit val="100"/>
      </c:valAx>
      <c:valAx>
        <c:axId val="330765288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velocity (m/min)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0766928"/>
        <c:crosses val="autoZero"/>
        <c:crossBetween val="midCat"/>
      </c:valAx>
    </c:plotArea>
    <c:plotVisOnly val="1"/>
    <c:dispBlanksAs val="gap"/>
    <c:showDLblsOverMax val="0"/>
    <c:extLst/>
  </c:chart>
  <c:spPr>
    <a:ln>
      <a:solidFill>
        <a:sysClr val="windowText" lastClr="000000"/>
      </a:solidFill>
    </a:ln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Flow</a:t>
            </a:r>
            <a:r>
              <a:rPr lang="nl-NL" baseline="0"/>
              <a:t> rate per motor power in shallow water column of the TinyOcean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Flexible shelf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x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x"/>
              <c:size val="5"/>
              <c:spPr>
                <a:solidFill>
                  <a:srgbClr val="FFC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1347-409A-A08A-2F265780237F}"/>
              </c:ext>
            </c:extLst>
          </c:dPt>
          <c:dPt>
            <c:idx val="1"/>
            <c:marker>
              <c:symbol val="x"/>
              <c:size val="5"/>
              <c:spPr>
                <a:solidFill>
                  <a:srgbClr val="FFC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1347-409A-A08A-2F265780237F}"/>
              </c:ext>
            </c:extLst>
          </c:dPt>
          <c:dPt>
            <c:idx val="2"/>
            <c:marker>
              <c:symbol val="x"/>
              <c:size val="5"/>
              <c:spPr>
                <a:solidFill>
                  <a:srgbClr val="FFC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1347-409A-A08A-2F265780237F}"/>
              </c:ext>
            </c:extLst>
          </c:dPt>
          <c:xVal>
            <c:numRef>
              <c:f>'Flexible shelf'!$B$1:$D$1</c:f>
              <c:numCache>
                <c:formatCode>General</c:formatCode>
                <c:ptCount val="3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'Flexible shelf'!$B$34:$D$34</c:f>
              <c:numCache>
                <c:formatCode>0.000</c:formatCode>
                <c:ptCount val="3"/>
                <c:pt idx="0">
                  <c:v>1.2272197336933177</c:v>
                </c:pt>
                <c:pt idx="1">
                  <c:v>2.8132033008252066</c:v>
                </c:pt>
                <c:pt idx="2">
                  <c:v>3.7096574749598119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47-409A-A08A-2F265780237F}"/>
            </c:ext>
          </c:extLst>
        </c:ser>
        <c:ser>
          <c:idx val="2"/>
          <c:order val="1"/>
          <c:tx>
            <c:v>Stiff shelf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'Stiff shelf'!$B$1:$C$1</c:f>
              <c:numCache>
                <c:formatCode>General</c:formatCode>
                <c:ptCount val="2"/>
                <c:pt idx="0">
                  <c:v>50</c:v>
                </c:pt>
                <c:pt idx="1">
                  <c:v>75</c:v>
                </c:pt>
              </c:numCache>
            </c:numRef>
          </c:xVal>
          <c:yVal>
            <c:numRef>
              <c:f>'Stiff shelf'!$B$34:$C$34</c:f>
              <c:numCache>
                <c:formatCode>0.000</c:formatCode>
                <c:ptCount val="2"/>
                <c:pt idx="0">
                  <c:v>1.1260838557111221</c:v>
                </c:pt>
                <c:pt idx="1">
                  <c:v>2.1884232410548199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347-409A-A08A-2F265780237F}"/>
            </c:ext>
          </c:extLst>
        </c:ser>
        <c:ser>
          <c:idx val="0"/>
          <c:order val="2"/>
          <c:tx>
            <c:v>Balaenoptera acutorostrata (small fin)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'Balaenoptera acutorostrata'!$B$1:$D$1</c:f>
              <c:numCache>
                <c:formatCode>General</c:formatCode>
                <c:ptCount val="3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'Balaenoptera acutorostrata'!$B$34:$D$34</c:f>
              <c:numCache>
                <c:formatCode>0.000</c:formatCode>
                <c:ptCount val="3"/>
                <c:pt idx="0">
                  <c:v>1.7014519056261341</c:v>
                </c:pt>
                <c:pt idx="1">
                  <c:v>3.3512064343163548</c:v>
                </c:pt>
                <c:pt idx="2">
                  <c:v>4.9257039651916914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347-409A-A08A-2F265780237F}"/>
            </c:ext>
          </c:extLst>
        </c:ser>
        <c:ser>
          <c:idx val="3"/>
          <c:order val="3"/>
          <c:tx>
            <c:v>Tursiops trancatus (medium fin)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'Tursiops trancatus'!$B$1:$D$1</c:f>
              <c:numCache>
                <c:formatCode>General</c:formatCode>
                <c:ptCount val="3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'Tursiops trancatus'!$B$34:$D$34</c:f>
              <c:numCache>
                <c:formatCode>0.000</c:formatCode>
                <c:ptCount val="3"/>
                <c:pt idx="0">
                  <c:v>1.9728405616019464</c:v>
                </c:pt>
                <c:pt idx="1">
                  <c:v>3.3882990738649195</c:v>
                </c:pt>
                <c:pt idx="2">
                  <c:v>3.9323633503735747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347-409A-A08A-2F265780237F}"/>
            </c:ext>
          </c:extLst>
        </c:ser>
        <c:ser>
          <c:idx val="4"/>
          <c:order val="4"/>
          <c:tx>
            <c:v>Eschrichtius robustus (large fin)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'Eschrichtius robustus'!$B$1:$D$1</c:f>
              <c:numCache>
                <c:formatCode>General</c:formatCode>
                <c:ptCount val="3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'Eschrichtius robustus'!$B$34:$D$34</c:f>
              <c:numCache>
                <c:formatCode>0.000</c:formatCode>
                <c:ptCount val="3"/>
                <c:pt idx="0">
                  <c:v>2.3798191337458356</c:v>
                </c:pt>
                <c:pt idx="1">
                  <c:v>3.9489272081084645</c:v>
                </c:pt>
                <c:pt idx="2">
                  <c:v>4.1186161449752872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347-409A-A08A-2F2657802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766928"/>
        <c:axId val="330765288"/>
      </c:scatterChart>
      <c:valAx>
        <c:axId val="330766928"/>
        <c:scaling>
          <c:orientation val="minMax"/>
          <c:max val="1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Motor power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0"/>
        <c:majorTickMark val="out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0765288"/>
        <c:crosses val="autoZero"/>
        <c:crossBetween val="midCat"/>
        <c:majorUnit val="10"/>
        <c:minorUnit val="5"/>
      </c:valAx>
      <c:valAx>
        <c:axId val="330765288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rate (m/min)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0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076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Average time per meter</a:t>
            </a:r>
            <a:r>
              <a:rPr lang="nl-NL" baseline="0"/>
              <a:t> flow (including standard deviation)</a:t>
            </a:r>
          </a:p>
          <a:p>
            <a:pPr>
              <a:defRPr/>
            </a:pPr>
            <a:r>
              <a:rPr lang="nl-NL" baseline="0"/>
              <a:t>per average motor energy consumption</a:t>
            </a:r>
          </a:p>
          <a:p>
            <a:pPr>
              <a:defRPr/>
            </a:pPr>
            <a:r>
              <a:rPr lang="nl-NL" baseline="0"/>
              <a:t>in deep water column of the TinyOcean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Flexible shelf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x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dPt>
            <c:idx val="2"/>
            <c:marker>
              <c:symbol val="x"/>
              <c:size val="5"/>
              <c:spPr>
                <a:solidFill>
                  <a:srgbClr val="FFC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19050" cap="rnd">
                <a:solidFill>
                  <a:srgbClr val="FFC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5FA-4F44-B37B-871374080614}"/>
              </c:ext>
            </c:extLst>
          </c:dPt>
          <c:errBars>
            <c:errDir val="y"/>
            <c:errBarType val="both"/>
            <c:errValType val="fixedVal"/>
            <c:noEndCap val="0"/>
            <c:val val="2.5859999999999999"/>
            <c:spPr>
              <a:noFill/>
              <a:ln w="9525" cap="flat" cmpd="sng" algn="ctr">
                <a:solidFill>
                  <a:srgbClr val="FFC000"/>
                </a:solidFill>
                <a:round/>
              </a:ln>
              <a:effectLst/>
            </c:spPr>
          </c:errBars>
          <c:xVal>
            <c:numRef>
              <c:f>'Flexible shelf'!$B$2:$D$2</c:f>
              <c:numCache>
                <c:formatCode>0.000</c:formatCode>
                <c:ptCount val="3"/>
                <c:pt idx="0">
                  <c:v>3.1920000000000002</c:v>
                </c:pt>
                <c:pt idx="1">
                  <c:v>6.6480000000000006</c:v>
                </c:pt>
                <c:pt idx="2" formatCode="0.00">
                  <c:v>12.288</c:v>
                </c:pt>
              </c:numCache>
            </c:numRef>
          </c:xVal>
          <c:yVal>
            <c:numRef>
              <c:f>'Flexible shelf'!$B$15:$D$15</c:f>
              <c:numCache>
                <c:formatCode>0.00</c:formatCode>
                <c:ptCount val="3"/>
                <c:pt idx="0">
                  <c:v>47.668999999999997</c:v>
                </c:pt>
                <c:pt idx="1">
                  <c:v>26.278000000000002</c:v>
                </c:pt>
                <c:pt idx="2">
                  <c:v>19.808999999999997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FA-4F44-B37B-871374080614}"/>
            </c:ext>
          </c:extLst>
        </c:ser>
        <c:ser>
          <c:idx val="2"/>
          <c:order val="1"/>
          <c:tx>
            <c:v>Stiff shelf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4.0639999999999992"/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xVal>
            <c:numRef>
              <c:f>'Stiff shelf'!$B$2:$C$2</c:f>
              <c:numCache>
                <c:formatCode>0.000</c:formatCode>
                <c:ptCount val="2"/>
                <c:pt idx="0">
                  <c:v>3.1440000000000001</c:v>
                </c:pt>
                <c:pt idx="1">
                  <c:v>8.64</c:v>
                </c:pt>
              </c:numCache>
            </c:numRef>
          </c:xVal>
          <c:yVal>
            <c:numRef>
              <c:f>'Stiff shelf'!$B$15:$C$15</c:f>
              <c:numCache>
                <c:formatCode>0.00</c:formatCode>
                <c:ptCount val="2"/>
                <c:pt idx="0">
                  <c:v>60.318000000000005</c:v>
                </c:pt>
                <c:pt idx="1">
                  <c:v>32.347999999999999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FA-4F44-B37B-871374080614}"/>
            </c:ext>
          </c:extLst>
        </c:ser>
        <c:ser>
          <c:idx val="0"/>
          <c:order val="2"/>
          <c:tx>
            <c:v>Balaenoptera acutorostrata (small fin)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.6800000000000002"/>
            <c:spPr>
              <a:noFill/>
              <a:ln w="9525" cap="flat" cmpd="sng" algn="ctr">
                <a:solidFill>
                  <a:srgbClr val="0070C0"/>
                </a:solidFill>
                <a:round/>
              </a:ln>
              <a:effectLst/>
            </c:spPr>
          </c:errBars>
          <c:xVal>
            <c:numRef>
              <c:f>'Balaenoptera acutorostrata'!$B$2:$D$2</c:f>
              <c:numCache>
                <c:formatCode>0.000</c:formatCode>
                <c:ptCount val="3"/>
                <c:pt idx="0">
                  <c:v>3.4559999999999995</c:v>
                </c:pt>
                <c:pt idx="1">
                  <c:v>7.3919999999999995</c:v>
                </c:pt>
                <c:pt idx="2" formatCode="0.00">
                  <c:v>12.816000000000001</c:v>
                </c:pt>
              </c:numCache>
            </c:numRef>
          </c:xVal>
          <c:yVal>
            <c:numRef>
              <c:f>'Balaenoptera acutorostrata'!$B$15:$D$15</c:f>
              <c:numCache>
                <c:formatCode>0.00</c:formatCode>
                <c:ptCount val="3"/>
                <c:pt idx="0">
                  <c:v>39.612000000000002</c:v>
                </c:pt>
                <c:pt idx="1">
                  <c:v>19.785999999999998</c:v>
                </c:pt>
                <c:pt idx="2">
                  <c:v>13.6972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5FA-4F44-B37B-871374080614}"/>
            </c:ext>
          </c:extLst>
        </c:ser>
        <c:ser>
          <c:idx val="3"/>
          <c:order val="3"/>
          <c:tx>
            <c:v>Tursiops trancatus (medium fin)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2.5589999999999997"/>
            <c:spPr>
              <a:noFill/>
              <a:ln w="9525" cap="flat" cmpd="sng" algn="ctr">
                <a:solidFill>
                  <a:srgbClr val="00B050"/>
                </a:solidFill>
                <a:round/>
              </a:ln>
              <a:effectLst/>
            </c:spPr>
          </c:errBars>
          <c:xVal>
            <c:numRef>
              <c:f>'Tursiops trancatus'!$B$2:$D$2</c:f>
              <c:numCache>
                <c:formatCode>0.000</c:formatCode>
                <c:ptCount val="3"/>
                <c:pt idx="0">
                  <c:v>3.6719999999999997</c:v>
                </c:pt>
                <c:pt idx="1">
                  <c:v>6.8879999999999999</c:v>
                </c:pt>
                <c:pt idx="2" formatCode="0.00">
                  <c:v>10.8</c:v>
                </c:pt>
              </c:numCache>
            </c:numRef>
          </c:xVal>
          <c:yVal>
            <c:numRef>
              <c:f>'Tursiops trancatus'!$B$15:$D$15</c:f>
              <c:numCache>
                <c:formatCode>0.00</c:formatCode>
                <c:ptCount val="3"/>
                <c:pt idx="0">
                  <c:v>37.880000000000003</c:v>
                </c:pt>
                <c:pt idx="1">
                  <c:v>20.137</c:v>
                </c:pt>
                <c:pt idx="2">
                  <c:v>18.532000000000004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5FA-4F44-B37B-871374080614}"/>
            </c:ext>
          </c:extLst>
        </c:ser>
        <c:ser>
          <c:idx val="4"/>
          <c:order val="4"/>
          <c:tx>
            <c:v>Eschrichtius robustus (large fin)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.492"/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xVal>
            <c:numRef>
              <c:f>'Eschrichtius robustus'!$B$2:$D$2</c:f>
              <c:numCache>
                <c:formatCode>0.000</c:formatCode>
                <c:ptCount val="3"/>
                <c:pt idx="0">
                  <c:v>4.08</c:v>
                </c:pt>
                <c:pt idx="1">
                  <c:v>7.2959999999999994</c:v>
                </c:pt>
                <c:pt idx="2" formatCode="0.00">
                  <c:v>11.591999999999999</c:v>
                </c:pt>
              </c:numCache>
            </c:numRef>
          </c:xVal>
          <c:yVal>
            <c:numRef>
              <c:f>'Eschrichtius robustus'!$B$15:$D$15</c:f>
              <c:numCache>
                <c:formatCode>0.00</c:formatCode>
                <c:ptCount val="3"/>
                <c:pt idx="0">
                  <c:v>24.323999999999998</c:v>
                </c:pt>
                <c:pt idx="1">
                  <c:v>19.010000000000002</c:v>
                </c:pt>
                <c:pt idx="2">
                  <c:v>17.672000000000004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5FA-4F44-B37B-871374080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766928"/>
        <c:axId val="330765288"/>
      </c:scatterChart>
      <c:valAx>
        <c:axId val="330766928"/>
        <c:scaling>
          <c:orientation val="minMax"/>
          <c:max val="1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Average motor</a:t>
                </a:r>
                <a:r>
                  <a:rPr lang="nl-NL" baseline="0"/>
                  <a:t> energy consumption </a:t>
                </a:r>
                <a:r>
                  <a:rPr lang="nl-NL"/>
                  <a:t>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#,##0.000" sourceLinked="0"/>
        <c:majorTickMark val="out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0765288"/>
        <c:crosses val="autoZero"/>
        <c:crossBetween val="midCat"/>
        <c:majorUnit val="1"/>
        <c:minorUnit val="0.2"/>
      </c:valAx>
      <c:valAx>
        <c:axId val="330765288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time per meter flow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076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Average</a:t>
            </a:r>
            <a:r>
              <a:rPr lang="nl-NL" baseline="0"/>
              <a:t> time per meter flow (including standard deviation)</a:t>
            </a:r>
          </a:p>
          <a:p>
            <a:pPr>
              <a:defRPr/>
            </a:pPr>
            <a:r>
              <a:rPr lang="nl-NL" baseline="0"/>
              <a:t>per average motor energy consumption</a:t>
            </a:r>
          </a:p>
          <a:p>
            <a:pPr>
              <a:defRPr/>
            </a:pPr>
            <a:r>
              <a:rPr lang="nl-NL" baseline="0"/>
              <a:t>in shallow water column of the TinyOcean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Flexible shelf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x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.5740000000000001"/>
            <c:spPr>
              <a:noFill/>
              <a:ln w="9525" cap="flat" cmpd="sng" algn="ctr">
                <a:solidFill>
                  <a:srgbClr val="FFC000"/>
                </a:solidFill>
                <a:round/>
              </a:ln>
              <a:effectLst/>
            </c:spPr>
          </c:errBars>
          <c:xVal>
            <c:numRef>
              <c:f>'Flexible shelf'!$B$2:$D$2</c:f>
              <c:numCache>
                <c:formatCode>0.000</c:formatCode>
                <c:ptCount val="3"/>
                <c:pt idx="0">
                  <c:v>3.1920000000000002</c:v>
                </c:pt>
                <c:pt idx="1">
                  <c:v>6.6480000000000006</c:v>
                </c:pt>
                <c:pt idx="2" formatCode="0.00">
                  <c:v>12.288</c:v>
                </c:pt>
              </c:numCache>
            </c:numRef>
          </c:xVal>
          <c:yVal>
            <c:numRef>
              <c:f>'Flexible shelf'!$B$32:$D$32</c:f>
              <c:numCache>
                <c:formatCode>0.00</c:formatCode>
                <c:ptCount val="3"/>
                <c:pt idx="0">
                  <c:v>48.890999999999998</c:v>
                </c:pt>
                <c:pt idx="1">
                  <c:v>21.327999999999999</c:v>
                </c:pt>
                <c:pt idx="2">
                  <c:v>16.173999999999999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9D4-43C4-BE03-21EDFCE99F5C}"/>
            </c:ext>
          </c:extLst>
        </c:ser>
        <c:ser>
          <c:idx val="2"/>
          <c:order val="1"/>
          <c:tx>
            <c:v>Stiff shelf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2.1709999999999998"/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xVal>
            <c:numRef>
              <c:f>'Stiff shelf'!$B$2:$C$2</c:f>
              <c:numCache>
                <c:formatCode>0.000</c:formatCode>
                <c:ptCount val="2"/>
                <c:pt idx="0">
                  <c:v>3.1440000000000001</c:v>
                </c:pt>
                <c:pt idx="1">
                  <c:v>8.64</c:v>
                </c:pt>
              </c:numCache>
            </c:numRef>
          </c:xVal>
          <c:yVal>
            <c:numRef>
              <c:f>'Stiff shelf'!$B$32:$C$32</c:f>
              <c:numCache>
                <c:formatCode>0.00</c:formatCode>
                <c:ptCount val="2"/>
                <c:pt idx="0">
                  <c:v>53.281999999999996</c:v>
                </c:pt>
                <c:pt idx="1">
                  <c:v>27.417000000000002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9D4-43C4-BE03-21EDFCE99F5C}"/>
            </c:ext>
          </c:extLst>
        </c:ser>
        <c:ser>
          <c:idx val="0"/>
          <c:order val="2"/>
          <c:tx>
            <c:v>Balaenoptera acutorostrata (small fin)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.1220000000000001"/>
            <c:spPr>
              <a:noFill/>
              <a:ln w="9525" cap="flat" cmpd="sng" algn="ctr">
                <a:solidFill>
                  <a:srgbClr val="0070C0"/>
                </a:solidFill>
                <a:round/>
              </a:ln>
              <a:effectLst/>
            </c:spPr>
          </c:errBars>
          <c:xVal>
            <c:numRef>
              <c:f>'Balaenoptera acutorostrata'!$B$2:$D$2</c:f>
              <c:numCache>
                <c:formatCode>0.000</c:formatCode>
                <c:ptCount val="3"/>
                <c:pt idx="0">
                  <c:v>3.4559999999999995</c:v>
                </c:pt>
                <c:pt idx="1">
                  <c:v>7.3919999999999995</c:v>
                </c:pt>
                <c:pt idx="2" formatCode="0.00">
                  <c:v>12.816000000000001</c:v>
                </c:pt>
              </c:numCache>
            </c:numRef>
          </c:xVal>
          <c:yVal>
            <c:numRef>
              <c:f>'Balaenoptera acutorostrata'!$B$32:$D$32</c:f>
              <c:numCache>
                <c:formatCode>0.00</c:formatCode>
                <c:ptCount val="3"/>
                <c:pt idx="0">
                  <c:v>35.264000000000003</c:v>
                </c:pt>
                <c:pt idx="1">
                  <c:v>17.903999999999996</c:v>
                </c:pt>
                <c:pt idx="2">
                  <c:v>12.181000000000001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9D4-43C4-BE03-21EDFCE99F5C}"/>
            </c:ext>
          </c:extLst>
        </c:ser>
        <c:ser>
          <c:idx val="3"/>
          <c:order val="3"/>
          <c:tx>
            <c:v>Tursiops trancatus (medium fin)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.3920000000000001"/>
            <c:spPr>
              <a:noFill/>
              <a:ln w="9525" cap="flat" cmpd="sng" algn="ctr">
                <a:solidFill>
                  <a:srgbClr val="00B050"/>
                </a:solidFill>
                <a:round/>
              </a:ln>
              <a:effectLst/>
            </c:spPr>
          </c:errBars>
          <c:xVal>
            <c:numRef>
              <c:f>'Tursiops trancatus'!$B$2:$D$2</c:f>
              <c:numCache>
                <c:formatCode>0.000</c:formatCode>
                <c:ptCount val="3"/>
                <c:pt idx="0">
                  <c:v>3.6719999999999997</c:v>
                </c:pt>
                <c:pt idx="1">
                  <c:v>6.8879999999999999</c:v>
                </c:pt>
                <c:pt idx="2" formatCode="0.00">
                  <c:v>10.8</c:v>
                </c:pt>
              </c:numCache>
            </c:numRef>
          </c:xVal>
          <c:yVal>
            <c:numRef>
              <c:f>'Tursiops trancatus'!$B$32:$D$32</c:f>
              <c:numCache>
                <c:formatCode>0.00</c:formatCode>
                <c:ptCount val="3"/>
                <c:pt idx="0">
                  <c:v>30.413</c:v>
                </c:pt>
                <c:pt idx="1">
                  <c:v>17.708000000000002</c:v>
                </c:pt>
                <c:pt idx="2">
                  <c:v>15.257999999999999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9D4-43C4-BE03-21EDFCE99F5C}"/>
            </c:ext>
          </c:extLst>
        </c:ser>
        <c:ser>
          <c:idx val="4"/>
          <c:order val="4"/>
          <c:tx>
            <c:v>Eschrichtius robustus (large fin)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0.84630000000000005"/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xVal>
            <c:numRef>
              <c:f>'Eschrichtius robustus'!$B$2:$D$2</c:f>
              <c:numCache>
                <c:formatCode>0.000</c:formatCode>
                <c:ptCount val="3"/>
                <c:pt idx="0">
                  <c:v>4.08</c:v>
                </c:pt>
                <c:pt idx="1">
                  <c:v>7.2959999999999994</c:v>
                </c:pt>
                <c:pt idx="2" formatCode="0.00">
                  <c:v>11.591999999999999</c:v>
                </c:pt>
              </c:numCache>
            </c:numRef>
          </c:xVal>
          <c:yVal>
            <c:numRef>
              <c:f>'Eschrichtius robustus'!$B$32:$D$32</c:f>
              <c:numCache>
                <c:formatCode>0.00</c:formatCode>
                <c:ptCount val="3"/>
                <c:pt idx="0">
                  <c:v>25.211999999999996</c:v>
                </c:pt>
                <c:pt idx="1">
                  <c:v>15.193999999999997</c:v>
                </c:pt>
                <c:pt idx="2">
                  <c:v>14.568000000000001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9D4-43C4-BE03-21EDFCE99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766928"/>
        <c:axId val="330765288"/>
      </c:scatterChart>
      <c:valAx>
        <c:axId val="330766928"/>
        <c:scaling>
          <c:orientation val="minMax"/>
          <c:max val="1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Average</a:t>
                </a:r>
                <a:r>
                  <a:rPr lang="nl-NL" baseline="0"/>
                  <a:t> motor energy consumption</a:t>
                </a:r>
                <a:r>
                  <a:rPr lang="nl-NL"/>
                  <a:t>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#,##0.000" sourceLinked="0"/>
        <c:majorTickMark val="out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0765288"/>
        <c:crosses val="autoZero"/>
        <c:crossBetween val="midCat"/>
        <c:majorUnit val="1"/>
      </c:valAx>
      <c:valAx>
        <c:axId val="330765288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per meter flow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076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Flow</a:t>
            </a:r>
            <a:r>
              <a:rPr lang="nl-NL" baseline="0"/>
              <a:t> velocity calibration with pump in the TinyOcean</a:t>
            </a:r>
            <a:endParaRPr lang="nl-NL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5"/>
          <c:order val="11"/>
          <c:tx>
            <c:v>Pump (deep water column)</c:v>
          </c:tx>
          <c:spPr>
            <a:ln w="19050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diamond"/>
            <c:size val="6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0.32650000000000007"/>
            <c:spPr>
              <a:ln>
                <a:solidFill>
                  <a:srgbClr val="7030A0"/>
                </a:solidFill>
                <a:prstDash val="dash"/>
              </a:ln>
              <a:effectLst/>
            </c:spPr>
          </c:errBars>
          <c:xVal>
            <c:numRef>
              <c:f>Pump!$B$1:$F$1</c:f>
              <c:numCache>
                <c:formatCode>General</c:formatCode>
                <c:ptCount val="5"/>
                <c:pt idx="0">
                  <c:v>4000</c:v>
                </c:pt>
                <c:pt idx="1">
                  <c:v>5600</c:v>
                </c:pt>
                <c:pt idx="2">
                  <c:v>6100</c:v>
                </c:pt>
                <c:pt idx="3">
                  <c:v>7300</c:v>
                </c:pt>
                <c:pt idx="4">
                  <c:v>8000</c:v>
                </c:pt>
              </c:numCache>
            </c:numRef>
          </c:xVal>
          <c:yVal>
            <c:numRef>
              <c:f>Pump!$B$15:$F$15</c:f>
              <c:numCache>
                <c:formatCode>0.000</c:formatCode>
                <c:ptCount val="5"/>
                <c:pt idx="0">
                  <c:v>1.6202641030487972</c:v>
                </c:pt>
                <c:pt idx="1">
                  <c:v>2.1461530207103769</c:v>
                </c:pt>
                <c:pt idx="2">
                  <c:v>2.6495915213071322</c:v>
                </c:pt>
                <c:pt idx="3">
                  <c:v>2.9365700861393891</c:v>
                </c:pt>
                <c:pt idx="4">
                  <c:v>3.1689025034329776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34-469E-9779-6ED6A5E83435}"/>
            </c:ext>
          </c:extLst>
        </c:ser>
        <c:ser>
          <c:idx val="12"/>
          <c:order val="12"/>
          <c:tx>
            <c:v>Pump (shallow water column)</c:v>
          </c:tx>
          <c:spPr>
            <a:ln>
              <a:solidFill>
                <a:srgbClr val="7030A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7030A0"/>
              </a:solidFill>
              <a:ln>
                <a:noFill/>
              </a:ln>
            </c:spPr>
          </c:marker>
          <c:errBars>
            <c:errDir val="y"/>
            <c:errBarType val="both"/>
            <c:errValType val="fixedVal"/>
            <c:noEndCap val="0"/>
            <c:val val="0.1376"/>
            <c:spPr>
              <a:ln>
                <a:solidFill>
                  <a:srgbClr val="7030A0"/>
                </a:solidFill>
              </a:ln>
            </c:spPr>
          </c:errBars>
          <c:xVal>
            <c:numRef>
              <c:f>Pump!$B$1:$F$1</c:f>
              <c:numCache>
                <c:formatCode>General</c:formatCode>
                <c:ptCount val="5"/>
                <c:pt idx="0">
                  <c:v>4000</c:v>
                </c:pt>
                <c:pt idx="1">
                  <c:v>5600</c:v>
                </c:pt>
                <c:pt idx="2">
                  <c:v>6100</c:v>
                </c:pt>
                <c:pt idx="3">
                  <c:v>7300</c:v>
                </c:pt>
                <c:pt idx="4">
                  <c:v>8000</c:v>
                </c:pt>
              </c:numCache>
            </c:numRef>
          </c:xVal>
          <c:yVal>
            <c:numRef>
              <c:f>Pump!$B$31:$F$31</c:f>
              <c:numCache>
                <c:formatCode>0.000</c:formatCode>
                <c:ptCount val="5"/>
                <c:pt idx="0">
                  <c:v>2.0589547373116917</c:v>
                </c:pt>
                <c:pt idx="1">
                  <c:v>2.5007293794023253</c:v>
                </c:pt>
                <c:pt idx="2">
                  <c:v>2.9828486204325131</c:v>
                </c:pt>
                <c:pt idx="3">
                  <c:v>3.1828550209537947</c:v>
                </c:pt>
                <c:pt idx="4">
                  <c:v>3.7297196494063529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9434-469E-9779-6ED6A5E83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766928"/>
        <c:axId val="33076528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0"/>
                <c:tx>
                  <c:v>Flexible shelf</c:v>
                </c:tx>
                <c:spPr>
                  <a:ln>
                    <a:solidFill>
                      <a:srgbClr val="FFC000"/>
                    </a:solidFill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'Flexible shelf'!$B$1:$D$1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'Flexible shelf'!$B$17:$D$17</c15:sqref>
                        </c15:formulaRef>
                      </c:ext>
                    </c:extLst>
                    <c:numCache>
                      <c:formatCode>0.000</c:formatCode>
                      <c:ptCount val="3"/>
                      <c:pt idx="0">
                        <c:v>1.2586796450523403</c:v>
                      </c:pt>
                      <c:pt idx="1">
                        <c:v>2.283278788340056</c:v>
                      </c:pt>
                      <c:pt idx="2">
                        <c:v>3.0289262456459189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9434-469E-9779-6ED6A5E83435}"/>
                  </c:ext>
                </c:extLst>
              </c15:ser>
            </c15:filteredScatterSeries>
            <c15:filteredScatterSeries>
              <c15:ser>
                <c:idx val="7"/>
                <c:order val="1"/>
                <c:tx>
                  <c:v>Stiff shelf</c:v>
                </c:tx>
                <c:spPr>
                  <a:ln>
                    <a:solidFill>
                      <a:srgbClr val="FF0000"/>
                    </a:solidFill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'Stiff shelf'!$B$1:$C$1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50</c:v>
                      </c:pt>
                      <c:pt idx="1">
                        <c:v>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'Stiff shelf'!$B$17:$C$17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0.99472794190788816</c:v>
                      </c:pt>
                      <c:pt idx="1">
                        <c:v>1.854828737479906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434-469E-9779-6ED6A5E83435}"/>
                  </c:ext>
                </c:extLst>
              </c15:ser>
            </c15:filteredScatterSeries>
            <c15:filteredScatterSeries>
              <c15:ser>
                <c:idx val="8"/>
                <c:order val="2"/>
                <c:tx>
                  <c:v>Balaenoptera acutorostrata (small fin)</c:v>
                </c:tx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'Balaenoptera acutorostrata'!$B$1:$D$1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'Balaenoptera acutorostrata'!$B$17:$D$17</c15:sqref>
                        </c15:formulaRef>
                      </c:ext>
                    </c:extLst>
                    <c:numCache>
                      <c:formatCode>0.000</c:formatCode>
                      <c:ptCount val="3"/>
                      <c:pt idx="0">
                        <c:v>1.514692517418964</c:v>
                      </c:pt>
                      <c:pt idx="1">
                        <c:v>3.0324471848781966</c:v>
                      </c:pt>
                      <c:pt idx="2">
                        <c:v>4.3804573197441812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434-469E-9779-6ED6A5E83435}"/>
                  </c:ext>
                </c:extLst>
              </c15:ser>
            </c15:filteredScatterSeries>
            <c15:filteredScatterSeries>
              <c15:ser>
                <c:idx val="9"/>
                <c:order val="3"/>
                <c:tx>
                  <c:v>Tursiops trancatus (medium fin)</c:v>
                </c:tx>
                <c:spPr>
                  <a:ln>
                    <a:solidFill>
                      <a:srgbClr val="00B050"/>
                    </a:solidFill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'Tursiops trancatus'!$B$1:$D$1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'Tursiops trancatus'!$B$17:$D$17</c15:sqref>
                        </c15:formulaRef>
                      </c:ext>
                    </c:extLst>
                    <c:numCache>
                      <c:formatCode>0.000</c:formatCode>
                      <c:ptCount val="3"/>
                      <c:pt idx="0">
                        <c:v>1.583949313621964</c:v>
                      </c:pt>
                      <c:pt idx="1">
                        <c:v>2.9795898098028504</c:v>
                      </c:pt>
                      <c:pt idx="2">
                        <c:v>3.2376429958989847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434-469E-9779-6ED6A5E83435}"/>
                  </c:ext>
                </c:extLst>
              </c15:ser>
            </c15:filteredScatterSeries>
            <c15:filteredScatterSeries>
              <c15:ser>
                <c:idx val="10"/>
                <c:order val="4"/>
                <c:tx>
                  <c:v>Eschrichtius robustus (large fin)</c:v>
                </c:tx>
                <c:spPr>
                  <a:ln>
                    <a:solidFill>
                      <a:schemeClr val="tx1">
                        <a:lumMod val="50000"/>
                        <a:lumOff val="50000"/>
                      </a:schemeClr>
                    </a:solidFill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'Eschrichtius robustus'!$B$1:$D$1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'Eschrichtius robustus'!$B$17:$D$17</c15:sqref>
                        </c15:formulaRef>
                      </c:ext>
                    </c:extLst>
                    <c:numCache>
                      <c:formatCode>0.000</c:formatCode>
                      <c:ptCount val="3"/>
                      <c:pt idx="0">
                        <c:v>2.4666995559940799</c:v>
                      </c:pt>
                      <c:pt idx="1">
                        <c:v>3.156233561283535</c:v>
                      </c:pt>
                      <c:pt idx="2">
                        <c:v>3.3952014486192841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434-469E-9779-6ED6A5E83435}"/>
                  </c:ext>
                </c:extLst>
              </c15:ser>
            </c15:filteredScatterSeries>
            <c15:filteredScatterSeries>
              <c15:ser>
                <c:idx val="11"/>
                <c:order val="5"/>
                <c:tx>
                  <c:v>Pump (calibration)</c:v>
                </c:tx>
                <c:spPr>
                  <a:ln>
                    <a:solidFill>
                      <a:srgbClr val="7030A0"/>
                    </a:solidFill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Pump!$B$1:$F$1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4000</c:v>
                      </c:pt>
                      <c:pt idx="1">
                        <c:v>5600</c:v>
                      </c:pt>
                      <c:pt idx="2">
                        <c:v>6100</c:v>
                      </c:pt>
                      <c:pt idx="3">
                        <c:v>7300</c:v>
                      </c:pt>
                      <c:pt idx="4">
                        <c:v>8000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Pump!$B$15:$F$15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>
                        <c:v>1.6202641030487972</c:v>
                      </c:pt>
                      <c:pt idx="1">
                        <c:v>2.1461530207103769</c:v>
                      </c:pt>
                      <c:pt idx="2">
                        <c:v>2.6495915213071322</c:v>
                      </c:pt>
                      <c:pt idx="3">
                        <c:v>2.9365700861393891</c:v>
                      </c:pt>
                      <c:pt idx="4">
                        <c:v>3.1689025034329776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434-469E-9779-6ED6A5E83435}"/>
                  </c:ext>
                </c:extLst>
              </c15:ser>
            </c15:filteredScatterSeries>
            <c15:filteredScatterSeries>
              <c15:ser>
                <c:idx val="1"/>
                <c:order val="6"/>
                <c:tx>
                  <c:v>Flexible shelf</c:v>
                </c:tx>
                <c:spPr>
                  <a:ln w="1905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x"/>
                  <c:size val="5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'Flexible shelf'!$B$1:$D$1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'Flexible shelf'!$B$17:$D$17</c15:sqref>
                        </c15:formulaRef>
                      </c:ext>
                    </c:extLst>
                    <c:numCache>
                      <c:formatCode>0.000</c:formatCode>
                      <c:ptCount val="3"/>
                      <c:pt idx="0">
                        <c:v>1.2586796450523403</c:v>
                      </c:pt>
                      <c:pt idx="1">
                        <c:v>2.283278788340056</c:v>
                      </c:pt>
                      <c:pt idx="2">
                        <c:v>3.0289262456459189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434-469E-9779-6ED6A5E83435}"/>
                  </c:ext>
                </c:extLst>
              </c15:ser>
            </c15:filteredScatterSeries>
            <c15:filteredScatterSeries>
              <c15:ser>
                <c:idx val="2"/>
                <c:order val="7"/>
                <c:tx>
                  <c:v>Stiff shelf</c:v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5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'Stiff shelf'!$B$1:$C$1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50</c:v>
                      </c:pt>
                      <c:pt idx="1">
                        <c:v>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'Stiff shelf'!$B$17:$C$17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0.99472794190788816</c:v>
                      </c:pt>
                      <c:pt idx="1">
                        <c:v>1.854828737479906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434-469E-9779-6ED6A5E83435}"/>
                  </c:ext>
                </c:extLst>
              </c15:ser>
            </c15:filteredScatterSeries>
            <c15:filteredScatterSeries>
              <c15:ser>
                <c:idx val="0"/>
                <c:order val="8"/>
                <c:tx>
                  <c:v>Balaenoptera acutorostrata (small fin)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'Balaenoptera acutorostrata'!$B$1:$D$1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'Balaenoptera acutorostrata'!$B$17:$D$17</c15:sqref>
                        </c15:formulaRef>
                      </c:ext>
                    </c:extLst>
                    <c:numCache>
                      <c:formatCode>0.000</c:formatCode>
                      <c:ptCount val="3"/>
                      <c:pt idx="0">
                        <c:v>1.514692517418964</c:v>
                      </c:pt>
                      <c:pt idx="1">
                        <c:v>3.0324471848781966</c:v>
                      </c:pt>
                      <c:pt idx="2">
                        <c:v>4.3804573197441812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434-469E-9779-6ED6A5E83435}"/>
                  </c:ext>
                </c:extLst>
              </c15:ser>
            </c15:filteredScatterSeries>
            <c15:filteredScatterSeries>
              <c15:ser>
                <c:idx val="3"/>
                <c:order val="9"/>
                <c:tx>
                  <c:v>Tursiops trancatus (medium fin)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rgbClr val="00B050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'Tursiops trancatus'!$B$1:$D$1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'Tursiops trancatus'!$B$17:$D$17</c15:sqref>
                        </c15:formulaRef>
                      </c:ext>
                    </c:extLst>
                    <c:numCache>
                      <c:formatCode>0.000</c:formatCode>
                      <c:ptCount val="3"/>
                      <c:pt idx="0">
                        <c:v>1.583949313621964</c:v>
                      </c:pt>
                      <c:pt idx="1">
                        <c:v>2.9795898098028504</c:v>
                      </c:pt>
                      <c:pt idx="2">
                        <c:v>3.2376429958989847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434-469E-9779-6ED6A5E83435}"/>
                  </c:ext>
                </c:extLst>
              </c15:ser>
            </c15:filteredScatterSeries>
            <c15:filteredScatterSeries>
              <c15:ser>
                <c:idx val="4"/>
                <c:order val="10"/>
                <c:tx>
                  <c:v>Eschrichtius robustus (large fin)</c:v>
                </c:tx>
                <c:spPr>
                  <a:ln w="19050" cap="rnd">
                    <a:solidFill>
                      <a:schemeClr val="tx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tx1">
                        <a:lumMod val="50000"/>
                        <a:lumOff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'Eschrichtius robustus'!$B$1:$D$1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</c:v>
                      </c:pt>
                      <c:pt idx="1">
                        <c:v>75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'Eschrichtius robustus'!$B$17:$D$17</c15:sqref>
                        </c15:formulaRef>
                      </c:ext>
                    </c:extLst>
                    <c:numCache>
                      <c:formatCode>0.000</c:formatCode>
                      <c:ptCount val="3"/>
                      <c:pt idx="0">
                        <c:v>2.4666995559940799</c:v>
                      </c:pt>
                      <c:pt idx="1">
                        <c:v>3.156233561283535</c:v>
                      </c:pt>
                      <c:pt idx="2">
                        <c:v>3.3952014486192841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434-469E-9779-6ED6A5E83435}"/>
                  </c:ext>
                </c:extLst>
              </c15:ser>
            </c15:filteredScatterSeries>
          </c:ext>
        </c:extLst>
      </c:scatterChart>
      <c:valAx>
        <c:axId val="330766928"/>
        <c:scaling>
          <c:orientation val="minMax"/>
          <c:max val="8000"/>
          <c:min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Pump water flow generation (L/h)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0765288"/>
        <c:crosses val="autoZero"/>
        <c:crossBetween val="midCat"/>
        <c:majorUnit val="500"/>
        <c:minorUnit val="100"/>
      </c:valAx>
      <c:valAx>
        <c:axId val="330765288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velocity</a:t>
                </a:r>
                <a:r>
                  <a:rPr lang="en-US"/>
                  <a:t> (m/min)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07669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spPr>
    <a:ln>
      <a:solidFill>
        <a:sysClr val="windowText" lastClr="000000"/>
      </a:solidFill>
    </a:ln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Volumetric</a:t>
            </a:r>
            <a:r>
              <a:rPr lang="nl-NL" baseline="0"/>
              <a:t> f</a:t>
            </a:r>
            <a:r>
              <a:rPr lang="nl-NL"/>
              <a:t>low</a:t>
            </a:r>
            <a:r>
              <a:rPr lang="nl-NL" baseline="0"/>
              <a:t> rate with shelves and fins per motor power in the TinyOcean</a:t>
            </a:r>
            <a:endParaRPr lang="nl-NL"/>
          </a:p>
        </c:rich>
      </c:tx>
      <c:layout>
        <c:manualLayout>
          <c:xMode val="edge"/>
          <c:yMode val="edge"/>
          <c:x val="0.19073830678276374"/>
          <c:y val="1.24792744138225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9406068741865565E-2"/>
          <c:y val="6.0897833968709063E-2"/>
          <c:w val="0.6440280895227235"/>
          <c:h val="0.8566830931114886"/>
        </c:manualLayout>
      </c:layout>
      <c:scatterChart>
        <c:scatterStyle val="smoothMarker"/>
        <c:varyColors val="0"/>
        <c:ser>
          <c:idx val="1"/>
          <c:order val="0"/>
          <c:tx>
            <c:v>Flexible shelf (deep water column)</c:v>
          </c:tx>
          <c:spPr>
            <a:ln w="19050" cap="rnd">
              <a:solidFill>
                <a:srgbClr val="FFC000"/>
              </a:solidFill>
              <a:prstDash val="dash"/>
              <a:round/>
            </a:ln>
            <a:effectLst/>
          </c:spPr>
          <c:marker>
            <c:symbol val="x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numRef>
              <c:f>'Flexible shelf'!$B$1:$D$1</c:f>
              <c:numCache>
                <c:formatCode>General</c:formatCode>
                <c:ptCount val="3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'Flexible shelf'!$B$18:$D$18</c:f>
              <c:numCache>
                <c:formatCode>0.00</c:formatCode>
                <c:ptCount val="3"/>
                <c:pt idx="0">
                  <c:v>0.3177536763934633</c:v>
                </c:pt>
                <c:pt idx="1">
                  <c:v>0.57641373011644714</c:v>
                </c:pt>
                <c:pt idx="2">
                  <c:v>0.76465243071331224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19-43A7-8289-73D340CB19AC}"/>
            </c:ext>
          </c:extLst>
        </c:ser>
        <c:ser>
          <c:idx val="5"/>
          <c:order val="1"/>
          <c:tx>
            <c:v>Flexible shelf (shallow water column)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numRef>
              <c:f>'Flexible shelf'!$B$1:$D$1</c:f>
              <c:numCache>
                <c:formatCode>General</c:formatCode>
                <c:ptCount val="3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'Flexible shelf'!$B$35:$D$35</c:f>
              <c:numCache>
                <c:formatCode>0.00</c:formatCode>
                <c:ptCount val="3"/>
                <c:pt idx="0">
                  <c:v>0.27538810824078053</c:v>
                </c:pt>
                <c:pt idx="1">
                  <c:v>0.63128282070517638</c:v>
                </c:pt>
                <c:pt idx="2">
                  <c:v>0.83244713738098197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0B-4016-B0D8-A18C03142875}"/>
            </c:ext>
          </c:extLst>
        </c:ser>
        <c:ser>
          <c:idx val="2"/>
          <c:order val="2"/>
          <c:tx>
            <c:v>Stiff shelf (deep water column)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x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'Stiff shelf'!$B$1:$C$1</c:f>
              <c:numCache>
                <c:formatCode>General</c:formatCode>
                <c:ptCount val="2"/>
                <c:pt idx="0">
                  <c:v>50</c:v>
                </c:pt>
                <c:pt idx="1">
                  <c:v>75</c:v>
                </c:pt>
              </c:numCache>
            </c:numRef>
          </c:xVal>
          <c:yVal>
            <c:numRef>
              <c:f>'Stiff shelf'!$B$18:$C$18</c:f>
              <c:numCache>
                <c:formatCode>0.00</c:formatCode>
                <c:ptCount val="2"/>
                <c:pt idx="0">
                  <c:v>0.28460161145926588</c:v>
                </c:pt>
                <c:pt idx="1">
                  <c:v>0.53068505008037592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19-43A7-8289-73D340CB19AC}"/>
            </c:ext>
          </c:extLst>
        </c:ser>
        <c:ser>
          <c:idx val="6"/>
          <c:order val="3"/>
          <c:tx>
            <c:v>Stiff shelf (shallow water column)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'Stiff shelf'!$B$1:$C$1</c:f>
              <c:numCache>
                <c:formatCode>General</c:formatCode>
                <c:ptCount val="2"/>
                <c:pt idx="0">
                  <c:v>50</c:v>
                </c:pt>
                <c:pt idx="1">
                  <c:v>75</c:v>
                </c:pt>
              </c:numCache>
            </c:numRef>
          </c:xVal>
          <c:yVal>
            <c:numRef>
              <c:f>'Stiff shelf'!$B$35:$C$35</c:f>
              <c:numCache>
                <c:formatCode>0.00</c:formatCode>
                <c:ptCount val="2"/>
                <c:pt idx="0">
                  <c:v>0.25269321722157584</c:v>
                </c:pt>
                <c:pt idx="1">
                  <c:v>0.49108217529270165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0B-4016-B0D8-A18C03142875}"/>
            </c:ext>
          </c:extLst>
        </c:ser>
        <c:ser>
          <c:idx val="0"/>
          <c:order val="4"/>
          <c:tx>
            <c:v>Balaenoptera acutorostrata/small fin (deep water column)</c:v>
          </c:tx>
          <c:spPr>
            <a:ln w="1905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'Balaenoptera acutorostrata'!$B$1:$D$1</c:f>
              <c:numCache>
                <c:formatCode>General</c:formatCode>
                <c:ptCount val="3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'Balaenoptera acutorostrata'!$B$18:$D$18</c:f>
              <c:numCache>
                <c:formatCode>0.00</c:formatCode>
                <c:ptCount val="3"/>
                <c:pt idx="0">
                  <c:v>0.38238412602241756</c:v>
                </c:pt>
                <c:pt idx="1">
                  <c:v>0.76554129182250075</c:v>
                </c:pt>
                <c:pt idx="2">
                  <c:v>1.1058464503694185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A19-43A7-8289-73D340CB19AC}"/>
            </c:ext>
          </c:extLst>
        </c:ser>
        <c:ser>
          <c:idx val="7"/>
          <c:order val="5"/>
          <c:tx>
            <c:v>Balaenoptera acutorostrata/small fin (shallow water column)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'Balaenoptera acutorostrata'!$B$1:$D$1</c:f>
              <c:numCache>
                <c:formatCode>General</c:formatCode>
                <c:ptCount val="3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'Balaenoptera acutorostrata'!$B$35:$D$35</c:f>
              <c:numCache>
                <c:formatCode>0.00</c:formatCode>
                <c:ptCount val="3"/>
                <c:pt idx="0">
                  <c:v>0.3818058076225046</c:v>
                </c:pt>
                <c:pt idx="1">
                  <c:v>0.75201072386059009</c:v>
                </c:pt>
                <c:pt idx="2">
                  <c:v>1.1053279697890157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60B-4016-B0D8-A18C03142875}"/>
            </c:ext>
          </c:extLst>
        </c:ser>
        <c:ser>
          <c:idx val="3"/>
          <c:order val="6"/>
          <c:tx>
            <c:v>Tursiops trancatus/medium fin (deep water column)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'Tursiops trancatus'!$B$1:$D$1</c:f>
              <c:numCache>
                <c:formatCode>General</c:formatCode>
                <c:ptCount val="3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'Tursiops trancatus'!$B$18:$D$18</c:f>
              <c:numCache>
                <c:formatCode>0.00</c:formatCode>
                <c:ptCount val="3"/>
                <c:pt idx="0">
                  <c:v>0.45318373812038021</c:v>
                </c:pt>
                <c:pt idx="1">
                  <c:v>0.85249044048269362</c:v>
                </c:pt>
                <c:pt idx="2">
                  <c:v>0.92632203755665865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A19-43A7-8289-73D340CB19AC}"/>
            </c:ext>
          </c:extLst>
        </c:ser>
        <c:ser>
          <c:idx val="8"/>
          <c:order val="7"/>
          <c:tx>
            <c:v>Tursiops trancatus/medium fin (shallow water column)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'Tursiops trancatus'!$B$1:$D$1</c:f>
              <c:numCache>
                <c:formatCode>General</c:formatCode>
                <c:ptCount val="3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'Tursiops trancatus'!$B$35:$D$35</c:f>
              <c:numCache>
                <c:formatCode>0.00</c:formatCode>
                <c:ptCount val="3"/>
                <c:pt idx="0">
                  <c:v>0.44270542202347685</c:v>
                </c:pt>
                <c:pt idx="1">
                  <c:v>0.76033431217528813</c:v>
                </c:pt>
                <c:pt idx="2">
                  <c:v>0.88242233582383034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60B-4016-B0D8-A18C03142875}"/>
            </c:ext>
          </c:extLst>
        </c:ser>
        <c:ser>
          <c:idx val="4"/>
          <c:order val="8"/>
          <c:tx>
            <c:v>Eschrichtius robustus/large fin (deep water column)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'Eschrichtius robustus'!$B$1:$D$1</c:f>
              <c:numCache>
                <c:formatCode>General</c:formatCode>
                <c:ptCount val="3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'Eschrichtius robustus'!$B$18:$D$18</c:f>
              <c:numCache>
                <c:formatCode>0.00</c:formatCode>
                <c:ptCount val="3"/>
                <c:pt idx="0">
                  <c:v>0.62271830291070551</c:v>
                </c:pt>
                <c:pt idx="1">
                  <c:v>0.79679116254602855</c:v>
                </c:pt>
                <c:pt idx="2">
                  <c:v>0.85711860570393827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A19-43A7-8289-73D340CB19AC}"/>
            </c:ext>
          </c:extLst>
        </c:ser>
        <c:ser>
          <c:idx val="9"/>
          <c:order val="9"/>
          <c:tx>
            <c:v>Eschrichtius robustus/large fin (shallow water column)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'Eschrichtius robustus'!$B$1:$D$1</c:f>
              <c:numCache>
                <c:formatCode>General</c:formatCode>
                <c:ptCount val="3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'Eschrichtius robustus'!$B$35:$D$35</c:f>
              <c:numCache>
                <c:formatCode>0.00</c:formatCode>
                <c:ptCount val="3"/>
                <c:pt idx="0">
                  <c:v>0.53403141361256556</c:v>
                </c:pt>
                <c:pt idx="1">
                  <c:v>0.88613926549953959</c:v>
                </c:pt>
                <c:pt idx="2">
                  <c:v>0.92421746293245455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60B-4016-B0D8-A18C03142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766928"/>
        <c:axId val="330765288"/>
      </c:scatterChart>
      <c:valAx>
        <c:axId val="330766928"/>
        <c:scaling>
          <c:orientation val="minMax"/>
          <c:max val="1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Motor power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0"/>
        <c:majorTickMark val="out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0765288"/>
        <c:crosses val="autoZero"/>
        <c:crossBetween val="midCat"/>
        <c:majorUnit val="10"/>
        <c:minorUnit val="5"/>
      </c:valAx>
      <c:valAx>
        <c:axId val="330765288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Volumetric</a:t>
                </a:r>
                <a:r>
                  <a:rPr lang="en-US" baseline="0"/>
                  <a:t> f</a:t>
                </a:r>
                <a:r>
                  <a:rPr lang="en-US"/>
                  <a:t>low rate (m3/min)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0766928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legend>
      <c:legendPos val="r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</c:legendEntry>
      <c:layout>
        <c:manualLayout>
          <c:xMode val="edge"/>
          <c:yMode val="edge"/>
          <c:x val="0.74610449129239231"/>
          <c:y val="9.964742261468329E-2"/>
          <c:w val="0.24320195539260614"/>
          <c:h val="0.778683838609242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Flow velocity</a:t>
            </a:r>
            <a:r>
              <a:rPr lang="nl-NL" baseline="0"/>
              <a:t> with shelves and fins per average motor energy consumption in the TinyOcean</a:t>
            </a:r>
            <a:endParaRPr lang="nl-NL"/>
          </a:p>
        </c:rich>
      </c:tx>
      <c:layout>
        <c:manualLayout>
          <c:xMode val="edge"/>
          <c:yMode val="edge"/>
          <c:x val="0.1305027538342102"/>
          <c:y val="1.4186954455239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2730544069677175E-2"/>
          <c:y val="6.6320972156989108E-2"/>
          <c:w val="0.65522395519230192"/>
          <c:h val="0.86149950259025165"/>
        </c:manualLayout>
      </c:layout>
      <c:scatterChart>
        <c:scatterStyle val="smoothMarker"/>
        <c:varyColors val="0"/>
        <c:ser>
          <c:idx val="5"/>
          <c:order val="0"/>
          <c:tx>
            <c:v>Flexible shelf (deep water column)</c:v>
          </c:tx>
          <c:spPr>
            <a:ln w="19050" cap="rnd">
              <a:solidFill>
                <a:srgbClr val="FFC000"/>
              </a:solidFill>
              <a:prstDash val="dash"/>
              <a:round/>
            </a:ln>
            <a:effectLst/>
          </c:spPr>
          <c:marker>
            <c:symbol val="squar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0.13370000000000001"/>
            <c:spPr>
              <a:noFill/>
              <a:ln w="9525" cap="flat" cmpd="sng" algn="ctr">
                <a:solidFill>
                  <a:srgbClr val="FFC000"/>
                </a:solidFill>
                <a:prstDash val="dash"/>
                <a:round/>
              </a:ln>
              <a:effectLst/>
            </c:spPr>
          </c:errBars>
          <c:xVal>
            <c:numRef>
              <c:f>'Flexible shelf'!$B$2:$D$2</c:f>
              <c:numCache>
                <c:formatCode>0.000</c:formatCode>
                <c:ptCount val="3"/>
                <c:pt idx="0">
                  <c:v>3.1920000000000002</c:v>
                </c:pt>
                <c:pt idx="1">
                  <c:v>6.6480000000000006</c:v>
                </c:pt>
                <c:pt idx="2" formatCode="0.00">
                  <c:v>12.288</c:v>
                </c:pt>
              </c:numCache>
            </c:numRef>
          </c:xVal>
          <c:yVal>
            <c:numRef>
              <c:f>'Flexible shelf'!$B$17:$D$17</c:f>
              <c:numCache>
                <c:formatCode>0.000</c:formatCode>
                <c:ptCount val="3"/>
                <c:pt idx="0">
                  <c:v>1.2586796450523403</c:v>
                </c:pt>
                <c:pt idx="1">
                  <c:v>2.283278788340056</c:v>
                </c:pt>
                <c:pt idx="2">
                  <c:v>3.0289262456459189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13F-49F6-8EDB-AD5E676E07C1}"/>
            </c:ext>
          </c:extLst>
        </c:ser>
        <c:ser>
          <c:idx val="1"/>
          <c:order val="1"/>
          <c:tx>
            <c:v>Flexible shelf (shallow water column)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x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0.12270000000000002"/>
            <c:spPr>
              <a:noFill/>
              <a:ln w="9525" cap="flat" cmpd="sng" algn="ctr">
                <a:solidFill>
                  <a:srgbClr val="FFC000"/>
                </a:solidFill>
                <a:round/>
              </a:ln>
              <a:effectLst/>
            </c:spPr>
          </c:errBars>
          <c:xVal>
            <c:numRef>
              <c:f>'Flexible shelf'!$B$2:$D$2</c:f>
              <c:numCache>
                <c:formatCode>0.000</c:formatCode>
                <c:ptCount val="3"/>
                <c:pt idx="0">
                  <c:v>3.1920000000000002</c:v>
                </c:pt>
                <c:pt idx="1">
                  <c:v>6.6480000000000006</c:v>
                </c:pt>
                <c:pt idx="2" formatCode="0.00">
                  <c:v>12.288</c:v>
                </c:pt>
              </c:numCache>
            </c:numRef>
          </c:xVal>
          <c:yVal>
            <c:numRef>
              <c:f>'Flexible shelf'!$B$34:$D$34</c:f>
              <c:numCache>
                <c:formatCode>0.000</c:formatCode>
                <c:ptCount val="3"/>
                <c:pt idx="0">
                  <c:v>1.2272197336933177</c:v>
                </c:pt>
                <c:pt idx="1">
                  <c:v>2.8132033008252066</c:v>
                </c:pt>
                <c:pt idx="2">
                  <c:v>3.7096574749598119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3F-49F6-8EDB-AD5E676E07C1}"/>
            </c:ext>
          </c:extLst>
        </c:ser>
        <c:ser>
          <c:idx val="6"/>
          <c:order val="2"/>
          <c:tx>
            <c:v>Stiff shelf (deep water column)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0.13090000000000002"/>
            <c:spPr>
              <a:noFill/>
              <a:ln w="9525" cap="flat" cmpd="sng" algn="ctr">
                <a:solidFill>
                  <a:srgbClr val="FF0000"/>
                </a:solidFill>
                <a:prstDash val="sysDot"/>
                <a:round/>
              </a:ln>
              <a:effectLst/>
            </c:spPr>
          </c:errBars>
          <c:xVal>
            <c:numRef>
              <c:f>'Stiff shelf'!$B$2:$C$2</c:f>
              <c:numCache>
                <c:formatCode>0.000</c:formatCode>
                <c:ptCount val="2"/>
                <c:pt idx="0">
                  <c:v>3.1440000000000001</c:v>
                </c:pt>
                <c:pt idx="1">
                  <c:v>8.64</c:v>
                </c:pt>
              </c:numCache>
            </c:numRef>
          </c:xVal>
          <c:yVal>
            <c:numRef>
              <c:f>'Stiff shelf'!$B$17:$C$17</c:f>
              <c:numCache>
                <c:formatCode>0.000</c:formatCode>
                <c:ptCount val="2"/>
                <c:pt idx="0">
                  <c:v>0.99472794190788816</c:v>
                </c:pt>
                <c:pt idx="1">
                  <c:v>1.854828737479906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13F-49F6-8EDB-AD5E676E07C1}"/>
            </c:ext>
          </c:extLst>
        </c:ser>
        <c:ser>
          <c:idx val="2"/>
          <c:order val="3"/>
          <c:tx>
            <c:v>Stiff shelf (shallow water column)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9.4200000000000034E-2"/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xVal>
            <c:numRef>
              <c:f>'Stiff shelf'!$B$2:$C$2</c:f>
              <c:numCache>
                <c:formatCode>0.000</c:formatCode>
                <c:ptCount val="2"/>
                <c:pt idx="0">
                  <c:v>3.1440000000000001</c:v>
                </c:pt>
                <c:pt idx="1">
                  <c:v>8.64</c:v>
                </c:pt>
              </c:numCache>
            </c:numRef>
          </c:xVal>
          <c:yVal>
            <c:numRef>
              <c:f>'Stiff shelf'!$B$34:$C$34</c:f>
              <c:numCache>
                <c:formatCode>0.000</c:formatCode>
                <c:ptCount val="2"/>
                <c:pt idx="0">
                  <c:v>1.1260838557111221</c:v>
                </c:pt>
                <c:pt idx="1">
                  <c:v>2.1884232410548199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13F-49F6-8EDB-AD5E676E07C1}"/>
            </c:ext>
          </c:extLst>
        </c:ser>
        <c:ser>
          <c:idx val="7"/>
          <c:order val="4"/>
          <c:tx>
            <c:v>Balaenoptera acutorostrata/small fin (deep water column)</c:v>
          </c:tx>
          <c:spPr>
            <a:ln w="1905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0.16370000000000004"/>
            <c:spPr>
              <a:noFill/>
              <a:ln w="9525" cap="flat" cmpd="sng" algn="ctr">
                <a:solidFill>
                  <a:srgbClr val="0070C0"/>
                </a:solidFill>
                <a:prstDash val="dash"/>
                <a:round/>
              </a:ln>
              <a:effectLst/>
            </c:spPr>
          </c:errBars>
          <c:xVal>
            <c:numRef>
              <c:f>'Balaenoptera acutorostrata'!$B$2:$D$2</c:f>
              <c:numCache>
                <c:formatCode>0.000</c:formatCode>
                <c:ptCount val="3"/>
                <c:pt idx="0">
                  <c:v>3.4559999999999995</c:v>
                </c:pt>
                <c:pt idx="1">
                  <c:v>7.3919999999999995</c:v>
                </c:pt>
                <c:pt idx="2" formatCode="0.00">
                  <c:v>12.816000000000001</c:v>
                </c:pt>
              </c:numCache>
            </c:numRef>
          </c:xVal>
          <c:yVal>
            <c:numRef>
              <c:f>'Balaenoptera acutorostrata'!$B$17:$D$17</c:f>
              <c:numCache>
                <c:formatCode>0.000</c:formatCode>
                <c:ptCount val="3"/>
                <c:pt idx="0">
                  <c:v>1.514692517418964</c:v>
                </c:pt>
                <c:pt idx="1">
                  <c:v>3.0324471848781966</c:v>
                </c:pt>
                <c:pt idx="2">
                  <c:v>4.3804573197441812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13F-49F6-8EDB-AD5E676E07C1}"/>
            </c:ext>
          </c:extLst>
        </c:ser>
        <c:ser>
          <c:idx val="0"/>
          <c:order val="5"/>
          <c:tx>
            <c:v>Balaenoptera acutorostrata/small fin (shallow water column)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0.10930000000000001"/>
            <c:spPr>
              <a:noFill/>
              <a:ln w="9525" cap="flat" cmpd="sng" algn="ctr">
                <a:solidFill>
                  <a:srgbClr val="0070C0"/>
                </a:solidFill>
                <a:round/>
              </a:ln>
              <a:effectLst/>
            </c:spPr>
          </c:errBars>
          <c:xVal>
            <c:numRef>
              <c:f>'Balaenoptera acutorostrata'!$B$2:$D$2</c:f>
              <c:numCache>
                <c:formatCode>0.000</c:formatCode>
                <c:ptCount val="3"/>
                <c:pt idx="0">
                  <c:v>3.4559999999999995</c:v>
                </c:pt>
                <c:pt idx="1">
                  <c:v>7.3919999999999995</c:v>
                </c:pt>
                <c:pt idx="2" formatCode="0.00">
                  <c:v>12.816000000000001</c:v>
                </c:pt>
              </c:numCache>
            </c:numRef>
          </c:xVal>
          <c:yVal>
            <c:numRef>
              <c:f>'Balaenoptera acutorostrata'!$B$34:$D$34</c:f>
              <c:numCache>
                <c:formatCode>0.000</c:formatCode>
                <c:ptCount val="3"/>
                <c:pt idx="0">
                  <c:v>1.7014519056261341</c:v>
                </c:pt>
                <c:pt idx="1">
                  <c:v>3.3512064343163548</c:v>
                </c:pt>
                <c:pt idx="2">
                  <c:v>4.9257039651916914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13F-49F6-8EDB-AD5E676E07C1}"/>
            </c:ext>
          </c:extLst>
        </c:ser>
        <c:ser>
          <c:idx val="8"/>
          <c:order val="6"/>
          <c:tx>
            <c:v>Tursiops trancatus/medium fin (deep water column)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0.19320000000000004"/>
            <c:spPr>
              <a:noFill/>
              <a:ln w="9525" cap="flat" cmpd="sng" algn="ctr">
                <a:solidFill>
                  <a:srgbClr val="00B050"/>
                </a:solidFill>
                <a:prstDash val="sysDot"/>
                <a:round/>
              </a:ln>
              <a:effectLst/>
            </c:spPr>
          </c:errBars>
          <c:xVal>
            <c:numRef>
              <c:f>'Tursiops trancatus'!$B$2:$D$2</c:f>
              <c:numCache>
                <c:formatCode>0.000</c:formatCode>
                <c:ptCount val="3"/>
                <c:pt idx="0">
                  <c:v>3.6719999999999997</c:v>
                </c:pt>
                <c:pt idx="1">
                  <c:v>6.8879999999999999</c:v>
                </c:pt>
                <c:pt idx="2" formatCode="0.00">
                  <c:v>10.8</c:v>
                </c:pt>
              </c:numCache>
            </c:numRef>
          </c:xVal>
          <c:yVal>
            <c:numRef>
              <c:f>'Tursiops trancatus'!$B$17:$D$17</c:f>
              <c:numCache>
                <c:formatCode>0.000</c:formatCode>
                <c:ptCount val="3"/>
                <c:pt idx="0">
                  <c:v>1.583949313621964</c:v>
                </c:pt>
                <c:pt idx="1">
                  <c:v>2.9795898098028504</c:v>
                </c:pt>
                <c:pt idx="2">
                  <c:v>3.2376429958989847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13F-49F6-8EDB-AD5E676E07C1}"/>
            </c:ext>
          </c:extLst>
        </c:ser>
        <c:ser>
          <c:idx val="3"/>
          <c:order val="7"/>
          <c:tx>
            <c:v>Tursiops trancatus/medium fin (shallow water column)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0.16580000000000003"/>
            <c:spPr>
              <a:noFill/>
              <a:ln w="9525" cap="flat" cmpd="sng" algn="ctr">
                <a:solidFill>
                  <a:srgbClr val="00B050"/>
                </a:solidFill>
                <a:round/>
              </a:ln>
              <a:effectLst/>
            </c:spPr>
          </c:errBars>
          <c:xVal>
            <c:numRef>
              <c:f>'Tursiops trancatus'!$B$2:$D$2</c:f>
              <c:numCache>
                <c:formatCode>0.000</c:formatCode>
                <c:ptCount val="3"/>
                <c:pt idx="0">
                  <c:v>3.6719999999999997</c:v>
                </c:pt>
                <c:pt idx="1">
                  <c:v>6.8879999999999999</c:v>
                </c:pt>
                <c:pt idx="2" formatCode="0.00">
                  <c:v>10.8</c:v>
                </c:pt>
              </c:numCache>
            </c:numRef>
          </c:xVal>
          <c:yVal>
            <c:numRef>
              <c:f>'Tursiops trancatus'!$B$34:$D$34</c:f>
              <c:numCache>
                <c:formatCode>0.000</c:formatCode>
                <c:ptCount val="3"/>
                <c:pt idx="0">
                  <c:v>1.9728405616019464</c:v>
                </c:pt>
                <c:pt idx="1">
                  <c:v>3.3882990738649195</c:v>
                </c:pt>
                <c:pt idx="2">
                  <c:v>3.9323633503735747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13F-49F6-8EDB-AD5E676E07C1}"/>
            </c:ext>
          </c:extLst>
        </c:ser>
        <c:ser>
          <c:idx val="9"/>
          <c:order val="8"/>
          <c:tx>
            <c:v>Eschrichtius robustus/large fin (deep water column)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0.18570000000000003"/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prstDash val="dash"/>
                <a:round/>
              </a:ln>
              <a:effectLst/>
            </c:spPr>
          </c:errBars>
          <c:xVal>
            <c:numRef>
              <c:f>'Eschrichtius robustus'!$B$2:$D$2</c:f>
              <c:numCache>
                <c:formatCode>0.000</c:formatCode>
                <c:ptCount val="3"/>
                <c:pt idx="0">
                  <c:v>4.08</c:v>
                </c:pt>
                <c:pt idx="1">
                  <c:v>7.2959999999999994</c:v>
                </c:pt>
                <c:pt idx="2" formatCode="0.00">
                  <c:v>11.591999999999999</c:v>
                </c:pt>
              </c:numCache>
            </c:numRef>
          </c:xVal>
          <c:yVal>
            <c:numRef>
              <c:f>'Eschrichtius robustus'!$B$17:$D$17</c:f>
              <c:numCache>
                <c:formatCode>0.000</c:formatCode>
                <c:ptCount val="3"/>
                <c:pt idx="0">
                  <c:v>2.4666995559940799</c:v>
                </c:pt>
                <c:pt idx="1">
                  <c:v>3.156233561283535</c:v>
                </c:pt>
                <c:pt idx="2">
                  <c:v>3.3952014486192841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13F-49F6-8EDB-AD5E676E07C1}"/>
            </c:ext>
          </c:extLst>
        </c:ser>
        <c:ser>
          <c:idx val="4"/>
          <c:order val="9"/>
          <c:tx>
            <c:v>Eschrichtius robustus/large fin (shallow water column)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0.12220000000000002"/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xVal>
            <c:numRef>
              <c:f>'Eschrichtius robustus'!$B$2:$D$2</c:f>
              <c:numCache>
                <c:formatCode>0.000</c:formatCode>
                <c:ptCount val="3"/>
                <c:pt idx="0">
                  <c:v>4.08</c:v>
                </c:pt>
                <c:pt idx="1">
                  <c:v>7.2959999999999994</c:v>
                </c:pt>
                <c:pt idx="2" formatCode="0.00">
                  <c:v>11.591999999999999</c:v>
                </c:pt>
              </c:numCache>
            </c:numRef>
          </c:xVal>
          <c:yVal>
            <c:numRef>
              <c:f>'Eschrichtius robustus'!$B$34:$D$34</c:f>
              <c:numCache>
                <c:formatCode>0.000</c:formatCode>
                <c:ptCount val="3"/>
                <c:pt idx="0">
                  <c:v>2.3798191337458356</c:v>
                </c:pt>
                <c:pt idx="1">
                  <c:v>3.9489272081084645</c:v>
                </c:pt>
                <c:pt idx="2">
                  <c:v>4.1186161449752872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313F-49F6-8EDB-AD5E676E0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766928"/>
        <c:axId val="330765288"/>
      </c:scatterChart>
      <c:valAx>
        <c:axId val="330766928"/>
        <c:scaling>
          <c:orientation val="minMax"/>
          <c:max val="13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Average</a:t>
                </a:r>
                <a:r>
                  <a:rPr lang="nl-NL" baseline="0"/>
                  <a:t> motor energy consumption</a:t>
                </a:r>
                <a:r>
                  <a:rPr lang="nl-NL"/>
                  <a:t>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#,##0.000" sourceLinked="0"/>
        <c:majorTickMark val="out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0765288"/>
        <c:crosses val="autoZero"/>
        <c:crossBetween val="midCat"/>
        <c:majorUnit val="1"/>
      </c:valAx>
      <c:valAx>
        <c:axId val="330765288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velocity</a:t>
                </a:r>
                <a:r>
                  <a:rPr lang="en-US"/>
                  <a:t> (m/min)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076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</c:legendEntry>
      <c:layout>
        <c:manualLayout>
          <c:xMode val="edge"/>
          <c:yMode val="edge"/>
          <c:x val="0.75268066666666666"/>
          <c:y val="0.108451869474279"/>
          <c:w val="0.23885266666666666"/>
          <c:h val="0.781666593227176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Average motor energy consumption </a:t>
            </a:r>
            <a:r>
              <a:rPr lang="nl-NL" baseline="0"/>
              <a:t>per motor power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Flexible shelf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x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numRef>
              <c:f>'Flexible shelf'!$B$1:$D$1</c:f>
              <c:numCache>
                <c:formatCode>General</c:formatCode>
                <c:ptCount val="3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'Flexible shelf'!$B$2:$D$2</c:f>
              <c:numCache>
                <c:formatCode>0.000</c:formatCode>
                <c:ptCount val="3"/>
                <c:pt idx="0">
                  <c:v>3.1920000000000002</c:v>
                </c:pt>
                <c:pt idx="1">
                  <c:v>6.6480000000000006</c:v>
                </c:pt>
                <c:pt idx="2" formatCode="0.00">
                  <c:v>12.288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924-4994-AA7E-75CA0A5B75EE}"/>
            </c:ext>
          </c:extLst>
        </c:ser>
        <c:ser>
          <c:idx val="2"/>
          <c:order val="1"/>
          <c:tx>
            <c:v>Stiff shelf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'Stiff shelf'!$B$1:$C$1</c:f>
              <c:numCache>
                <c:formatCode>General</c:formatCode>
                <c:ptCount val="2"/>
                <c:pt idx="0">
                  <c:v>50</c:v>
                </c:pt>
                <c:pt idx="1">
                  <c:v>75</c:v>
                </c:pt>
              </c:numCache>
            </c:numRef>
          </c:xVal>
          <c:yVal>
            <c:numRef>
              <c:f>'Stiff shelf'!$B$2:$C$2</c:f>
              <c:numCache>
                <c:formatCode>0.000</c:formatCode>
                <c:ptCount val="2"/>
                <c:pt idx="0">
                  <c:v>3.1440000000000001</c:v>
                </c:pt>
                <c:pt idx="1">
                  <c:v>8.64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924-4994-AA7E-75CA0A5B75EE}"/>
            </c:ext>
          </c:extLst>
        </c:ser>
        <c:ser>
          <c:idx val="0"/>
          <c:order val="2"/>
          <c:tx>
            <c:v>Balaenoptera acutorostrata (small fin)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'Balaenoptera acutorostrata'!$B$1:$D$1</c:f>
              <c:numCache>
                <c:formatCode>General</c:formatCode>
                <c:ptCount val="3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'Balaenoptera acutorostrata'!$B$2:$D$2</c:f>
              <c:numCache>
                <c:formatCode>0.000</c:formatCode>
                <c:ptCount val="3"/>
                <c:pt idx="0">
                  <c:v>3.4559999999999995</c:v>
                </c:pt>
                <c:pt idx="1">
                  <c:v>7.3919999999999995</c:v>
                </c:pt>
                <c:pt idx="2" formatCode="0.00">
                  <c:v>12.816000000000001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924-4994-AA7E-75CA0A5B75EE}"/>
            </c:ext>
          </c:extLst>
        </c:ser>
        <c:ser>
          <c:idx val="3"/>
          <c:order val="3"/>
          <c:tx>
            <c:v>Tursiops trancatus (medium fin)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'Tursiops trancatus'!$B$1:$D$1</c:f>
              <c:numCache>
                <c:formatCode>General</c:formatCode>
                <c:ptCount val="3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'Tursiops trancatus'!$B$2:$D$2</c:f>
              <c:numCache>
                <c:formatCode>0.000</c:formatCode>
                <c:ptCount val="3"/>
                <c:pt idx="0">
                  <c:v>3.6719999999999997</c:v>
                </c:pt>
                <c:pt idx="1">
                  <c:v>6.8879999999999999</c:v>
                </c:pt>
                <c:pt idx="2" formatCode="0.00">
                  <c:v>10.8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924-4994-AA7E-75CA0A5B75EE}"/>
            </c:ext>
          </c:extLst>
        </c:ser>
        <c:ser>
          <c:idx val="4"/>
          <c:order val="4"/>
          <c:tx>
            <c:v>Eschrichtius robustus (large fin)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'Eschrichtius robustus'!$B$1:$D$1</c:f>
              <c:numCache>
                <c:formatCode>General</c:formatCode>
                <c:ptCount val="3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'Eschrichtius robustus'!$B$2:$D$2</c:f>
              <c:numCache>
                <c:formatCode>0.000</c:formatCode>
                <c:ptCount val="3"/>
                <c:pt idx="0">
                  <c:v>4.08</c:v>
                </c:pt>
                <c:pt idx="1">
                  <c:v>7.2959999999999994</c:v>
                </c:pt>
                <c:pt idx="2" formatCode="0.00">
                  <c:v>11.591999999999999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924-4994-AA7E-75CA0A5B7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766928"/>
        <c:axId val="330765288"/>
      </c:scatterChart>
      <c:valAx>
        <c:axId val="330766928"/>
        <c:scaling>
          <c:orientation val="minMax"/>
          <c:max val="1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Motor power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0"/>
        <c:majorTickMark val="out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0765288"/>
        <c:crosses val="autoZero"/>
        <c:crossBetween val="midCat"/>
        <c:majorUnit val="10"/>
        <c:minorUnit val="5"/>
      </c:valAx>
      <c:valAx>
        <c:axId val="330765288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motor energy consumption</a:t>
                </a:r>
                <a:r>
                  <a:rPr lang="en-US"/>
                  <a:t>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0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076692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Oscillating frequency </a:t>
            </a:r>
            <a:r>
              <a:rPr lang="nl-NL" baseline="0"/>
              <a:t>per motor power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Flexible shelf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x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numRef>
              <c:f>'Flexible shelf'!$B$1:$D$1</c:f>
              <c:numCache>
                <c:formatCode>General</c:formatCode>
                <c:ptCount val="3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'Flexible shelf'!$B$4:$D$4</c:f>
              <c:numCache>
                <c:formatCode>General</c:formatCode>
                <c:ptCount val="3"/>
                <c:pt idx="0" formatCode="0">
                  <c:v>21</c:v>
                </c:pt>
                <c:pt idx="1">
                  <c:v>38</c:v>
                </c:pt>
                <c:pt idx="2">
                  <c:v>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05-4D6C-95FF-E1CE725DAB75}"/>
            </c:ext>
          </c:extLst>
        </c:ser>
        <c:ser>
          <c:idx val="2"/>
          <c:order val="1"/>
          <c:tx>
            <c:v>Stiff shelf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'Stiff shelf'!$B$1:$C$1</c:f>
              <c:numCache>
                <c:formatCode>General</c:formatCode>
                <c:ptCount val="2"/>
                <c:pt idx="0">
                  <c:v>50</c:v>
                </c:pt>
                <c:pt idx="1">
                  <c:v>75</c:v>
                </c:pt>
              </c:numCache>
            </c:numRef>
          </c:xVal>
          <c:yVal>
            <c:numRef>
              <c:f>'Stiff shelf'!$B$4:$C$4</c:f>
              <c:numCache>
                <c:formatCode>General</c:formatCode>
                <c:ptCount val="2"/>
                <c:pt idx="0" formatCode="0">
                  <c:v>20</c:v>
                </c:pt>
                <c:pt idx="1">
                  <c:v>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05-4D6C-95FF-E1CE725DAB75}"/>
            </c:ext>
          </c:extLst>
        </c:ser>
        <c:ser>
          <c:idx val="0"/>
          <c:order val="2"/>
          <c:tx>
            <c:v>Balaenoptera acutorostrata (small fin)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'Balaenoptera acutorostrata'!$B$1:$D$1</c:f>
              <c:numCache>
                <c:formatCode>General</c:formatCode>
                <c:ptCount val="3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'Balaenoptera acutorostrata'!$B$4:$D$4</c:f>
              <c:numCache>
                <c:formatCode>General</c:formatCode>
                <c:ptCount val="3"/>
                <c:pt idx="0" formatCode="0">
                  <c:v>21</c:v>
                </c:pt>
                <c:pt idx="1">
                  <c:v>37</c:v>
                </c:pt>
                <c:pt idx="2">
                  <c:v>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F05-4D6C-95FF-E1CE725DAB75}"/>
            </c:ext>
          </c:extLst>
        </c:ser>
        <c:ser>
          <c:idx val="3"/>
          <c:order val="3"/>
          <c:tx>
            <c:v>Tursiops trancatus (medium fin)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'Tursiops trancatus'!$B$1:$D$1</c:f>
              <c:numCache>
                <c:formatCode>General</c:formatCode>
                <c:ptCount val="3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'Tursiops trancatus'!$B$4:$D$4</c:f>
              <c:numCache>
                <c:formatCode>General</c:formatCode>
                <c:ptCount val="3"/>
                <c:pt idx="0" formatCode="0">
                  <c:v>20</c:v>
                </c:pt>
                <c:pt idx="1">
                  <c:v>37</c:v>
                </c:pt>
                <c:pt idx="2">
                  <c:v>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F05-4D6C-95FF-E1CE725DAB75}"/>
            </c:ext>
          </c:extLst>
        </c:ser>
        <c:ser>
          <c:idx val="4"/>
          <c:order val="4"/>
          <c:tx>
            <c:v>Eschrichtius robustus (large fin)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'Eschrichtius robustus'!$B$1:$D$1</c:f>
              <c:numCache>
                <c:formatCode>General</c:formatCode>
                <c:ptCount val="3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'Eschrichtius robustus'!$B$4:$D$4</c:f>
              <c:numCache>
                <c:formatCode>General</c:formatCode>
                <c:ptCount val="3"/>
                <c:pt idx="0" formatCode="0">
                  <c:v>20</c:v>
                </c:pt>
                <c:pt idx="1">
                  <c:v>35</c:v>
                </c:pt>
                <c:pt idx="2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F05-4D6C-95FF-E1CE725DA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766928"/>
        <c:axId val="330765288"/>
      </c:scatterChart>
      <c:valAx>
        <c:axId val="330766928"/>
        <c:scaling>
          <c:orientation val="minMax"/>
          <c:max val="1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Motor power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0"/>
        <c:majorTickMark val="out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0765288"/>
        <c:crosses val="autoZero"/>
        <c:crossBetween val="midCat"/>
        <c:majorUnit val="10"/>
        <c:minorUnit val="5"/>
      </c:valAx>
      <c:valAx>
        <c:axId val="330765288"/>
        <c:scaling>
          <c:orientation val="minMax"/>
          <c:max val="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(bpm)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076692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Oscillating amplitude </a:t>
            </a:r>
            <a:r>
              <a:rPr lang="nl-NL" baseline="0"/>
              <a:t>per motor power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Flexible shelf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x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numRef>
              <c:f>'Flexible shelf'!$B$1:$D$1</c:f>
              <c:numCache>
                <c:formatCode>General</c:formatCode>
                <c:ptCount val="3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'Flexible shelf'!$B$3:$D$3</c:f>
              <c:numCache>
                <c:formatCode>0</c:formatCode>
                <c:ptCount val="3"/>
                <c:pt idx="0">
                  <c:v>22</c:v>
                </c:pt>
                <c:pt idx="1">
                  <c:v>28</c:v>
                </c:pt>
                <c:pt idx="2">
                  <c:v>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67-4812-A992-4424F8A70C24}"/>
            </c:ext>
          </c:extLst>
        </c:ser>
        <c:ser>
          <c:idx val="2"/>
          <c:order val="1"/>
          <c:tx>
            <c:v>Stiff shelf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'Stiff shelf'!$B$1:$C$1</c:f>
              <c:numCache>
                <c:formatCode>General</c:formatCode>
                <c:ptCount val="2"/>
                <c:pt idx="0">
                  <c:v>50</c:v>
                </c:pt>
                <c:pt idx="1">
                  <c:v>75</c:v>
                </c:pt>
              </c:numCache>
            </c:numRef>
          </c:xVal>
          <c:yVal>
            <c:numRef>
              <c:f>'Stiff shelf'!$B$3:$C$3</c:f>
              <c:numCache>
                <c:formatCode>0</c:formatCode>
                <c:ptCount val="2"/>
                <c:pt idx="0">
                  <c:v>32</c:v>
                </c:pt>
                <c:pt idx="1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67-4812-A992-4424F8A70C24}"/>
            </c:ext>
          </c:extLst>
        </c:ser>
        <c:ser>
          <c:idx val="0"/>
          <c:order val="2"/>
          <c:tx>
            <c:v>Balaenoptera acutorostrata (small fin)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'Balaenoptera acutorostrata'!$B$1:$D$1</c:f>
              <c:numCache>
                <c:formatCode>General</c:formatCode>
                <c:ptCount val="3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'Balaenoptera acutorostrata'!$B$3:$D$3</c:f>
              <c:numCache>
                <c:formatCode>0</c:formatCode>
                <c:ptCount val="3"/>
                <c:pt idx="0">
                  <c:v>46</c:v>
                </c:pt>
                <c:pt idx="1">
                  <c:v>45</c:v>
                </c:pt>
                <c:pt idx="2">
                  <c:v>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567-4812-A992-4424F8A70C24}"/>
            </c:ext>
          </c:extLst>
        </c:ser>
        <c:ser>
          <c:idx val="3"/>
          <c:order val="3"/>
          <c:tx>
            <c:v>Tursiops trancatus (medium fin)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'Tursiops trancatus'!$B$1:$D$1</c:f>
              <c:numCache>
                <c:formatCode>General</c:formatCode>
                <c:ptCount val="3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'Tursiops trancatus'!$B$3:$D$3</c:f>
              <c:numCache>
                <c:formatCode>0</c:formatCode>
                <c:ptCount val="3"/>
                <c:pt idx="0">
                  <c:v>40</c:v>
                </c:pt>
                <c:pt idx="1">
                  <c:v>39</c:v>
                </c:pt>
                <c:pt idx="2">
                  <c:v>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567-4812-A992-4424F8A70C24}"/>
            </c:ext>
          </c:extLst>
        </c:ser>
        <c:ser>
          <c:idx val="4"/>
          <c:order val="4"/>
          <c:tx>
            <c:v>Eschrichtius robustus (large fin)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'Eschrichtius robustus'!$B$1:$D$1</c:f>
              <c:numCache>
                <c:formatCode>General</c:formatCode>
                <c:ptCount val="3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'Eschrichtius robustus'!$B$3:$D$3</c:f>
              <c:numCache>
                <c:formatCode>0</c:formatCode>
                <c:ptCount val="3"/>
                <c:pt idx="0">
                  <c:v>45</c:v>
                </c:pt>
                <c:pt idx="1">
                  <c:v>34</c:v>
                </c:pt>
                <c:pt idx="2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567-4812-A992-4424F8A70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766928"/>
        <c:axId val="330765288"/>
      </c:scatterChart>
      <c:valAx>
        <c:axId val="330766928"/>
        <c:scaling>
          <c:orientation val="minMax"/>
          <c:max val="1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Motor power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0"/>
        <c:majorTickMark val="out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0765288"/>
        <c:crosses val="autoZero"/>
        <c:crossBetween val="midCat"/>
        <c:majorUnit val="10"/>
        <c:minorUnit val="5"/>
      </c:valAx>
      <c:valAx>
        <c:axId val="3307652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076692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Oscillating amplitude </a:t>
            </a:r>
            <a:r>
              <a:rPr lang="nl-NL" baseline="0"/>
              <a:t>per frequency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Flexible shelf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x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numRef>
              <c:f>'Flexible shelf'!$B$4:$D$4</c:f>
              <c:numCache>
                <c:formatCode>General</c:formatCode>
                <c:ptCount val="3"/>
                <c:pt idx="0" formatCode="0">
                  <c:v>21</c:v>
                </c:pt>
                <c:pt idx="1">
                  <c:v>38</c:v>
                </c:pt>
                <c:pt idx="2">
                  <c:v>70</c:v>
                </c:pt>
              </c:numCache>
            </c:numRef>
          </c:xVal>
          <c:yVal>
            <c:numRef>
              <c:f>'Flexible shelf'!$B$3:$D$3</c:f>
              <c:numCache>
                <c:formatCode>0</c:formatCode>
                <c:ptCount val="3"/>
                <c:pt idx="0">
                  <c:v>22</c:v>
                </c:pt>
                <c:pt idx="1">
                  <c:v>28</c:v>
                </c:pt>
                <c:pt idx="2">
                  <c:v>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D3-4C5D-85DA-0747F0604544}"/>
            </c:ext>
          </c:extLst>
        </c:ser>
        <c:ser>
          <c:idx val="2"/>
          <c:order val="1"/>
          <c:tx>
            <c:v>Stiff shelf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'Stiff shelf'!$B$4:$C$4</c:f>
              <c:numCache>
                <c:formatCode>General</c:formatCode>
                <c:ptCount val="2"/>
                <c:pt idx="0" formatCode="0">
                  <c:v>20</c:v>
                </c:pt>
                <c:pt idx="1">
                  <c:v>36</c:v>
                </c:pt>
              </c:numCache>
            </c:numRef>
          </c:xVal>
          <c:yVal>
            <c:numRef>
              <c:f>'Stiff shelf'!$B$3:$C$3</c:f>
              <c:numCache>
                <c:formatCode>0</c:formatCode>
                <c:ptCount val="2"/>
                <c:pt idx="0">
                  <c:v>32</c:v>
                </c:pt>
                <c:pt idx="1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ED3-4C5D-85DA-0747F0604544}"/>
            </c:ext>
          </c:extLst>
        </c:ser>
        <c:ser>
          <c:idx val="0"/>
          <c:order val="2"/>
          <c:tx>
            <c:v>Balaenoptera acutorostrata (small fin)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'Balaenoptera acutorostrata'!$B$4:$D$4</c:f>
              <c:numCache>
                <c:formatCode>General</c:formatCode>
                <c:ptCount val="3"/>
                <c:pt idx="0" formatCode="0">
                  <c:v>21</c:v>
                </c:pt>
                <c:pt idx="1">
                  <c:v>37</c:v>
                </c:pt>
                <c:pt idx="2">
                  <c:v>67</c:v>
                </c:pt>
              </c:numCache>
            </c:numRef>
          </c:xVal>
          <c:yVal>
            <c:numRef>
              <c:f>'Balaenoptera acutorostrata'!$B$3:$D$3</c:f>
              <c:numCache>
                <c:formatCode>0</c:formatCode>
                <c:ptCount val="3"/>
                <c:pt idx="0">
                  <c:v>46</c:v>
                </c:pt>
                <c:pt idx="1">
                  <c:v>45</c:v>
                </c:pt>
                <c:pt idx="2">
                  <c:v>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ED3-4C5D-85DA-0747F0604544}"/>
            </c:ext>
          </c:extLst>
        </c:ser>
        <c:ser>
          <c:idx val="3"/>
          <c:order val="3"/>
          <c:tx>
            <c:v>Tursiops trancatus (medium fin)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'Tursiops trancatus'!$B$4:$D$4</c:f>
              <c:numCache>
                <c:formatCode>General</c:formatCode>
                <c:ptCount val="3"/>
                <c:pt idx="0" formatCode="0">
                  <c:v>20</c:v>
                </c:pt>
                <c:pt idx="1">
                  <c:v>37</c:v>
                </c:pt>
                <c:pt idx="2">
                  <c:v>67</c:v>
                </c:pt>
              </c:numCache>
            </c:numRef>
          </c:xVal>
          <c:yVal>
            <c:numRef>
              <c:f>'Tursiops trancatus'!$B$3:$D$3</c:f>
              <c:numCache>
                <c:formatCode>0</c:formatCode>
                <c:ptCount val="3"/>
                <c:pt idx="0">
                  <c:v>40</c:v>
                </c:pt>
                <c:pt idx="1">
                  <c:v>39</c:v>
                </c:pt>
                <c:pt idx="2">
                  <c:v>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ED3-4C5D-85DA-0747F0604544}"/>
            </c:ext>
          </c:extLst>
        </c:ser>
        <c:ser>
          <c:idx val="4"/>
          <c:order val="4"/>
          <c:tx>
            <c:v>Eschrichtius robustus (large fin)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'Eschrichtius robustus'!$B$4:$D$4</c:f>
              <c:numCache>
                <c:formatCode>General</c:formatCode>
                <c:ptCount val="3"/>
                <c:pt idx="0" formatCode="0">
                  <c:v>20</c:v>
                </c:pt>
                <c:pt idx="1">
                  <c:v>35</c:v>
                </c:pt>
                <c:pt idx="2">
                  <c:v>65</c:v>
                </c:pt>
              </c:numCache>
            </c:numRef>
          </c:xVal>
          <c:yVal>
            <c:numRef>
              <c:f>'Eschrichtius robustus'!$B$3:$D$3</c:f>
              <c:numCache>
                <c:formatCode>0</c:formatCode>
                <c:ptCount val="3"/>
                <c:pt idx="0">
                  <c:v>45</c:v>
                </c:pt>
                <c:pt idx="1">
                  <c:v>34</c:v>
                </c:pt>
                <c:pt idx="2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ED3-4C5D-85DA-0747F060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766928"/>
        <c:axId val="330765288"/>
      </c:scatterChart>
      <c:valAx>
        <c:axId val="330766928"/>
        <c:scaling>
          <c:orientation val="minMax"/>
          <c:max val="7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Frequency (bpm)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0"/>
        <c:majorTickMark val="out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0765288"/>
        <c:crosses val="autoZero"/>
        <c:crossBetween val="midCat"/>
        <c:majorUnit val="10"/>
        <c:minorUnit val="5"/>
      </c:valAx>
      <c:valAx>
        <c:axId val="3307652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076692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Weight </a:t>
            </a:r>
            <a:r>
              <a:rPr lang="nl-NL" baseline="0"/>
              <a:t>per surface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Flexible shelf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'Graphs additional'!$B$44</c:f>
              <c:numCache>
                <c:formatCode>0.00</c:formatCode>
                <c:ptCount val="1"/>
                <c:pt idx="0">
                  <c:v>648</c:v>
                </c:pt>
              </c:numCache>
            </c:numRef>
          </c:xVal>
          <c:yVal>
            <c:numRef>
              <c:f>'Graphs additional'!$D$44</c:f>
              <c:numCache>
                <c:formatCode>General</c:formatCode>
                <c:ptCount val="1"/>
                <c:pt idx="0">
                  <c:v>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66-4457-96BB-343D1C979755}"/>
            </c:ext>
          </c:extLst>
        </c:ser>
        <c:ser>
          <c:idx val="2"/>
          <c:order val="1"/>
          <c:tx>
            <c:v>Stiff shelf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'Graphs additional'!$B$43</c:f>
              <c:numCache>
                <c:formatCode>0.00</c:formatCode>
                <c:ptCount val="1"/>
                <c:pt idx="0">
                  <c:v>648</c:v>
                </c:pt>
              </c:numCache>
            </c:numRef>
          </c:xVal>
          <c:yVal>
            <c:numRef>
              <c:f>'Graphs additional'!$D$43</c:f>
              <c:numCache>
                <c:formatCode>General</c:formatCode>
                <c:ptCount val="1"/>
                <c:pt idx="0">
                  <c:v>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66-4457-96BB-343D1C979755}"/>
            </c:ext>
          </c:extLst>
        </c:ser>
        <c:ser>
          <c:idx val="0"/>
          <c:order val="2"/>
          <c:tx>
            <c:v>Balaenoptera acutorostrata (small fin)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'Graphs additional'!$B$45</c:f>
              <c:numCache>
                <c:formatCode>General</c:formatCode>
                <c:ptCount val="1"/>
                <c:pt idx="0">
                  <c:v>494.24</c:v>
                </c:pt>
              </c:numCache>
            </c:numRef>
          </c:xVal>
          <c:yVal>
            <c:numRef>
              <c:f>'Graphs additional'!$D$45</c:f>
              <c:numCache>
                <c:formatCode>General</c:formatCode>
                <c:ptCount val="1"/>
                <c:pt idx="0">
                  <c:v>411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66-4457-96BB-343D1C979755}"/>
            </c:ext>
          </c:extLst>
        </c:ser>
        <c:ser>
          <c:idx val="3"/>
          <c:order val="3"/>
          <c:tx>
            <c:v>Tursiops trancatus (medium fin)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'Graphs additional'!$B$46</c:f>
              <c:numCache>
                <c:formatCode>General</c:formatCode>
                <c:ptCount val="1"/>
                <c:pt idx="0">
                  <c:v>678.14</c:v>
                </c:pt>
              </c:numCache>
            </c:numRef>
          </c:xVal>
          <c:yVal>
            <c:numRef>
              <c:f>'Graphs additional'!$D$46</c:f>
              <c:numCache>
                <c:formatCode>General</c:formatCode>
                <c:ptCount val="1"/>
                <c:pt idx="0">
                  <c:v>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66-4457-96BB-343D1C979755}"/>
            </c:ext>
          </c:extLst>
        </c:ser>
        <c:ser>
          <c:idx val="4"/>
          <c:order val="4"/>
          <c:tx>
            <c:v>Eschrichtius robustus (large fin)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'Graphs additional'!$B$47</c:f>
              <c:numCache>
                <c:formatCode>General</c:formatCode>
                <c:ptCount val="1"/>
                <c:pt idx="0">
                  <c:v>775.53</c:v>
                </c:pt>
              </c:numCache>
            </c:numRef>
          </c:xVal>
          <c:yVal>
            <c:numRef>
              <c:f>'Graphs additional'!$D$47</c:f>
              <c:numCache>
                <c:formatCode>General</c:formatCode>
                <c:ptCount val="1"/>
                <c:pt idx="0">
                  <c:v>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966-4457-96BB-343D1C979755}"/>
            </c:ext>
          </c:extLst>
        </c:ser>
        <c:ser>
          <c:idx val="5"/>
          <c:order val="5"/>
          <c:tx>
            <c:v>Fin ratio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Fin ratio (linear)</c:name>
            <c:spPr>
              <a:ln w="6350" cap="rnd">
                <a:solidFill>
                  <a:schemeClr val="tx1">
                    <a:alpha val="75000"/>
                  </a:schemeClr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'Graphs additional'!$B$45:$B$47</c:f>
              <c:numCache>
                <c:formatCode>General</c:formatCode>
                <c:ptCount val="3"/>
                <c:pt idx="0">
                  <c:v>494.24</c:v>
                </c:pt>
                <c:pt idx="1">
                  <c:v>678.14</c:v>
                </c:pt>
                <c:pt idx="2">
                  <c:v>775.53</c:v>
                </c:pt>
              </c:numCache>
            </c:numRef>
          </c:xVal>
          <c:yVal>
            <c:numRef>
              <c:f>'Graphs additional'!$D$45:$D$47</c:f>
              <c:numCache>
                <c:formatCode>General</c:formatCode>
                <c:ptCount val="3"/>
                <c:pt idx="0">
                  <c:v>411</c:v>
                </c:pt>
                <c:pt idx="1">
                  <c:v>554</c:v>
                </c:pt>
                <c:pt idx="2">
                  <c:v>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A0-49C9-8682-78E9FACCCF5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30766928"/>
        <c:axId val="330765288"/>
      </c:scatterChart>
      <c:valAx>
        <c:axId val="330766928"/>
        <c:scaling>
          <c:orientation val="minMax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Surface area (cm²)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0" sourceLinked="1"/>
        <c:majorTickMark val="out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0765288"/>
        <c:crosses val="autoZero"/>
        <c:crossBetween val="midCat"/>
      </c:valAx>
      <c:valAx>
        <c:axId val="330765288"/>
        <c:scaling>
          <c:orientation val="minMax"/>
          <c:max val="800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0766928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220980</xdr:colOff>
      <xdr:row>0</xdr:row>
      <xdr:rowOff>175260</xdr:rowOff>
    </xdr:from>
    <xdr:to>
      <xdr:col>23</xdr:col>
      <xdr:colOff>0</xdr:colOff>
      <xdr:row>26</xdr:row>
      <xdr:rowOff>175260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F332B16-CB60-4063-E3B4-56181ED5B1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228600</xdr:colOff>
      <xdr:row>0</xdr:row>
      <xdr:rowOff>175260</xdr:rowOff>
    </xdr:from>
    <xdr:to>
      <xdr:col>8</xdr:col>
      <xdr:colOff>541020</xdr:colOff>
      <xdr:row>26</xdr:row>
      <xdr:rowOff>175260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BA3F2E3D-D5CA-43A9-830F-C4C24E3371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213360</xdr:colOff>
      <xdr:row>27</xdr:row>
      <xdr:rowOff>175260</xdr:rowOff>
    </xdr:from>
    <xdr:to>
      <xdr:col>8</xdr:col>
      <xdr:colOff>579120</xdr:colOff>
      <xdr:row>53</xdr:row>
      <xdr:rowOff>175260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8809D6CA-FBA6-4747-B34A-0AE1CE1260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206829</xdr:colOff>
      <xdr:row>28</xdr:row>
      <xdr:rowOff>10886</xdr:rowOff>
    </xdr:from>
    <xdr:to>
      <xdr:col>22</xdr:col>
      <xdr:colOff>595449</xdr:colOff>
      <xdr:row>54</xdr:row>
      <xdr:rowOff>10886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5B77BCCE-0E77-4975-9286-BB67BF6F90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0</xdr:colOff>
      <xdr:row>1</xdr:row>
      <xdr:rowOff>0</xdr:rowOff>
    </xdr:from>
    <xdr:to>
      <xdr:col>37</xdr:col>
      <xdr:colOff>388620</xdr:colOff>
      <xdr:row>31</xdr:row>
      <xdr:rowOff>76200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41D6C760-2181-414C-B0A7-959E6E32E8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598714</xdr:colOff>
      <xdr:row>32</xdr:row>
      <xdr:rowOff>141514</xdr:rowOff>
    </xdr:from>
    <xdr:to>
      <xdr:col>37</xdr:col>
      <xdr:colOff>377734</xdr:colOff>
      <xdr:row>63</xdr:row>
      <xdr:rowOff>21772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E139ADC5-B7B5-4A97-BD9B-B3147A69D4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376873</xdr:colOff>
      <xdr:row>77</xdr:row>
      <xdr:rowOff>178117</xdr:rowOff>
    </xdr:from>
    <xdr:to>
      <xdr:col>14</xdr:col>
      <xdr:colOff>138748</xdr:colOff>
      <xdr:row>103</xdr:row>
      <xdr:rowOff>178117</xdr:rowOff>
    </xdr:to>
    <xdr:graphicFrame macro="">
      <xdr:nvGraphicFramePr>
        <xdr:cNvPr id="9" name="Grafiek 8">
          <a:extLst>
            <a:ext uri="{FF2B5EF4-FFF2-40B4-BE49-F238E27FC236}">
              <a16:creationId xmlns:a16="http://schemas.microsoft.com/office/drawing/2014/main" id="{1C485C12-325E-4C0F-9387-925F8E86AF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469369</xdr:colOff>
      <xdr:row>72</xdr:row>
      <xdr:rowOff>57574</xdr:rowOff>
    </xdr:from>
    <xdr:to>
      <xdr:col>29</xdr:col>
      <xdr:colOff>325793</xdr:colOff>
      <xdr:row>111</xdr:row>
      <xdr:rowOff>121444</xdr:rowOff>
    </xdr:to>
    <xdr:graphicFrame macro="">
      <xdr:nvGraphicFramePr>
        <xdr:cNvPr id="10" name="Grafiek 9">
          <a:extLst>
            <a:ext uri="{FF2B5EF4-FFF2-40B4-BE49-F238E27FC236}">
              <a16:creationId xmlns:a16="http://schemas.microsoft.com/office/drawing/2014/main" id="{6D2F7852-5504-4F0B-9403-6C288EE0FB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361950</xdr:colOff>
      <xdr:row>72</xdr:row>
      <xdr:rowOff>11430</xdr:rowOff>
    </xdr:from>
    <xdr:to>
      <xdr:col>45</xdr:col>
      <xdr:colOff>212235</xdr:colOff>
      <xdr:row>111</xdr:row>
      <xdr:rowOff>75300</xdr:rowOff>
    </xdr:to>
    <xdr:graphicFrame macro="">
      <xdr:nvGraphicFramePr>
        <xdr:cNvPr id="11" name="Grafiek 10">
          <a:extLst>
            <a:ext uri="{FF2B5EF4-FFF2-40B4-BE49-F238E27FC236}">
              <a16:creationId xmlns:a16="http://schemas.microsoft.com/office/drawing/2014/main" id="{D4BB77B7-5C06-4BBE-BAF3-188D28932F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0</xdr:row>
      <xdr:rowOff>60960</xdr:rowOff>
    </xdr:from>
    <xdr:to>
      <xdr:col>11</xdr:col>
      <xdr:colOff>76200</xdr:colOff>
      <xdr:row>38</xdr:row>
      <xdr:rowOff>68580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AD1BD43-5864-4C3B-89E1-2B312C86E2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190500</xdr:colOff>
      <xdr:row>0</xdr:row>
      <xdr:rowOff>68580</xdr:rowOff>
    </xdr:from>
    <xdr:to>
      <xdr:col>22</xdr:col>
      <xdr:colOff>198120</xdr:colOff>
      <xdr:row>38</xdr:row>
      <xdr:rowOff>76200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D91EA76-8D21-4FAA-8FC3-0B578298C7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338666</xdr:colOff>
      <xdr:row>0</xdr:row>
      <xdr:rowOff>76200</xdr:rowOff>
    </xdr:from>
    <xdr:to>
      <xdr:col>33</xdr:col>
      <xdr:colOff>346286</xdr:colOff>
      <xdr:row>38</xdr:row>
      <xdr:rowOff>83820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380226D0-226E-443C-BD3D-BF77FE547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348342</xdr:colOff>
      <xdr:row>39</xdr:row>
      <xdr:rowOff>54427</xdr:rowOff>
    </xdr:from>
    <xdr:to>
      <xdr:col>33</xdr:col>
      <xdr:colOff>355962</xdr:colOff>
      <xdr:row>77</xdr:row>
      <xdr:rowOff>62047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F47886F6-286B-4341-86A5-D80A4B353B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60960</xdr:colOff>
      <xdr:row>40</xdr:row>
      <xdr:rowOff>53340</xdr:rowOff>
    </xdr:from>
    <xdr:to>
      <xdr:col>16</xdr:col>
      <xdr:colOff>373380</xdr:colOff>
      <xdr:row>66</xdr:row>
      <xdr:rowOff>137160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714D2A92-CDEA-4DB4-A958-E9C1B55C67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595-2D02-4BD6-8861-021766CEA769}">
  <dimension ref="A1"/>
  <sheetViews>
    <sheetView zoomScale="66" zoomScaleNormal="66" workbookViewId="0">
      <selection activeCell="X32" sqref="X3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1EBC-CD53-48AB-8222-B4C4C9A27630}">
  <dimension ref="A42:D47"/>
  <sheetViews>
    <sheetView tabSelected="1" zoomScale="62" zoomScaleNormal="62" workbookViewId="0">
      <selection activeCell="AK22" sqref="AK22"/>
    </sheetView>
  </sheetViews>
  <sheetFormatPr defaultRowHeight="14.4" x14ac:dyDescent="0.3"/>
  <sheetData>
    <row r="42" spans="1:4" x14ac:dyDescent="0.3">
      <c r="B42" s="12" t="s">
        <v>18</v>
      </c>
      <c r="C42" s="12" t="s">
        <v>16</v>
      </c>
      <c r="D42" s="12" t="s">
        <v>17</v>
      </c>
    </row>
    <row r="43" spans="1:4" x14ac:dyDescent="0.3">
      <c r="A43" s="12" t="s">
        <v>11</v>
      </c>
      <c r="B43" s="1">
        <f>54*12</f>
        <v>648</v>
      </c>
      <c r="C43" s="1">
        <f t="shared" ref="C43:C44" si="0">(54*54)/B43</f>
        <v>4.5</v>
      </c>
      <c r="D43">
        <v>598</v>
      </c>
    </row>
    <row r="44" spans="1:4" x14ac:dyDescent="0.3">
      <c r="A44" s="12" t="s">
        <v>12</v>
      </c>
      <c r="B44" s="1">
        <f>54*12</f>
        <v>648</v>
      </c>
      <c r="C44" s="1">
        <f t="shared" si="0"/>
        <v>4.5</v>
      </c>
      <c r="D44">
        <v>475</v>
      </c>
    </row>
    <row r="45" spans="1:4" x14ac:dyDescent="0.3">
      <c r="A45" s="12" t="s">
        <v>13</v>
      </c>
      <c r="B45">
        <v>494.24</v>
      </c>
      <c r="C45" s="1">
        <f>(54*54)/B45</f>
        <v>5.8999676270637744</v>
      </c>
      <c r="D45">
        <v>411</v>
      </c>
    </row>
    <row r="46" spans="1:4" x14ac:dyDescent="0.3">
      <c r="A46" s="12" t="s">
        <v>14</v>
      </c>
      <c r="B46">
        <v>678.14</v>
      </c>
      <c r="C46" s="1">
        <f>(54*54)/B46</f>
        <v>4.2999970507564811</v>
      </c>
      <c r="D46">
        <v>554</v>
      </c>
    </row>
    <row r="47" spans="1:4" x14ac:dyDescent="0.3">
      <c r="A47" s="12" t="s">
        <v>15</v>
      </c>
      <c r="B47">
        <v>775.53</v>
      </c>
      <c r="C47" s="1">
        <f t="shared" ref="C47" si="1">(54*54)/B47</f>
        <v>3.7600092839735408</v>
      </c>
      <c r="D47">
        <v>637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10BB-CA35-4288-A847-4AB65BAA3905}">
  <dimension ref="A1:L34"/>
  <sheetViews>
    <sheetView workbookViewId="0">
      <selection activeCell="J10" sqref="J10"/>
    </sheetView>
  </sheetViews>
  <sheetFormatPr defaultRowHeight="14.4" x14ac:dyDescent="0.3"/>
  <cols>
    <col min="1" max="1" width="48.33203125" bestFit="1" customWidth="1"/>
    <col min="2" max="6" width="7.109375" bestFit="1" customWidth="1"/>
    <col min="7" max="7" width="8.44140625" bestFit="1" customWidth="1"/>
  </cols>
  <sheetData>
    <row r="1" spans="1:12" x14ac:dyDescent="0.3">
      <c r="A1" t="s">
        <v>8</v>
      </c>
      <c r="B1" s="3">
        <v>4000</v>
      </c>
      <c r="C1" s="3">
        <v>5600</v>
      </c>
      <c r="D1" s="3">
        <v>6100</v>
      </c>
      <c r="E1" s="3">
        <v>7300</v>
      </c>
      <c r="F1" s="3">
        <v>8000</v>
      </c>
      <c r="H1" s="3"/>
      <c r="I1" s="3"/>
      <c r="J1" s="3"/>
      <c r="K1" s="3"/>
      <c r="L1" s="3"/>
    </row>
    <row r="2" spans="1:12" x14ac:dyDescent="0.3">
      <c r="A2" t="s">
        <v>9</v>
      </c>
      <c r="B2" s="4">
        <v>20</v>
      </c>
      <c r="C2" s="4">
        <v>35</v>
      </c>
      <c r="D2" s="3">
        <v>54</v>
      </c>
      <c r="E2" s="3">
        <v>68</v>
      </c>
      <c r="F2" s="3">
        <v>84</v>
      </c>
      <c r="H2" s="10"/>
      <c r="I2" s="10"/>
      <c r="J2" s="10"/>
      <c r="K2" s="10"/>
      <c r="L2" s="10"/>
    </row>
    <row r="3" spans="1:12" x14ac:dyDescent="0.3">
      <c r="A3" t="s">
        <v>4</v>
      </c>
      <c r="B3" s="5">
        <v>32.04</v>
      </c>
      <c r="C3" s="5">
        <v>29.85</v>
      </c>
      <c r="D3" s="5">
        <v>26.9</v>
      </c>
      <c r="E3" s="5">
        <v>17.53</v>
      </c>
      <c r="F3" s="5">
        <v>18.79</v>
      </c>
      <c r="G3" s="10"/>
    </row>
    <row r="4" spans="1:12" x14ac:dyDescent="0.3">
      <c r="B4" s="5">
        <v>35.619999999999997</v>
      </c>
      <c r="C4" s="5">
        <v>25.18</v>
      </c>
      <c r="D4" s="5">
        <v>19.850000000000001</v>
      </c>
      <c r="E4" s="5">
        <v>23.46</v>
      </c>
      <c r="F4" s="5">
        <v>20.89</v>
      </c>
      <c r="G4" s="10"/>
    </row>
    <row r="5" spans="1:12" x14ac:dyDescent="0.3">
      <c r="B5" s="5">
        <v>46.25</v>
      </c>
      <c r="C5" s="5">
        <v>27.91</v>
      </c>
      <c r="D5" s="5">
        <v>19.75</v>
      </c>
      <c r="E5" s="5">
        <v>22.22</v>
      </c>
      <c r="F5" s="5">
        <v>15.68</v>
      </c>
      <c r="G5" s="10"/>
    </row>
    <row r="6" spans="1:12" x14ac:dyDescent="0.3">
      <c r="B6" s="5">
        <v>28.97</v>
      </c>
      <c r="C6" s="5">
        <v>31.38</v>
      </c>
      <c r="D6" s="5">
        <v>20.010000000000002</v>
      </c>
      <c r="E6" s="5">
        <v>23.44</v>
      </c>
      <c r="F6" s="5">
        <v>19.260000000000002</v>
      </c>
      <c r="G6" s="10"/>
    </row>
    <row r="7" spans="1:12" x14ac:dyDescent="0.3">
      <c r="B7" s="5">
        <v>37.83</v>
      </c>
      <c r="C7" s="5">
        <v>28.04</v>
      </c>
      <c r="D7" s="5">
        <v>18.63</v>
      </c>
      <c r="E7" s="5">
        <v>18.399999999999999</v>
      </c>
      <c r="F7" s="5">
        <v>17.98</v>
      </c>
      <c r="G7" s="10"/>
    </row>
    <row r="8" spans="1:12" x14ac:dyDescent="0.3">
      <c r="B8" s="5">
        <v>27.14</v>
      </c>
      <c r="C8" s="5">
        <v>21.03</v>
      </c>
      <c r="D8" s="5">
        <v>24.43</v>
      </c>
      <c r="E8" s="5">
        <v>19.600000000000001</v>
      </c>
      <c r="F8" s="5">
        <v>19.489999999999998</v>
      </c>
      <c r="G8" s="10"/>
    </row>
    <row r="9" spans="1:12" x14ac:dyDescent="0.3">
      <c r="B9" s="5">
        <v>48.69</v>
      </c>
      <c r="C9" s="5">
        <v>32.1</v>
      </c>
      <c r="D9" s="5">
        <v>25.12</v>
      </c>
      <c r="E9" s="5">
        <v>17.91</v>
      </c>
      <c r="F9" s="5">
        <v>19.59</v>
      </c>
      <c r="G9" s="10"/>
    </row>
    <row r="10" spans="1:12" x14ac:dyDescent="0.3">
      <c r="B10" s="5">
        <v>38.21</v>
      </c>
      <c r="C10" s="5">
        <v>30.36</v>
      </c>
      <c r="D10" s="5">
        <v>21.1</v>
      </c>
      <c r="E10" s="5">
        <v>17.899999999999999</v>
      </c>
      <c r="F10" s="5">
        <v>18.29</v>
      </c>
      <c r="G10" s="10"/>
    </row>
    <row r="11" spans="1:12" x14ac:dyDescent="0.3">
      <c r="B11" s="5">
        <v>37.07</v>
      </c>
      <c r="C11" s="5">
        <v>21.51</v>
      </c>
      <c r="D11" s="5">
        <v>27.17</v>
      </c>
      <c r="E11" s="5">
        <v>22.28</v>
      </c>
      <c r="F11" s="5">
        <v>17.989999999999998</v>
      </c>
      <c r="G11" s="10"/>
    </row>
    <row r="12" spans="1:12" x14ac:dyDescent="0.3">
      <c r="B12" s="5">
        <v>38.49</v>
      </c>
      <c r="C12" s="5">
        <v>32.21</v>
      </c>
      <c r="D12" s="5">
        <v>23.49</v>
      </c>
      <c r="E12" s="5">
        <v>21.58</v>
      </c>
      <c r="F12" s="5">
        <v>21.38</v>
      </c>
      <c r="G12" s="10"/>
    </row>
    <row r="13" spans="1:12" x14ac:dyDescent="0.3">
      <c r="A13" t="s">
        <v>0</v>
      </c>
      <c r="B13" s="6">
        <f>AVERAGE(B3:B12)</f>
        <v>37.030999999999992</v>
      </c>
      <c r="C13" s="6">
        <f>AVERAGE(C3:C12)</f>
        <v>27.956999999999994</v>
      </c>
      <c r="D13" s="6">
        <f>AVERAGE(D3:D12)</f>
        <v>22.645</v>
      </c>
      <c r="E13" s="6">
        <f>AVERAGE(E3:E12)</f>
        <v>20.431999999999999</v>
      </c>
      <c r="F13" s="6">
        <f>AVERAGE(F3:F12)</f>
        <v>18.934000000000001</v>
      </c>
      <c r="G13" s="10"/>
    </row>
    <row r="14" spans="1:12" x14ac:dyDescent="0.3">
      <c r="A14" t="s">
        <v>21</v>
      </c>
      <c r="B14" s="7">
        <f>STDEV(B3:B12)</f>
        <v>6.7888265227177635</v>
      </c>
      <c r="C14" s="7">
        <f>STDEV(C3:C12)</f>
        <v>4.1311178202085808</v>
      </c>
      <c r="D14" s="7">
        <f>STDEV(D3:D12)</f>
        <v>3.1666675438595533</v>
      </c>
      <c r="E14" s="7">
        <f>STDEV(E3:E12)</f>
        <v>2.4074227805777091</v>
      </c>
      <c r="F14" s="7">
        <f>STDEV(F3:F12)</f>
        <v>1.6152000220130978</v>
      </c>
      <c r="G14" s="10">
        <f>AVERAGE(B14:F14)</f>
        <v>3.6218469378753411</v>
      </c>
      <c r="H14" s="7"/>
    </row>
    <row r="15" spans="1:12" x14ac:dyDescent="0.3">
      <c r="A15" s="25" t="s">
        <v>20</v>
      </c>
      <c r="B15" s="26">
        <f>1/B13*60</f>
        <v>1.6202641030487972</v>
      </c>
      <c r="C15" s="26">
        <f>1/C13*60</f>
        <v>2.1461530207103769</v>
      </c>
      <c r="D15" s="26">
        <f>1/D13*60</f>
        <v>2.6495915213071322</v>
      </c>
      <c r="E15" s="26">
        <f>1/E13*60</f>
        <v>2.9365700861393891</v>
      </c>
      <c r="F15" s="26">
        <f>1/F13*60</f>
        <v>3.1689025034329776</v>
      </c>
      <c r="G15" s="10"/>
    </row>
    <row r="16" spans="1:12" x14ac:dyDescent="0.3">
      <c r="A16" s="18" t="s">
        <v>22</v>
      </c>
      <c r="B16" s="19">
        <f>1/((B13-B14)/60)-B15</f>
        <v>0.36372028369085663</v>
      </c>
      <c r="C16" s="19">
        <f>1/((C13-C14)/60)-C15</f>
        <v>0.37211679810416731</v>
      </c>
      <c r="D16" s="19">
        <f>1/((D13-D14)/60)-D15</f>
        <v>0.43075430065183662</v>
      </c>
      <c r="E16" s="19">
        <f>1/((E13-E14)/60)-E15</f>
        <v>0.3922181161906666</v>
      </c>
      <c r="F16" s="19">
        <f>1/((F13-F14)/60)-F15</f>
        <v>0.29554076493799109</v>
      </c>
      <c r="G16" s="20">
        <f>AVERAGE(B16:F16)</f>
        <v>0.37087005271510365</v>
      </c>
    </row>
    <row r="17" spans="1:7" x14ac:dyDescent="0.3">
      <c r="A17" s="18" t="s">
        <v>23</v>
      </c>
      <c r="B17" s="19">
        <f>1/((B13+B14)/60)-B15</f>
        <v>-0.25102089144242856</v>
      </c>
      <c r="C17" s="19">
        <f>1/((C13+C14)/60)-C15</f>
        <v>-0.27630199559936286</v>
      </c>
      <c r="D17" s="19">
        <f>1/((D13+D14)/60)-D15</f>
        <v>-0.32506134912638718</v>
      </c>
      <c r="E17" s="19">
        <f>1/((E13+E14)/60)-E15</f>
        <v>-0.30953346720070574</v>
      </c>
      <c r="F17" s="19">
        <f>1/((F13+F14)/60)-F15</f>
        <v>-0.24908081033905338</v>
      </c>
      <c r="G17" s="20">
        <f>AVERAGE(B17:F17)</f>
        <v>-0.28219970274158757</v>
      </c>
    </row>
    <row r="18" spans="1:7" x14ac:dyDescent="0.3">
      <c r="A18" s="23" t="s">
        <v>24</v>
      </c>
      <c r="B18" s="21"/>
      <c r="C18" s="21"/>
      <c r="D18" s="21"/>
      <c r="E18" s="21"/>
      <c r="F18" s="21"/>
      <c r="G18" s="22">
        <f>(G16+(-1*G17))/2</f>
        <v>0.32653487772834561</v>
      </c>
    </row>
    <row r="19" spans="1:7" x14ac:dyDescent="0.3">
      <c r="A19" t="s">
        <v>5</v>
      </c>
      <c r="B19" s="8">
        <v>27.56</v>
      </c>
      <c r="C19" s="8">
        <v>25.28</v>
      </c>
      <c r="D19" s="5">
        <v>19.41</v>
      </c>
      <c r="E19" s="5">
        <v>18.95</v>
      </c>
      <c r="F19" s="5">
        <v>16.149999999999999</v>
      </c>
      <c r="G19" s="1"/>
    </row>
    <row r="20" spans="1:7" x14ac:dyDescent="0.3">
      <c r="A20" s="1"/>
      <c r="B20" s="5">
        <v>30.07</v>
      </c>
      <c r="C20" s="8">
        <v>22.13</v>
      </c>
      <c r="D20" s="5">
        <v>19.62</v>
      </c>
      <c r="E20" s="5">
        <v>19.27</v>
      </c>
      <c r="F20" s="5">
        <v>16.920000000000002</v>
      </c>
      <c r="G20" s="1"/>
    </row>
    <row r="21" spans="1:7" x14ac:dyDescent="0.3">
      <c r="A21" s="1"/>
      <c r="B21" s="5">
        <v>31.31</v>
      </c>
      <c r="C21" s="8">
        <v>26.16</v>
      </c>
      <c r="D21" s="5">
        <v>20.25</v>
      </c>
      <c r="E21" s="5">
        <v>19.899999999999999</v>
      </c>
      <c r="F21" s="5">
        <v>16.16</v>
      </c>
      <c r="G21" s="1"/>
    </row>
    <row r="22" spans="1:7" x14ac:dyDescent="0.3">
      <c r="A22" s="1"/>
      <c r="B22" s="5">
        <v>27.36</v>
      </c>
      <c r="C22" s="8">
        <v>23.58</v>
      </c>
      <c r="D22" s="5">
        <v>20.81</v>
      </c>
      <c r="E22" s="5">
        <v>17.489999999999998</v>
      </c>
      <c r="F22" s="5">
        <v>16.23</v>
      </c>
      <c r="G22" s="1"/>
    </row>
    <row r="23" spans="1:7" x14ac:dyDescent="0.3">
      <c r="A23" s="1"/>
      <c r="B23" s="5">
        <v>29.12</v>
      </c>
      <c r="C23" s="8">
        <v>25.88</v>
      </c>
      <c r="D23" s="5">
        <v>19.46</v>
      </c>
      <c r="E23" s="5">
        <v>19.07</v>
      </c>
      <c r="F23" s="5">
        <v>16.02</v>
      </c>
      <c r="G23" s="1"/>
    </row>
    <row r="24" spans="1:7" x14ac:dyDescent="0.3">
      <c r="A24" s="1"/>
      <c r="B24" s="5">
        <v>31.16</v>
      </c>
      <c r="C24" s="8">
        <v>23.26</v>
      </c>
      <c r="D24" s="5">
        <v>21.47</v>
      </c>
      <c r="E24" s="5">
        <v>18.22</v>
      </c>
      <c r="F24" s="5">
        <v>16.170000000000002</v>
      </c>
      <c r="G24" s="1"/>
    </row>
    <row r="25" spans="1:7" x14ac:dyDescent="0.3">
      <c r="A25" s="1"/>
      <c r="B25" s="5">
        <v>27.06</v>
      </c>
      <c r="C25" s="8">
        <v>22.72</v>
      </c>
      <c r="D25" s="5">
        <v>18.96</v>
      </c>
      <c r="E25" s="5">
        <v>20.12</v>
      </c>
      <c r="F25" s="5">
        <v>16.579999999999998</v>
      </c>
      <c r="G25" s="1"/>
    </row>
    <row r="26" spans="1:7" x14ac:dyDescent="0.3">
      <c r="A26" s="1"/>
      <c r="B26" s="5">
        <v>27.51</v>
      </c>
      <c r="C26" s="8">
        <v>20.95</v>
      </c>
      <c r="D26" s="5">
        <v>21.28</v>
      </c>
      <c r="E26" s="5">
        <v>18.989999999999998</v>
      </c>
      <c r="F26" s="5">
        <v>15.37</v>
      </c>
      <c r="G26" s="1"/>
    </row>
    <row r="27" spans="1:7" x14ac:dyDescent="0.3">
      <c r="A27" s="1"/>
      <c r="B27" s="5">
        <v>30.54</v>
      </c>
      <c r="C27" s="8">
        <v>24.36</v>
      </c>
      <c r="D27" s="5">
        <v>20.170000000000002</v>
      </c>
      <c r="E27" s="5">
        <v>18.079999999999998</v>
      </c>
      <c r="F27" s="5">
        <v>16.21</v>
      </c>
      <c r="G27" s="1"/>
    </row>
    <row r="28" spans="1:7" x14ac:dyDescent="0.3">
      <c r="A28" s="1"/>
      <c r="B28" s="5">
        <v>29.72</v>
      </c>
      <c r="C28" s="8">
        <v>25.61</v>
      </c>
      <c r="D28" s="5">
        <v>19.72</v>
      </c>
      <c r="E28" s="5">
        <v>18.420000000000002</v>
      </c>
      <c r="F28" s="5">
        <v>15.06</v>
      </c>
      <c r="G28" s="1"/>
    </row>
    <row r="29" spans="1:7" x14ac:dyDescent="0.3">
      <c r="A29" t="s">
        <v>0</v>
      </c>
      <c r="B29" s="6">
        <f>AVERAGE(B19:B28)</f>
        <v>29.140999999999998</v>
      </c>
      <c r="C29" s="6">
        <f>AVERAGE(C19:C28)</f>
        <v>23.993000000000002</v>
      </c>
      <c r="D29" s="6">
        <f>AVERAGE(D19:D28)</f>
        <v>20.115000000000002</v>
      </c>
      <c r="E29" s="6">
        <f>AVERAGE(E19:E28)</f>
        <v>18.851000000000006</v>
      </c>
      <c r="F29" s="6">
        <f>AVERAGE(F19:F28)</f>
        <v>16.087</v>
      </c>
    </row>
    <row r="30" spans="1:7" x14ac:dyDescent="0.3">
      <c r="A30" t="s">
        <v>21</v>
      </c>
      <c r="B30" s="7">
        <f>STDEV(B19:B28)</f>
        <v>1.6532489897841227</v>
      </c>
      <c r="C30" s="7">
        <f>STDEV(C19:C28)</f>
        <v>1.7550375114699595</v>
      </c>
      <c r="D30" s="11">
        <f>STDEV(D19:D28)</f>
        <v>0.84054545782287471</v>
      </c>
      <c r="E30" s="11">
        <f>STDEV(E19:E28)</f>
        <v>0.81609435728964619</v>
      </c>
      <c r="F30" s="11">
        <f>STDEV(F19:F28)</f>
        <v>0.53354266725143729</v>
      </c>
      <c r="G30" s="10">
        <f>AVERAGE(B30:F30)</f>
        <v>1.119693796723608</v>
      </c>
    </row>
    <row r="31" spans="1:7" x14ac:dyDescent="0.3">
      <c r="A31" s="25" t="s">
        <v>20</v>
      </c>
      <c r="B31" s="26">
        <f>1/B29*60</f>
        <v>2.0589547373116917</v>
      </c>
      <c r="C31" s="26">
        <f>1/C29*60</f>
        <v>2.5007293794023253</v>
      </c>
      <c r="D31" s="26">
        <f>1/D29*60</f>
        <v>2.9828486204325131</v>
      </c>
      <c r="E31" s="26">
        <f>1/E29*60</f>
        <v>3.1828550209537947</v>
      </c>
      <c r="F31" s="26">
        <f>1/F29*60</f>
        <v>3.7297196494063529</v>
      </c>
    </row>
    <row r="32" spans="1:7" x14ac:dyDescent="0.3">
      <c r="A32" s="18" t="s">
        <v>22</v>
      </c>
      <c r="B32" s="19">
        <f>1/((B29-B30)/60)-B31</f>
        <v>0.12383569824270824</v>
      </c>
      <c r="C32" s="19">
        <f>1/((C29-C30)/60)-C31</f>
        <v>0.19735953188830901</v>
      </c>
      <c r="D32" s="19">
        <f>1/((D29-D30)/60)-D31</f>
        <v>0.13007993838639464</v>
      </c>
      <c r="E32" s="19">
        <f>1/((E29-E30)/60)-E31</f>
        <v>0.14402681522879535</v>
      </c>
      <c r="F32" s="19">
        <f>1/((F29-F30)/60)-F31</f>
        <v>0.12794355153785597</v>
      </c>
      <c r="G32" s="20">
        <f>AVERAGE(B32:F32)</f>
        <v>0.14464910705681264</v>
      </c>
    </row>
    <row r="33" spans="1:7" x14ac:dyDescent="0.3">
      <c r="A33" s="18" t="s">
        <v>23</v>
      </c>
      <c r="B33" s="19">
        <f>1/((B29+B30)/60)-B31</f>
        <v>-0.11053897890482878</v>
      </c>
      <c r="C33" s="19">
        <f>1/((C29+C30)/60)-C31</f>
        <v>-0.17045469445704198</v>
      </c>
      <c r="D33" s="19">
        <f>1/((D29+D30)/60)-D31</f>
        <v>-0.1196446956880246</v>
      </c>
      <c r="E33" s="19">
        <f>1/((E29+E30)/60)-E31</f>
        <v>-0.13207390860504242</v>
      </c>
      <c r="F33" s="19">
        <f>1/((F29+F30)/60)-F31</f>
        <v>-0.1197292176124507</v>
      </c>
      <c r="G33" s="20">
        <f>AVERAGE(B33:F33)</f>
        <v>-0.1304882990534777</v>
      </c>
    </row>
    <row r="34" spans="1:7" x14ac:dyDescent="0.3">
      <c r="A34" s="23" t="s">
        <v>24</v>
      </c>
      <c r="B34" s="21"/>
      <c r="C34" s="21"/>
      <c r="D34" s="21"/>
      <c r="E34" s="21"/>
      <c r="F34" s="21"/>
      <c r="G34" s="22">
        <f>(G32+(-1*G33))/2</f>
        <v>0.13756870305514518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2128-9BFC-490D-B141-DDDA59B490CB}">
  <dimension ref="A1:E38"/>
  <sheetViews>
    <sheetView workbookViewId="0">
      <selection activeCell="B18" sqref="B18"/>
    </sheetView>
  </sheetViews>
  <sheetFormatPr defaultRowHeight="14.4" x14ac:dyDescent="0.3"/>
  <cols>
    <col min="1" max="1" width="48.33203125" bestFit="1" customWidth="1"/>
    <col min="2" max="4" width="7.109375" bestFit="1" customWidth="1"/>
  </cols>
  <sheetData>
    <row r="1" spans="1:5" x14ac:dyDescent="0.3">
      <c r="A1" t="s">
        <v>7</v>
      </c>
      <c r="B1" s="3">
        <v>50</v>
      </c>
      <c r="C1" s="3">
        <v>75</v>
      </c>
      <c r="D1" s="3">
        <v>100</v>
      </c>
    </row>
    <row r="2" spans="1:5" x14ac:dyDescent="0.3">
      <c r="A2" t="s">
        <v>10</v>
      </c>
      <c r="B2" s="2">
        <f>0.133*24</f>
        <v>3.1920000000000002</v>
      </c>
      <c r="C2" s="2">
        <f>0.277*24</f>
        <v>6.6480000000000006</v>
      </c>
      <c r="D2" s="5">
        <f>0.512*24</f>
        <v>12.288</v>
      </c>
    </row>
    <row r="3" spans="1:5" x14ac:dyDescent="0.3">
      <c r="A3" t="s">
        <v>1</v>
      </c>
      <c r="B3" s="4">
        <v>22</v>
      </c>
      <c r="C3" s="4">
        <v>28</v>
      </c>
      <c r="D3" s="4">
        <v>32</v>
      </c>
    </row>
    <row r="4" spans="1:5" x14ac:dyDescent="0.3">
      <c r="A4" t="s">
        <v>3</v>
      </c>
      <c r="B4" s="4">
        <v>21</v>
      </c>
      <c r="C4" s="3">
        <v>38</v>
      </c>
      <c r="D4" s="3">
        <v>70</v>
      </c>
    </row>
    <row r="5" spans="1:5" x14ac:dyDescent="0.3">
      <c r="A5" t="s">
        <v>4</v>
      </c>
      <c r="B5" s="5">
        <v>37.979999999999997</v>
      </c>
      <c r="C5" s="5">
        <v>28.89</v>
      </c>
      <c r="D5" s="5">
        <v>21.88</v>
      </c>
      <c r="E5" s="1"/>
    </row>
    <row r="6" spans="1:5" x14ac:dyDescent="0.3">
      <c r="B6" s="5">
        <v>49.1</v>
      </c>
      <c r="C6" s="5">
        <v>27.33</v>
      </c>
      <c r="D6" s="5">
        <v>18.95</v>
      </c>
      <c r="E6" s="1"/>
    </row>
    <row r="7" spans="1:5" x14ac:dyDescent="0.3">
      <c r="B7" s="5">
        <v>50.49</v>
      </c>
      <c r="C7" s="5">
        <v>27.3</v>
      </c>
      <c r="D7" s="5">
        <v>19.13</v>
      </c>
      <c r="E7" s="1"/>
    </row>
    <row r="8" spans="1:5" x14ac:dyDescent="0.3">
      <c r="B8" s="5">
        <v>43.74</v>
      </c>
      <c r="C8" s="5">
        <v>25.73</v>
      </c>
      <c r="D8" s="5">
        <v>19.100000000000001</v>
      </c>
      <c r="E8" s="1"/>
    </row>
    <row r="9" spans="1:5" x14ac:dyDescent="0.3">
      <c r="B9" s="5">
        <v>53.78</v>
      </c>
      <c r="C9" s="5">
        <v>27.03</v>
      </c>
      <c r="D9" s="5">
        <v>20.49</v>
      </c>
      <c r="E9" s="1"/>
    </row>
    <row r="10" spans="1:5" x14ac:dyDescent="0.3">
      <c r="B10" s="5">
        <v>54.25</v>
      </c>
      <c r="C10" s="5">
        <v>25.4</v>
      </c>
      <c r="D10" s="5">
        <v>19.89</v>
      </c>
      <c r="E10" s="1"/>
    </row>
    <row r="11" spans="1:5" x14ac:dyDescent="0.3">
      <c r="B11" s="5">
        <v>48.6</v>
      </c>
      <c r="C11" s="5">
        <v>23.21</v>
      </c>
      <c r="D11" s="5">
        <v>18.53</v>
      </c>
      <c r="E11" s="1"/>
    </row>
    <row r="12" spans="1:5" x14ac:dyDescent="0.3">
      <c r="B12" s="5">
        <v>46.9</v>
      </c>
      <c r="C12" s="5">
        <v>26.21</v>
      </c>
      <c r="D12" s="5">
        <v>22.32</v>
      </c>
      <c r="E12" s="1"/>
    </row>
    <row r="13" spans="1:5" x14ac:dyDescent="0.3">
      <c r="B13" s="5">
        <v>46.21</v>
      </c>
      <c r="C13" s="5">
        <v>24.71</v>
      </c>
      <c r="D13" s="5">
        <v>18.38</v>
      </c>
      <c r="E13" s="1"/>
    </row>
    <row r="14" spans="1:5" x14ac:dyDescent="0.3">
      <c r="B14" s="5">
        <v>45.64</v>
      </c>
      <c r="C14" s="8">
        <v>26.97</v>
      </c>
      <c r="D14" s="5">
        <v>19.420000000000002</v>
      </c>
      <c r="E14" s="1"/>
    </row>
    <row r="15" spans="1:5" x14ac:dyDescent="0.3">
      <c r="A15" t="s">
        <v>0</v>
      </c>
      <c r="B15" s="6">
        <f>AVERAGE(B5:B14)</f>
        <v>47.668999999999997</v>
      </c>
      <c r="C15" s="6">
        <f>AVERAGE(C5:C14)</f>
        <v>26.278000000000002</v>
      </c>
      <c r="D15" s="6">
        <f>AVERAGE(D5:D14)</f>
        <v>19.808999999999997</v>
      </c>
      <c r="E15" s="1"/>
    </row>
    <row r="16" spans="1:5" x14ac:dyDescent="0.3">
      <c r="A16" t="s">
        <v>21</v>
      </c>
      <c r="B16" s="7">
        <f>STDEV(B5:B14)</f>
        <v>4.8036686211917479</v>
      </c>
      <c r="C16" s="7">
        <f>STDEV(C5:C14)</f>
        <v>1.5973992752109423</v>
      </c>
      <c r="D16" s="7">
        <f>STDEV(D5:D14)</f>
        <v>1.3579105681565007</v>
      </c>
      <c r="E16" s="13">
        <f>AVERAGE(B16:D16)</f>
        <v>2.5863261548530638</v>
      </c>
    </row>
    <row r="17" spans="1:5" x14ac:dyDescent="0.3">
      <c r="A17" s="25" t="s">
        <v>20</v>
      </c>
      <c r="B17" s="26">
        <f>1/B15*60</f>
        <v>1.2586796450523403</v>
      </c>
      <c r="C17" s="26">
        <f>1/C15*60</f>
        <v>2.283278788340056</v>
      </c>
      <c r="D17" s="26">
        <f>1/D15*60</f>
        <v>3.0289262456459189</v>
      </c>
      <c r="E17" s="1"/>
    </row>
    <row r="18" spans="1:5" x14ac:dyDescent="0.3">
      <c r="A18" s="15" t="s">
        <v>19</v>
      </c>
      <c r="B18" s="16">
        <f>B17*0.45*0.561</f>
        <v>0.3177536763934633</v>
      </c>
      <c r="C18" s="16">
        <f t="shared" ref="C18:D18" si="0">C17*0.45*0.561</f>
        <v>0.57641373011644714</v>
      </c>
      <c r="D18" s="16">
        <f t="shared" si="0"/>
        <v>0.76465243071331224</v>
      </c>
    </row>
    <row r="19" spans="1:5" x14ac:dyDescent="0.3">
      <c r="A19" s="18" t="s">
        <v>22</v>
      </c>
      <c r="B19" s="19">
        <f>1/((B15-B16)/60)-B17</f>
        <v>0.14105291433859879</v>
      </c>
      <c r="C19" s="19">
        <f>1/((C15-C16)/60)-C17</f>
        <v>0.14778035276651869</v>
      </c>
      <c r="D19" s="19">
        <f>1/((D15-D16)/60)-D17</f>
        <v>0.22291426066315712</v>
      </c>
      <c r="E19" s="20">
        <f>AVERAGE(B19:C19)</f>
        <v>0.14441663355255874</v>
      </c>
    </row>
    <row r="20" spans="1:5" x14ac:dyDescent="0.3">
      <c r="A20" s="18" t="s">
        <v>23</v>
      </c>
      <c r="B20" s="19">
        <f>1/((B15+B16)/60)-B17</f>
        <v>-0.11522722350410119</v>
      </c>
      <c r="C20" s="19">
        <f>1/((C15+C16)/60)-C17</f>
        <v>-0.13084325162805488</v>
      </c>
      <c r="D20" s="19">
        <f>1/((D15+D16)/60)-D17</f>
        <v>-0.19431323933105293</v>
      </c>
      <c r="E20" s="20">
        <f>AVERAGE(B20:C20)</f>
        <v>-0.12303523756607804</v>
      </c>
    </row>
    <row r="21" spans="1:5" x14ac:dyDescent="0.3">
      <c r="A21" s="23" t="s">
        <v>24</v>
      </c>
      <c r="B21" s="21"/>
      <c r="C21" s="21"/>
      <c r="D21" s="21"/>
      <c r="E21" s="22">
        <f>(E19+(-1*E20))/2</f>
        <v>0.13372593555931839</v>
      </c>
    </row>
    <row r="22" spans="1:5" x14ac:dyDescent="0.3">
      <c r="A22" t="s">
        <v>5</v>
      </c>
      <c r="B22" s="5">
        <v>51.16</v>
      </c>
      <c r="C22" s="5">
        <v>21.13</v>
      </c>
      <c r="D22" s="5">
        <v>16.559999999999999</v>
      </c>
      <c r="E22" s="1"/>
    </row>
    <row r="23" spans="1:5" x14ac:dyDescent="0.3">
      <c r="A23" s="1"/>
      <c r="B23" s="5">
        <v>51.3</v>
      </c>
      <c r="C23" s="5">
        <v>21.37</v>
      </c>
      <c r="D23" s="5">
        <v>15.26</v>
      </c>
      <c r="E23" s="1"/>
    </row>
    <row r="24" spans="1:5" x14ac:dyDescent="0.3">
      <c r="A24" s="1"/>
      <c r="B24" s="5">
        <v>49.87</v>
      </c>
      <c r="C24" s="5">
        <v>19.2</v>
      </c>
      <c r="D24" s="5">
        <v>17.48</v>
      </c>
      <c r="E24" s="1"/>
    </row>
    <row r="25" spans="1:5" x14ac:dyDescent="0.3">
      <c r="A25" s="1"/>
      <c r="B25" s="5">
        <v>47</v>
      </c>
      <c r="C25" s="5">
        <v>21.99</v>
      </c>
      <c r="D25" s="5">
        <v>17.29</v>
      </c>
      <c r="E25" s="1"/>
    </row>
    <row r="26" spans="1:5" x14ac:dyDescent="0.3">
      <c r="A26" s="1"/>
      <c r="B26" s="5">
        <v>52.24</v>
      </c>
      <c r="C26" s="5">
        <v>20.68</v>
      </c>
      <c r="D26" s="5">
        <v>15.2</v>
      </c>
      <c r="E26" s="1"/>
    </row>
    <row r="27" spans="1:5" x14ac:dyDescent="0.3">
      <c r="A27" s="1"/>
      <c r="B27" s="5">
        <v>48.43</v>
      </c>
      <c r="C27" s="5">
        <v>23.81</v>
      </c>
      <c r="D27" s="5">
        <v>17.41</v>
      </c>
      <c r="E27" s="1"/>
    </row>
    <row r="28" spans="1:5" x14ac:dyDescent="0.3">
      <c r="A28" s="1"/>
      <c r="B28" s="5">
        <v>45.18</v>
      </c>
      <c r="C28" s="5">
        <v>21.11</v>
      </c>
      <c r="D28" s="5">
        <v>15.41</v>
      </c>
      <c r="E28" s="1"/>
    </row>
    <row r="29" spans="1:5" x14ac:dyDescent="0.3">
      <c r="A29" s="1"/>
      <c r="B29" s="5">
        <v>49.87</v>
      </c>
      <c r="C29" s="5">
        <v>19.98</v>
      </c>
      <c r="D29" s="5">
        <v>16.010000000000002</v>
      </c>
      <c r="E29" s="1"/>
    </row>
    <row r="30" spans="1:5" x14ac:dyDescent="0.3">
      <c r="A30" s="1"/>
      <c r="B30" s="8">
        <v>46.96</v>
      </c>
      <c r="C30" s="5">
        <v>20.69</v>
      </c>
      <c r="D30" s="5">
        <v>14.95</v>
      </c>
      <c r="E30" s="1"/>
    </row>
    <row r="31" spans="1:5" x14ac:dyDescent="0.3">
      <c r="A31" s="1"/>
      <c r="B31" s="8">
        <v>46.9</v>
      </c>
      <c r="C31" s="5">
        <v>23.32</v>
      </c>
      <c r="D31" s="5">
        <v>16.170000000000002</v>
      </c>
      <c r="E31" s="1"/>
    </row>
    <row r="32" spans="1:5" x14ac:dyDescent="0.3">
      <c r="A32" t="s">
        <v>0</v>
      </c>
      <c r="B32" s="6">
        <f>AVERAGE(B22:B31)</f>
        <v>48.890999999999998</v>
      </c>
      <c r="C32" s="6">
        <f>AVERAGE(C22:C31)</f>
        <v>21.327999999999999</v>
      </c>
      <c r="D32" s="6">
        <f>AVERAGE(D22:D31)</f>
        <v>16.173999999999999</v>
      </c>
      <c r="E32" s="1"/>
    </row>
    <row r="33" spans="1:5" x14ac:dyDescent="0.3">
      <c r="A33" t="s">
        <v>21</v>
      </c>
      <c r="B33" s="7">
        <f>STDEV(B22:B31)</f>
        <v>2.3413455295809902</v>
      </c>
      <c r="C33" s="7">
        <f>STDEV(C22:C31)</f>
        <v>1.4074231772995636</v>
      </c>
      <c r="D33" s="11">
        <f>STDEV(D22:D31)</f>
        <v>0.97300451066671734</v>
      </c>
      <c r="E33" s="13">
        <f>AVERAGE(B33:D33)</f>
        <v>1.5739244058490904</v>
      </c>
    </row>
    <row r="34" spans="1:5" x14ac:dyDescent="0.3">
      <c r="A34" s="25" t="s">
        <v>20</v>
      </c>
      <c r="B34" s="26">
        <f>1/B32*60</f>
        <v>1.2272197336933177</v>
      </c>
      <c r="C34" s="26">
        <f>1/C32*60</f>
        <v>2.8132033008252066</v>
      </c>
      <c r="D34" s="26">
        <f>1/D32*60</f>
        <v>3.7096574749598119</v>
      </c>
    </row>
    <row r="35" spans="1:5" x14ac:dyDescent="0.3">
      <c r="A35" s="15" t="s">
        <v>19</v>
      </c>
      <c r="B35" s="16">
        <f>B34*0.4*0.561</f>
        <v>0.27538810824078053</v>
      </c>
      <c r="C35" s="16">
        <f t="shared" ref="C35:D35" si="1">C34*0.4*0.561</f>
        <v>0.63128282070517638</v>
      </c>
      <c r="D35" s="16">
        <f t="shared" si="1"/>
        <v>0.83244713738098197</v>
      </c>
    </row>
    <row r="36" spans="1:5" x14ac:dyDescent="0.3">
      <c r="A36" s="18" t="s">
        <v>22</v>
      </c>
      <c r="B36" s="19">
        <f>1/((B32-B33)/60)-B34</f>
        <v>6.1726461130283017E-2</v>
      </c>
      <c r="C36" s="19">
        <f>1/((C32-C33)/60)-C34</f>
        <v>0.1987576747037334</v>
      </c>
      <c r="D36" s="19">
        <f>1/((D32-D33)/60)-D34</f>
        <v>0.2374524391311903</v>
      </c>
      <c r="E36" s="20">
        <f>AVERAGE(B36:C36)</f>
        <v>0.13024206791700821</v>
      </c>
    </row>
    <row r="37" spans="1:5" x14ac:dyDescent="0.3">
      <c r="A37" s="18" t="s">
        <v>23</v>
      </c>
      <c r="B37" s="19">
        <f>1/((B32+B33)/60)-B34</f>
        <v>-5.6084596705364254E-2</v>
      </c>
      <c r="C37" s="19">
        <f>1/((C32+C33)/60)-C34</f>
        <v>-0.17414971769649368</v>
      </c>
      <c r="D37" s="19">
        <f>1/((D32+D33)/60)-D34</f>
        <v>-0.21050402441540284</v>
      </c>
      <c r="E37" s="20">
        <f>AVERAGE(B37:C37)</f>
        <v>-0.11511715720092897</v>
      </c>
    </row>
    <row r="38" spans="1:5" x14ac:dyDescent="0.3">
      <c r="A38" s="23" t="s">
        <v>24</v>
      </c>
      <c r="B38" s="21"/>
      <c r="C38" s="21"/>
      <c r="D38" s="21"/>
      <c r="E38" s="22">
        <f>(E36+(-1*E37))/2</f>
        <v>0.12267961255896859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5238-4467-49D3-AC23-9868DF778FF7}">
  <dimension ref="A1:F38"/>
  <sheetViews>
    <sheetView workbookViewId="0">
      <selection activeCell="I20" sqref="I20"/>
    </sheetView>
  </sheetViews>
  <sheetFormatPr defaultRowHeight="14.4" x14ac:dyDescent="0.3"/>
  <cols>
    <col min="1" max="1" width="48.33203125" bestFit="1" customWidth="1"/>
    <col min="2" max="3" width="7.44140625" bestFit="1" customWidth="1"/>
    <col min="4" max="4" width="4" bestFit="1" customWidth="1"/>
  </cols>
  <sheetData>
    <row r="1" spans="1:6" x14ac:dyDescent="0.3">
      <c r="A1" t="s">
        <v>7</v>
      </c>
      <c r="B1" s="3">
        <v>50</v>
      </c>
      <c r="C1" s="3">
        <v>75</v>
      </c>
      <c r="D1" s="3">
        <v>100</v>
      </c>
    </row>
    <row r="2" spans="1:6" x14ac:dyDescent="0.3">
      <c r="A2" t="s">
        <v>10</v>
      </c>
      <c r="B2" s="2">
        <f>0.131*24</f>
        <v>3.1440000000000001</v>
      </c>
      <c r="C2" s="2">
        <f>0.36*24</f>
        <v>8.64</v>
      </c>
      <c r="D2" s="3" t="s">
        <v>2</v>
      </c>
    </row>
    <row r="3" spans="1:6" x14ac:dyDescent="0.3">
      <c r="A3" t="s">
        <v>1</v>
      </c>
      <c r="B3" s="4">
        <v>32</v>
      </c>
      <c r="C3" s="4">
        <v>31</v>
      </c>
      <c r="D3" s="5" t="s">
        <v>2</v>
      </c>
    </row>
    <row r="4" spans="1:6" x14ac:dyDescent="0.3">
      <c r="A4" t="s">
        <v>3</v>
      </c>
      <c r="B4" s="4">
        <v>20</v>
      </c>
      <c r="C4" s="3">
        <v>36</v>
      </c>
      <c r="D4" s="3" t="s">
        <v>2</v>
      </c>
    </row>
    <row r="5" spans="1:6" x14ac:dyDescent="0.3">
      <c r="A5" t="s">
        <v>6</v>
      </c>
      <c r="B5" s="5">
        <v>66.75</v>
      </c>
      <c r="C5" s="5">
        <v>36.46</v>
      </c>
      <c r="D5" s="3" t="s">
        <v>2</v>
      </c>
      <c r="E5" s="1"/>
      <c r="F5" s="1"/>
    </row>
    <row r="6" spans="1:6" x14ac:dyDescent="0.3">
      <c r="B6" s="5">
        <v>62.48</v>
      </c>
      <c r="C6" s="5">
        <v>30.26</v>
      </c>
      <c r="D6" s="3" t="s">
        <v>2</v>
      </c>
      <c r="F6" s="1"/>
    </row>
    <row r="7" spans="1:6" x14ac:dyDescent="0.3">
      <c r="B7" s="5">
        <v>61.94</v>
      </c>
      <c r="C7" s="5">
        <v>33.44</v>
      </c>
      <c r="D7" s="3" t="s">
        <v>2</v>
      </c>
      <c r="F7" s="1"/>
    </row>
    <row r="8" spans="1:6" x14ac:dyDescent="0.3">
      <c r="B8" s="5">
        <v>57.03</v>
      </c>
      <c r="C8" s="5">
        <v>27.18</v>
      </c>
      <c r="D8" s="3" t="s">
        <v>2</v>
      </c>
      <c r="F8" s="1"/>
    </row>
    <row r="9" spans="1:6" x14ac:dyDescent="0.3">
      <c r="B9" s="5">
        <v>64.66</v>
      </c>
      <c r="C9" s="5">
        <v>34.4</v>
      </c>
      <c r="D9" s="3" t="s">
        <v>2</v>
      </c>
      <c r="F9" s="1"/>
    </row>
    <row r="10" spans="1:6" x14ac:dyDescent="0.3">
      <c r="B10" s="5">
        <v>51.42</v>
      </c>
      <c r="C10" s="5">
        <v>32.119999999999997</v>
      </c>
      <c r="D10" s="3" t="s">
        <v>2</v>
      </c>
      <c r="F10" s="1"/>
    </row>
    <row r="11" spans="1:6" x14ac:dyDescent="0.3">
      <c r="B11" s="5">
        <v>54.55</v>
      </c>
      <c r="C11" s="5">
        <v>33.46</v>
      </c>
      <c r="D11" s="3" t="s">
        <v>2</v>
      </c>
      <c r="F11" s="1"/>
    </row>
    <row r="12" spans="1:6" x14ac:dyDescent="0.3">
      <c r="B12" s="5">
        <v>66.25</v>
      </c>
      <c r="C12" s="5">
        <v>32.24</v>
      </c>
      <c r="D12" s="3" t="s">
        <v>2</v>
      </c>
      <c r="F12" s="1"/>
    </row>
    <row r="13" spans="1:6" x14ac:dyDescent="0.3">
      <c r="B13" s="5">
        <v>59.72</v>
      </c>
      <c r="C13" s="5">
        <v>28.09</v>
      </c>
      <c r="D13" s="3" t="s">
        <v>2</v>
      </c>
      <c r="F13" s="1"/>
    </row>
    <row r="14" spans="1:6" x14ac:dyDescent="0.3">
      <c r="B14" s="5">
        <v>58.38</v>
      </c>
      <c r="C14" s="8">
        <v>35.83</v>
      </c>
      <c r="D14" s="3" t="s">
        <v>2</v>
      </c>
      <c r="F14" s="1"/>
    </row>
    <row r="15" spans="1:6" x14ac:dyDescent="0.3">
      <c r="A15" t="s">
        <v>0</v>
      </c>
      <c r="B15" s="6">
        <f>AVERAGE(B5:B14)</f>
        <v>60.318000000000005</v>
      </c>
      <c r="C15" s="6">
        <f>AVERAGE(C5:C14)</f>
        <v>32.347999999999999</v>
      </c>
      <c r="D15" s="3" t="s">
        <v>2</v>
      </c>
      <c r="F15" s="1"/>
    </row>
    <row r="16" spans="1:6" x14ac:dyDescent="0.3">
      <c r="A16" t="s">
        <v>21</v>
      </c>
      <c r="B16" s="7">
        <f>STDEV(B5:B14)</f>
        <v>5.0561948802104792</v>
      </c>
      <c r="C16" s="7">
        <f>STDEV(C5:C14)</f>
        <v>3.0720018807864613</v>
      </c>
      <c r="D16" s="3" t="s">
        <v>2</v>
      </c>
      <c r="E16" s="13">
        <f>AVERAGE(B16:C16)</f>
        <v>4.0640983804984705</v>
      </c>
      <c r="F16" s="1"/>
    </row>
    <row r="17" spans="1:6" x14ac:dyDescent="0.3">
      <c r="A17" s="25" t="s">
        <v>20</v>
      </c>
      <c r="B17" s="26">
        <f>1/B15*60</f>
        <v>0.99472794190788816</v>
      </c>
      <c r="C17" s="26">
        <f>1/C15*60</f>
        <v>1.854828737479906</v>
      </c>
      <c r="D17" s="27" t="s">
        <v>2</v>
      </c>
      <c r="E17" s="1"/>
    </row>
    <row r="18" spans="1:6" x14ac:dyDescent="0.3">
      <c r="A18" s="15" t="s">
        <v>19</v>
      </c>
      <c r="B18" s="16">
        <f>B17*0.51*0.561</f>
        <v>0.28460161145926588</v>
      </c>
      <c r="C18" s="16">
        <f>C17*0.51*0.561</f>
        <v>0.53068505008037592</v>
      </c>
      <c r="D18" s="17" t="s">
        <v>2</v>
      </c>
    </row>
    <row r="19" spans="1:6" x14ac:dyDescent="0.3">
      <c r="A19" s="18" t="s">
        <v>22</v>
      </c>
      <c r="B19" s="19">
        <f>1/((B15-B16)/60)-B17</f>
        <v>9.1012921423297199E-2</v>
      </c>
      <c r="C19" s="19">
        <f>1/((C15-C16)/60)-C17</f>
        <v>0.19463170296952192</v>
      </c>
      <c r="D19" s="19" t="s">
        <v>2</v>
      </c>
      <c r="E19" s="20">
        <f>AVERAGE(B19:C19)</f>
        <v>0.14282231219640956</v>
      </c>
      <c r="F19" s="24"/>
    </row>
    <row r="20" spans="1:6" x14ac:dyDescent="0.3">
      <c r="A20" s="18" t="s">
        <v>23</v>
      </c>
      <c r="B20" s="19">
        <f>1/((B15+B16)/60)-B17</f>
        <v>-7.6934612140049041E-2</v>
      </c>
      <c r="C20" s="19">
        <f>1/((C15+C16)/60)-C17</f>
        <v>-0.16087061173099282</v>
      </c>
      <c r="D20" s="19" t="s">
        <v>2</v>
      </c>
      <c r="E20" s="20">
        <f>AVERAGE(B20:C20)</f>
        <v>-0.11890261193552093</v>
      </c>
      <c r="F20" s="24"/>
    </row>
    <row r="21" spans="1:6" x14ac:dyDescent="0.3">
      <c r="A21" s="23" t="s">
        <v>24</v>
      </c>
      <c r="B21" s="21"/>
      <c r="C21" s="21"/>
      <c r="D21" s="21"/>
      <c r="E21" s="22">
        <f>(E19+(-1*E20))/2</f>
        <v>0.13086246206596525</v>
      </c>
      <c r="F21" s="21"/>
    </row>
    <row r="22" spans="1:6" x14ac:dyDescent="0.3">
      <c r="A22" t="s">
        <v>5</v>
      </c>
      <c r="B22" s="5">
        <v>55.22</v>
      </c>
      <c r="C22" s="5">
        <v>28.04</v>
      </c>
      <c r="D22" s="3" t="s">
        <v>2</v>
      </c>
      <c r="E22" s="1"/>
    </row>
    <row r="23" spans="1:6" x14ac:dyDescent="0.3">
      <c r="A23" s="1"/>
      <c r="B23" s="5">
        <v>53.74</v>
      </c>
      <c r="C23" s="5">
        <v>29.47</v>
      </c>
      <c r="D23" s="3" t="s">
        <v>2</v>
      </c>
      <c r="E23" s="1"/>
    </row>
    <row r="24" spans="1:6" x14ac:dyDescent="0.3">
      <c r="A24" s="1"/>
      <c r="B24" s="5">
        <v>50.49</v>
      </c>
      <c r="C24" s="5">
        <v>24.57</v>
      </c>
      <c r="D24" s="3" t="s">
        <v>2</v>
      </c>
      <c r="E24" s="1"/>
    </row>
    <row r="25" spans="1:6" x14ac:dyDescent="0.3">
      <c r="A25" s="1"/>
      <c r="B25" s="5">
        <v>51.76</v>
      </c>
      <c r="C25" s="5">
        <v>25.16</v>
      </c>
      <c r="D25" s="3" t="s">
        <v>2</v>
      </c>
      <c r="E25" s="1"/>
    </row>
    <row r="26" spans="1:6" x14ac:dyDescent="0.3">
      <c r="A26" s="1"/>
      <c r="B26" s="5">
        <v>50.42</v>
      </c>
      <c r="C26" s="5">
        <v>27.38</v>
      </c>
      <c r="D26" s="3" t="s">
        <v>2</v>
      </c>
      <c r="E26" s="1"/>
    </row>
    <row r="27" spans="1:6" x14ac:dyDescent="0.3">
      <c r="A27" s="1"/>
      <c r="B27" s="5">
        <v>55.27</v>
      </c>
      <c r="C27" s="5">
        <v>28.84</v>
      </c>
      <c r="D27" s="3" t="s">
        <v>2</v>
      </c>
      <c r="E27" s="1"/>
    </row>
    <row r="28" spans="1:6" x14ac:dyDescent="0.3">
      <c r="A28" s="1"/>
      <c r="B28" s="5">
        <v>57</v>
      </c>
      <c r="C28" s="5">
        <v>26.02</v>
      </c>
      <c r="D28" s="3" t="s">
        <v>2</v>
      </c>
      <c r="E28" s="1"/>
    </row>
    <row r="29" spans="1:6" x14ac:dyDescent="0.3">
      <c r="A29" s="1"/>
      <c r="B29" s="5">
        <v>50.25</v>
      </c>
      <c r="C29" s="5">
        <v>27.88</v>
      </c>
      <c r="D29" s="3" t="s">
        <v>2</v>
      </c>
      <c r="E29" s="1"/>
    </row>
    <row r="30" spans="1:6" x14ac:dyDescent="0.3">
      <c r="A30" s="1"/>
      <c r="B30" s="5">
        <v>57.03</v>
      </c>
      <c r="C30" s="8">
        <v>28.64</v>
      </c>
      <c r="D30" s="3" t="s">
        <v>2</v>
      </c>
      <c r="E30" s="1"/>
    </row>
    <row r="31" spans="1:6" x14ac:dyDescent="0.3">
      <c r="A31" s="1"/>
      <c r="B31" s="5">
        <v>51.64</v>
      </c>
      <c r="C31" s="8">
        <v>28.17</v>
      </c>
      <c r="D31" s="3" t="s">
        <v>2</v>
      </c>
      <c r="E31" s="1"/>
    </row>
    <row r="32" spans="1:6" x14ac:dyDescent="0.3">
      <c r="A32" t="s">
        <v>0</v>
      </c>
      <c r="B32" s="6">
        <f>AVERAGE(B22:B31)</f>
        <v>53.281999999999996</v>
      </c>
      <c r="C32" s="6">
        <f>AVERAGE(C22:C31)</f>
        <v>27.417000000000002</v>
      </c>
      <c r="D32" s="3" t="s">
        <v>2</v>
      </c>
      <c r="E32" s="1"/>
    </row>
    <row r="33" spans="1:5" x14ac:dyDescent="0.3">
      <c r="A33" t="s">
        <v>21</v>
      </c>
      <c r="B33" s="7">
        <f>STDEV(B22:B31)</f>
        <v>2.7076180593938202</v>
      </c>
      <c r="C33" s="7">
        <f>STDEV(C22:C31)</f>
        <v>1.6349451231021654</v>
      </c>
      <c r="D33" s="3" t="s">
        <v>2</v>
      </c>
      <c r="E33" s="13">
        <f>AVERAGE(B33:C33)</f>
        <v>2.1712815912479928</v>
      </c>
    </row>
    <row r="34" spans="1:5" x14ac:dyDescent="0.3">
      <c r="A34" s="25" t="s">
        <v>20</v>
      </c>
      <c r="B34" s="26">
        <f>1/B32*60</f>
        <v>1.1260838557111221</v>
      </c>
      <c r="C34" s="26">
        <f>1/C32*60</f>
        <v>2.1884232410548199</v>
      </c>
      <c r="D34" s="27" t="s">
        <v>2</v>
      </c>
    </row>
    <row r="35" spans="1:5" x14ac:dyDescent="0.3">
      <c r="A35" s="15" t="s">
        <v>19</v>
      </c>
      <c r="B35" s="16">
        <f>B34*0.4*0.561</f>
        <v>0.25269321722157584</v>
      </c>
      <c r="C35" s="16">
        <f>C34*0.4*0.561</f>
        <v>0.49108217529270165</v>
      </c>
      <c r="D35" s="17" t="s">
        <v>2</v>
      </c>
    </row>
    <row r="36" spans="1:5" x14ac:dyDescent="0.3">
      <c r="A36" s="18" t="s">
        <v>22</v>
      </c>
      <c r="B36" s="19">
        <f>1/((B32-B33)/60)-B34</f>
        <v>6.0287538218380288E-2</v>
      </c>
      <c r="C36" s="19">
        <f>1/((C32-C33)/60)-C34</f>
        <v>0.13877683227073057</v>
      </c>
      <c r="D36" s="19" t="s">
        <v>2</v>
      </c>
      <c r="E36" s="20">
        <f>AVERAGE(B36:C36)</f>
        <v>9.9532185244555427E-2</v>
      </c>
    </row>
    <row r="37" spans="1:5" x14ac:dyDescent="0.3">
      <c r="A37" s="18" t="s">
        <v>23</v>
      </c>
      <c r="B37" s="19">
        <f>1/((B32+B33)/60)-B34</f>
        <v>-5.4456613382875441E-2</v>
      </c>
      <c r="C37" s="19">
        <f>1/((C32+C33)/60)-C34</f>
        <v>-0.12315705162202084</v>
      </c>
      <c r="D37" s="19" t="s">
        <v>2</v>
      </c>
      <c r="E37" s="20">
        <f>AVERAGE(B37:C37)</f>
        <v>-8.8806832502448141E-2</v>
      </c>
    </row>
    <row r="38" spans="1:5" x14ac:dyDescent="0.3">
      <c r="A38" s="23" t="s">
        <v>24</v>
      </c>
      <c r="B38" s="21"/>
      <c r="C38" s="21"/>
      <c r="D38" s="21"/>
      <c r="E38" s="22">
        <f>(E36+(-1*E37))/2</f>
        <v>9.4169508873501784E-2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0AF5-6B69-43F5-8ACC-F3CCBD4309E1}">
  <dimension ref="A1:E38"/>
  <sheetViews>
    <sheetView workbookViewId="0">
      <selection activeCell="I21" sqref="I21"/>
    </sheetView>
  </sheetViews>
  <sheetFormatPr defaultRowHeight="14.4" x14ac:dyDescent="0.3"/>
  <cols>
    <col min="1" max="1" width="48.33203125" bestFit="1" customWidth="1"/>
    <col min="2" max="4" width="7.109375" bestFit="1" customWidth="1"/>
  </cols>
  <sheetData>
    <row r="1" spans="1:5" x14ac:dyDescent="0.3">
      <c r="A1" t="s">
        <v>7</v>
      </c>
      <c r="B1" s="3">
        <v>50</v>
      </c>
      <c r="C1" s="3">
        <v>75</v>
      </c>
      <c r="D1" s="3">
        <v>100</v>
      </c>
    </row>
    <row r="2" spans="1:5" x14ac:dyDescent="0.3">
      <c r="A2" t="s">
        <v>10</v>
      </c>
      <c r="B2" s="2">
        <f>0.144*24</f>
        <v>3.4559999999999995</v>
      </c>
      <c r="C2" s="2">
        <f>0.308*24</f>
        <v>7.3919999999999995</v>
      </c>
      <c r="D2" s="5">
        <f>0.534*24</f>
        <v>12.816000000000001</v>
      </c>
    </row>
    <row r="3" spans="1:5" x14ac:dyDescent="0.3">
      <c r="A3" t="s">
        <v>1</v>
      </c>
      <c r="B3" s="4">
        <v>46</v>
      </c>
      <c r="C3" s="4">
        <v>45</v>
      </c>
      <c r="D3" s="4">
        <v>37</v>
      </c>
    </row>
    <row r="4" spans="1:5" x14ac:dyDescent="0.3">
      <c r="A4" t="s">
        <v>3</v>
      </c>
      <c r="B4" s="4">
        <v>21</v>
      </c>
      <c r="C4" s="3">
        <v>37</v>
      </c>
      <c r="D4" s="3">
        <v>67</v>
      </c>
    </row>
    <row r="5" spans="1:5" x14ac:dyDescent="0.3">
      <c r="A5" t="s">
        <v>4</v>
      </c>
      <c r="B5" s="5">
        <v>41.43</v>
      </c>
      <c r="C5" s="5">
        <v>18.88</v>
      </c>
      <c r="D5" s="5">
        <v>13.36</v>
      </c>
      <c r="E5" s="1"/>
    </row>
    <row r="6" spans="1:5" x14ac:dyDescent="0.3">
      <c r="B6" s="5">
        <v>38.18</v>
      </c>
      <c r="C6" s="5">
        <v>20.86</v>
      </c>
      <c r="D6" s="5">
        <v>13.99</v>
      </c>
      <c r="E6" s="1"/>
    </row>
    <row r="7" spans="1:5" x14ac:dyDescent="0.3">
      <c r="B7" s="5">
        <v>42.4</v>
      </c>
      <c r="C7" s="5">
        <v>20.55</v>
      </c>
      <c r="D7" s="5">
        <v>12.99</v>
      </c>
      <c r="E7" s="1"/>
    </row>
    <row r="8" spans="1:5" x14ac:dyDescent="0.3">
      <c r="B8" s="5">
        <v>38.93</v>
      </c>
      <c r="C8" s="5">
        <v>19.66</v>
      </c>
      <c r="D8" s="5">
        <v>12.4</v>
      </c>
      <c r="E8" s="1"/>
    </row>
    <row r="9" spans="1:5" x14ac:dyDescent="0.3">
      <c r="B9" s="5">
        <v>39.51</v>
      </c>
      <c r="C9" s="5">
        <v>21.15</v>
      </c>
      <c r="D9" s="5">
        <v>13.82</v>
      </c>
      <c r="E9" s="1"/>
    </row>
    <row r="10" spans="1:5" x14ac:dyDescent="0.3">
      <c r="B10" s="5">
        <v>37.880000000000003</v>
      </c>
      <c r="C10" s="5">
        <v>20.51</v>
      </c>
      <c r="D10" s="5">
        <v>14.55</v>
      </c>
      <c r="E10" s="1"/>
    </row>
    <row r="11" spans="1:5" x14ac:dyDescent="0.3">
      <c r="B11" s="5">
        <v>38.979999999999997</v>
      </c>
      <c r="C11" s="5">
        <v>19.03</v>
      </c>
      <c r="D11" s="5">
        <v>15.132</v>
      </c>
      <c r="E11" s="1"/>
    </row>
    <row r="12" spans="1:5" x14ac:dyDescent="0.3">
      <c r="B12" s="5">
        <v>37.270000000000003</v>
      </c>
      <c r="C12" s="5">
        <v>17.64</v>
      </c>
      <c r="D12" s="5">
        <v>13.81</v>
      </c>
      <c r="E12" s="1"/>
    </row>
    <row r="13" spans="1:5" x14ac:dyDescent="0.3">
      <c r="B13" s="8">
        <v>45.54</v>
      </c>
      <c r="C13" s="5">
        <v>17.77</v>
      </c>
      <c r="D13" s="5">
        <v>12.9</v>
      </c>
      <c r="E13" s="1"/>
    </row>
    <row r="14" spans="1:5" x14ac:dyDescent="0.3">
      <c r="B14" s="8">
        <v>36</v>
      </c>
      <c r="C14" s="5">
        <v>21.81</v>
      </c>
      <c r="D14" s="5">
        <v>14.02</v>
      </c>
      <c r="E14" s="1"/>
    </row>
    <row r="15" spans="1:5" x14ac:dyDescent="0.3">
      <c r="A15" t="s">
        <v>0</v>
      </c>
      <c r="B15" s="6">
        <f>AVERAGE(B5:B14)</f>
        <v>39.612000000000002</v>
      </c>
      <c r="C15" s="6">
        <f>AVERAGE(C5:C14)</f>
        <v>19.785999999999998</v>
      </c>
      <c r="D15" s="6">
        <f>AVERAGE(D5:D14)</f>
        <v>13.6972</v>
      </c>
      <c r="E15" s="1"/>
    </row>
    <row r="16" spans="1:5" x14ac:dyDescent="0.3">
      <c r="A16" t="s">
        <v>21</v>
      </c>
      <c r="B16" s="7">
        <f>STDEV(B5:B14)</f>
        <v>2.8023038141262742</v>
      </c>
      <c r="C16" s="7">
        <f>STDEV(C5:C14)</f>
        <v>1.4258034771859531</v>
      </c>
      <c r="D16" s="11">
        <f>STDEV(D5:D14)</f>
        <v>0.81211285477382311</v>
      </c>
      <c r="E16" s="13">
        <f>AVERAGE(B16:D16)</f>
        <v>1.6800733820286835</v>
      </c>
    </row>
    <row r="17" spans="1:5" x14ac:dyDescent="0.3">
      <c r="A17" s="25" t="s">
        <v>20</v>
      </c>
      <c r="B17" s="26">
        <f>1/B15*60</f>
        <v>1.514692517418964</v>
      </c>
      <c r="C17" s="26">
        <f>1/C15*60</f>
        <v>3.0324471848781966</v>
      </c>
      <c r="D17" s="26">
        <f>1/D15*60</f>
        <v>4.3804573197441812</v>
      </c>
      <c r="E17" s="1"/>
    </row>
    <row r="18" spans="1:5" x14ac:dyDescent="0.3">
      <c r="A18" s="15" t="s">
        <v>19</v>
      </c>
      <c r="B18" s="16">
        <f>B17*0.45*0.561</f>
        <v>0.38238412602241756</v>
      </c>
      <c r="C18" s="16">
        <f t="shared" ref="C18:D18" si="0">C17*0.45*0.561</f>
        <v>0.76554129182250075</v>
      </c>
      <c r="D18" s="16">
        <f t="shared" si="0"/>
        <v>1.1058464503694185</v>
      </c>
    </row>
    <row r="19" spans="1:5" x14ac:dyDescent="0.3">
      <c r="A19" s="18" t="s">
        <v>22</v>
      </c>
      <c r="B19" s="19">
        <f>1/((B15-B16)/60)-B17</f>
        <v>0.11531278599415962</v>
      </c>
      <c r="C19" s="19">
        <f>1/((C15-C16)/60)-C17</f>
        <v>0.23549169178061824</v>
      </c>
      <c r="D19" s="19">
        <f>1/((D15-D16)/60)-D17</f>
        <v>0.27608860220012765</v>
      </c>
      <c r="E19" s="20">
        <f>AVERAGE(B19:C19)</f>
        <v>0.17540223888738893</v>
      </c>
    </row>
    <row r="20" spans="1:5" x14ac:dyDescent="0.3">
      <c r="A20" s="18" t="s">
        <v>23</v>
      </c>
      <c r="B20" s="19">
        <f>1/((B15+B16)/60)-B17</f>
        <v>-0.10007540468878351</v>
      </c>
      <c r="C20" s="19">
        <f>1/((C15+C16)/60)-C17</f>
        <v>-0.20383338669115769</v>
      </c>
      <c r="D20" s="19">
        <f>1/((D15+D16)/60)-D17</f>
        <v>-0.24518223121654437</v>
      </c>
      <c r="E20" s="20">
        <f>AVERAGE(B20:C20)</f>
        <v>-0.1519543956899706</v>
      </c>
    </row>
    <row r="21" spans="1:5" x14ac:dyDescent="0.3">
      <c r="A21" s="23" t="s">
        <v>24</v>
      </c>
      <c r="B21" s="21"/>
      <c r="C21" s="21"/>
      <c r="D21" s="21"/>
      <c r="E21" s="22">
        <f>(E19+(-1*E20))/2</f>
        <v>0.16367831728867976</v>
      </c>
    </row>
    <row r="22" spans="1:5" x14ac:dyDescent="0.3">
      <c r="A22" t="s">
        <v>5</v>
      </c>
      <c r="B22" s="5">
        <v>34.96</v>
      </c>
      <c r="C22" s="5">
        <v>18.190000000000001</v>
      </c>
      <c r="D22" s="5">
        <v>11.74</v>
      </c>
      <c r="E22" s="1"/>
    </row>
    <row r="23" spans="1:5" x14ac:dyDescent="0.3">
      <c r="A23" s="1"/>
      <c r="B23" s="5">
        <v>33.01</v>
      </c>
      <c r="C23" s="5">
        <v>16.89</v>
      </c>
      <c r="D23" s="5">
        <v>11.53</v>
      </c>
      <c r="E23" s="1"/>
    </row>
    <row r="24" spans="1:5" x14ac:dyDescent="0.3">
      <c r="A24" s="1"/>
      <c r="B24" s="5">
        <v>34.74</v>
      </c>
      <c r="C24" s="5">
        <v>17.28</v>
      </c>
      <c r="D24" s="5">
        <v>12.16</v>
      </c>
      <c r="E24" s="1"/>
    </row>
    <row r="25" spans="1:5" x14ac:dyDescent="0.3">
      <c r="A25" s="1"/>
      <c r="B25" s="5">
        <v>33.130000000000003</v>
      </c>
      <c r="C25" s="5">
        <v>18.260000000000002</v>
      </c>
      <c r="D25" s="5">
        <v>11.96</v>
      </c>
      <c r="E25" s="1"/>
    </row>
    <row r="26" spans="1:5" x14ac:dyDescent="0.3">
      <c r="A26" s="1"/>
      <c r="B26" s="5">
        <v>35.119999999999997</v>
      </c>
      <c r="C26" s="5">
        <v>18.53</v>
      </c>
      <c r="D26" s="5">
        <v>11.77</v>
      </c>
      <c r="E26" s="1"/>
    </row>
    <row r="27" spans="1:5" x14ac:dyDescent="0.3">
      <c r="A27" s="1"/>
      <c r="B27" s="5">
        <v>38.15</v>
      </c>
      <c r="C27" s="5">
        <v>17.55</v>
      </c>
      <c r="D27" s="5">
        <v>12.01</v>
      </c>
      <c r="E27" s="1"/>
    </row>
    <row r="28" spans="1:5" x14ac:dyDescent="0.3">
      <c r="A28" s="1"/>
      <c r="B28" s="5">
        <v>38.61</v>
      </c>
      <c r="C28" s="5">
        <v>17.66</v>
      </c>
      <c r="D28" s="5">
        <v>12.25</v>
      </c>
      <c r="E28" s="1"/>
    </row>
    <row r="29" spans="1:5" x14ac:dyDescent="0.3">
      <c r="A29" s="1"/>
      <c r="B29" s="5">
        <v>38.229999999999997</v>
      </c>
      <c r="C29" s="5">
        <v>18.46</v>
      </c>
      <c r="D29" s="5">
        <v>12.32</v>
      </c>
      <c r="E29" s="1"/>
    </row>
    <row r="30" spans="1:5" x14ac:dyDescent="0.3">
      <c r="A30" s="1"/>
      <c r="B30" s="5">
        <v>32.880000000000003</v>
      </c>
      <c r="C30" s="5">
        <v>18.579999999999998</v>
      </c>
      <c r="D30" s="5">
        <v>13.24</v>
      </c>
      <c r="E30" s="1"/>
    </row>
    <row r="31" spans="1:5" x14ac:dyDescent="0.3">
      <c r="A31" s="1"/>
      <c r="B31" s="8">
        <v>33.81</v>
      </c>
      <c r="C31" s="5">
        <v>17.64</v>
      </c>
      <c r="D31" s="5">
        <v>12.83</v>
      </c>
      <c r="E31" s="1"/>
    </row>
    <row r="32" spans="1:5" x14ac:dyDescent="0.3">
      <c r="A32" t="s">
        <v>0</v>
      </c>
      <c r="B32" s="6">
        <f>AVERAGE(B22:B31)</f>
        <v>35.264000000000003</v>
      </c>
      <c r="C32" s="6">
        <f>AVERAGE(C22:C31)</f>
        <v>17.903999999999996</v>
      </c>
      <c r="D32" s="6">
        <f>AVERAGE(D22:D31)</f>
        <v>12.181000000000001</v>
      </c>
      <c r="E32" s="1"/>
    </row>
    <row r="33" spans="1:5" x14ac:dyDescent="0.3">
      <c r="A33" t="s">
        <v>21</v>
      </c>
      <c r="B33" s="7">
        <f>STDEV(B22:B31)</f>
        <v>2.2642545989550036</v>
      </c>
      <c r="C33" s="11">
        <f>STDEV(C22:C31)</f>
        <v>0.58105650901325134</v>
      </c>
      <c r="D33" s="11">
        <f>STDEV(D22:D31)</f>
        <v>0.51988139673070322</v>
      </c>
      <c r="E33" s="13">
        <f>AVERAGE(B33:D33)</f>
        <v>1.1217308348996526</v>
      </c>
    </row>
    <row r="34" spans="1:5" x14ac:dyDescent="0.3">
      <c r="A34" s="25" t="s">
        <v>20</v>
      </c>
      <c r="B34" s="26">
        <f>1/B32*60</f>
        <v>1.7014519056261341</v>
      </c>
      <c r="C34" s="26">
        <f>1/C32*60</f>
        <v>3.3512064343163548</v>
      </c>
      <c r="D34" s="26">
        <f>1/D32*60</f>
        <v>4.9257039651916914</v>
      </c>
    </row>
    <row r="35" spans="1:5" x14ac:dyDescent="0.3">
      <c r="A35" s="15" t="s">
        <v>19</v>
      </c>
      <c r="B35" s="16">
        <f>B34*0.4*0.561</f>
        <v>0.3818058076225046</v>
      </c>
      <c r="C35" s="16">
        <f t="shared" ref="C35:D35" si="1">C34*0.4*0.561</f>
        <v>0.75201072386059009</v>
      </c>
      <c r="D35" s="16">
        <f t="shared" si="1"/>
        <v>1.1053279697890157</v>
      </c>
    </row>
    <row r="36" spans="1:5" x14ac:dyDescent="0.3">
      <c r="A36" s="18" t="s">
        <v>22</v>
      </c>
      <c r="B36" s="19">
        <f>1/((B32-B33)/60)-B34</f>
        <v>0.11674394015454248</v>
      </c>
      <c r="C36" s="19">
        <f>1/((C32-C33)/60)-C34</f>
        <v>0.11240816624032535</v>
      </c>
      <c r="D36" s="19">
        <f>1/((D32-D33)/60)-D34</f>
        <v>0.21960001818246599</v>
      </c>
      <c r="E36" s="20">
        <f>AVERAGE(B36:C36)</f>
        <v>0.11457605319743391</v>
      </c>
    </row>
    <row r="37" spans="1:5" x14ac:dyDescent="0.3">
      <c r="A37" s="18" t="s">
        <v>23</v>
      </c>
      <c r="B37" s="19">
        <f>1/((B32+B33)/60)-B34</f>
        <v>-0.10265652755196375</v>
      </c>
      <c r="C37" s="19">
        <f>1/((C32+C33)/60)-C34</f>
        <v>-0.10534132317946376</v>
      </c>
      <c r="D37" s="19">
        <f>1/((D32+D33)/60)-D34</f>
        <v>-0.20162237385863513</v>
      </c>
      <c r="E37" s="20">
        <f>AVERAGE(B37:C37)</f>
        <v>-0.10399892536571376</v>
      </c>
    </row>
    <row r="38" spans="1:5" x14ac:dyDescent="0.3">
      <c r="A38" s="23" t="s">
        <v>24</v>
      </c>
      <c r="B38" s="21"/>
      <c r="C38" s="21"/>
      <c r="D38" s="21"/>
      <c r="E38" s="22">
        <f>(E36+(-1*E37))/2</f>
        <v>0.10928748928157384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D7C9-8E2F-4A11-917B-9E51A062175E}">
  <dimension ref="A1:E38"/>
  <sheetViews>
    <sheetView workbookViewId="0">
      <selection activeCell="I20" sqref="I20"/>
    </sheetView>
  </sheetViews>
  <sheetFormatPr defaultRowHeight="14.4" x14ac:dyDescent="0.3"/>
  <cols>
    <col min="1" max="1" width="48.33203125" bestFit="1" customWidth="1"/>
    <col min="2" max="4" width="7.109375" bestFit="1" customWidth="1"/>
  </cols>
  <sheetData>
    <row r="1" spans="1:5" x14ac:dyDescent="0.3">
      <c r="A1" t="s">
        <v>7</v>
      </c>
      <c r="B1" s="3">
        <v>50</v>
      </c>
      <c r="C1" s="3">
        <v>75</v>
      </c>
      <c r="D1" s="3">
        <v>100</v>
      </c>
    </row>
    <row r="2" spans="1:5" x14ac:dyDescent="0.3">
      <c r="A2" t="s">
        <v>10</v>
      </c>
      <c r="B2" s="2">
        <f>0.153*24</f>
        <v>3.6719999999999997</v>
      </c>
      <c r="C2" s="2">
        <f>0.287*24</f>
        <v>6.8879999999999999</v>
      </c>
      <c r="D2" s="5">
        <f>0.45*24</f>
        <v>10.8</v>
      </c>
    </row>
    <row r="3" spans="1:5" x14ac:dyDescent="0.3">
      <c r="A3" t="s">
        <v>1</v>
      </c>
      <c r="B3" s="4">
        <v>40</v>
      </c>
      <c r="C3" s="4">
        <v>39</v>
      </c>
      <c r="D3" s="4">
        <v>32</v>
      </c>
    </row>
    <row r="4" spans="1:5" x14ac:dyDescent="0.3">
      <c r="A4" t="s">
        <v>3</v>
      </c>
      <c r="B4" s="4">
        <v>20</v>
      </c>
      <c r="C4" s="3">
        <v>37</v>
      </c>
      <c r="D4" s="3">
        <v>67</v>
      </c>
    </row>
    <row r="5" spans="1:5" x14ac:dyDescent="0.3">
      <c r="A5" t="s">
        <v>6</v>
      </c>
      <c r="B5" s="5">
        <v>35.49</v>
      </c>
      <c r="C5" s="5">
        <v>20.9</v>
      </c>
      <c r="D5" s="5">
        <v>14.53</v>
      </c>
      <c r="E5" s="1"/>
    </row>
    <row r="6" spans="1:5" x14ac:dyDescent="0.3">
      <c r="B6" s="5">
        <v>37.44</v>
      </c>
      <c r="C6" s="5">
        <v>22.05</v>
      </c>
      <c r="D6" s="5">
        <v>16.71</v>
      </c>
      <c r="E6" s="1"/>
    </row>
    <row r="7" spans="1:5" x14ac:dyDescent="0.3">
      <c r="B7" s="5">
        <v>33.840000000000003</v>
      </c>
      <c r="C7" s="5">
        <v>18.53</v>
      </c>
      <c r="D7" s="5">
        <v>20.84</v>
      </c>
      <c r="E7" s="1"/>
    </row>
    <row r="8" spans="1:5" x14ac:dyDescent="0.3">
      <c r="B8" s="5">
        <v>40.76</v>
      </c>
      <c r="C8" s="5">
        <v>19.440000000000001</v>
      </c>
      <c r="D8" s="5">
        <v>17.440000000000001</v>
      </c>
      <c r="E8" s="1"/>
    </row>
    <row r="9" spans="1:5" x14ac:dyDescent="0.3">
      <c r="B9" s="5">
        <v>33.450000000000003</v>
      </c>
      <c r="C9" s="5">
        <v>22</v>
      </c>
      <c r="D9" s="5">
        <v>18.920000000000002</v>
      </c>
      <c r="E9" s="1"/>
    </row>
    <row r="10" spans="1:5" x14ac:dyDescent="0.3">
      <c r="B10" s="5">
        <v>42.68</v>
      </c>
      <c r="C10" s="5">
        <v>21.02</v>
      </c>
      <c r="D10" s="5">
        <v>23.11</v>
      </c>
      <c r="E10" s="1"/>
    </row>
    <row r="11" spans="1:5" x14ac:dyDescent="0.3">
      <c r="B11" s="5">
        <v>39.74</v>
      </c>
      <c r="C11" s="5">
        <v>18.41</v>
      </c>
      <c r="D11" s="5">
        <v>14.9</v>
      </c>
      <c r="E11" s="1"/>
    </row>
    <row r="12" spans="1:5" x14ac:dyDescent="0.3">
      <c r="B12" s="5">
        <v>41.72</v>
      </c>
      <c r="C12" s="5">
        <v>19.059999999999999</v>
      </c>
      <c r="D12" s="5">
        <v>19.63</v>
      </c>
      <c r="E12" s="1"/>
    </row>
    <row r="13" spans="1:5" x14ac:dyDescent="0.3">
      <c r="B13" s="8">
        <v>38.979999999999997</v>
      </c>
      <c r="C13" s="5">
        <v>22.03</v>
      </c>
      <c r="D13" s="5">
        <v>19.53</v>
      </c>
      <c r="E13" s="1"/>
    </row>
    <row r="14" spans="1:5" x14ac:dyDescent="0.3">
      <c r="B14" s="8">
        <v>34.700000000000003</v>
      </c>
      <c r="C14" s="5">
        <v>17.93</v>
      </c>
      <c r="D14" s="5">
        <v>19.71</v>
      </c>
      <c r="E14" s="1"/>
    </row>
    <row r="15" spans="1:5" x14ac:dyDescent="0.3">
      <c r="A15" t="s">
        <v>0</v>
      </c>
      <c r="B15" s="6">
        <f>AVERAGE(B5:B14)</f>
        <v>37.880000000000003</v>
      </c>
      <c r="C15" s="6">
        <f>AVERAGE(C5:C14)</f>
        <v>20.137</v>
      </c>
      <c r="D15" s="6">
        <f>AVERAGE(D5:D14)</f>
        <v>18.532000000000004</v>
      </c>
      <c r="E15" s="1"/>
    </row>
    <row r="16" spans="1:5" x14ac:dyDescent="0.3">
      <c r="A16" t="s">
        <v>21</v>
      </c>
      <c r="B16" s="7">
        <f>STDEV(B5:B14)</f>
        <v>3.3782671429134901</v>
      </c>
      <c r="C16" s="7">
        <f>STDEV(C5:C14)</f>
        <v>1.6383328246862554</v>
      </c>
      <c r="D16" s="7">
        <f>STDEV(D5:D14)</f>
        <v>2.6613355043411255</v>
      </c>
      <c r="E16" s="13">
        <f>AVERAGE(B16:D16)</f>
        <v>2.5593118239802903</v>
      </c>
    </row>
    <row r="17" spans="1:5" x14ac:dyDescent="0.3">
      <c r="A17" s="25" t="s">
        <v>20</v>
      </c>
      <c r="B17" s="26">
        <f>1/B15*60</f>
        <v>1.583949313621964</v>
      </c>
      <c r="C17" s="26">
        <f>1/C15*60</f>
        <v>2.9795898098028504</v>
      </c>
      <c r="D17" s="26">
        <f>1/D15*60</f>
        <v>3.2376429958989847</v>
      </c>
      <c r="E17" s="1"/>
    </row>
    <row r="18" spans="1:5" x14ac:dyDescent="0.3">
      <c r="A18" s="15" t="s">
        <v>19</v>
      </c>
      <c r="B18" s="16">
        <f>B17*0.51*0.561</f>
        <v>0.45318373812038021</v>
      </c>
      <c r="C18" s="16">
        <f t="shared" ref="C18:D18" si="0">C17*0.51*0.561</f>
        <v>0.85249044048269362</v>
      </c>
      <c r="D18" s="16">
        <f t="shared" si="0"/>
        <v>0.92632203755665865</v>
      </c>
    </row>
    <row r="19" spans="1:5" x14ac:dyDescent="0.3">
      <c r="A19" s="18" t="s">
        <v>22</v>
      </c>
      <c r="B19" s="19">
        <f>1/((B15-B16)/60)-B17</f>
        <v>0.15509377295379512</v>
      </c>
      <c r="C19" s="19">
        <f>1/((C15-C16)/60)-C17</f>
        <v>0.26388710836503204</v>
      </c>
      <c r="D19" s="19">
        <f>1/((D15-D16)/60)-D17</f>
        <v>0.54291704406732366</v>
      </c>
      <c r="E19" s="20">
        <f>AVERAGE(B19:C19)</f>
        <v>0.20949044065941358</v>
      </c>
    </row>
    <row r="20" spans="1:5" x14ac:dyDescent="0.3">
      <c r="A20" s="18" t="s">
        <v>23</v>
      </c>
      <c r="B20" s="19">
        <f>1/((B15+B16)/60)-B17</f>
        <v>-0.12969531424367031</v>
      </c>
      <c r="C20" s="19">
        <f>1/((C15+C16)/60)-C17</f>
        <v>-0.22417842376060282</v>
      </c>
      <c r="D20" s="19">
        <f>1/((D15+D16)/60)-D17</f>
        <v>-0.40656433026327488</v>
      </c>
      <c r="E20" s="20">
        <f>AVERAGE(B20:C20)</f>
        <v>-0.17693686900213657</v>
      </c>
    </row>
    <row r="21" spans="1:5" x14ac:dyDescent="0.3">
      <c r="A21" s="23" t="s">
        <v>24</v>
      </c>
      <c r="B21" s="21"/>
      <c r="C21" s="21"/>
      <c r="D21" s="21"/>
      <c r="E21" s="22">
        <f>(E19+(-1*E20))/2</f>
        <v>0.19321365483077507</v>
      </c>
    </row>
    <row r="22" spans="1:5" x14ac:dyDescent="0.3">
      <c r="A22" t="s">
        <v>5</v>
      </c>
      <c r="B22" s="5">
        <v>30.96</v>
      </c>
      <c r="C22" s="5">
        <v>16.57</v>
      </c>
      <c r="D22" s="5">
        <v>15.28</v>
      </c>
      <c r="E22" s="1"/>
    </row>
    <row r="23" spans="1:5" x14ac:dyDescent="0.3">
      <c r="A23" s="1"/>
      <c r="B23" s="5">
        <v>31</v>
      </c>
      <c r="C23" s="5">
        <v>16.57</v>
      </c>
      <c r="D23" s="5">
        <v>16.46</v>
      </c>
      <c r="E23" s="1"/>
    </row>
    <row r="24" spans="1:5" x14ac:dyDescent="0.3">
      <c r="A24" s="1"/>
      <c r="B24" s="5">
        <v>31.45</v>
      </c>
      <c r="C24" s="5">
        <v>19.03</v>
      </c>
      <c r="D24" s="5">
        <v>15.27</v>
      </c>
      <c r="E24" s="1"/>
    </row>
    <row r="25" spans="1:5" x14ac:dyDescent="0.3">
      <c r="A25" s="1"/>
      <c r="B25" s="5">
        <v>27.4</v>
      </c>
      <c r="C25" s="5">
        <v>17.059999999999999</v>
      </c>
      <c r="D25" s="5">
        <v>16.27</v>
      </c>
      <c r="E25" s="1"/>
    </row>
    <row r="26" spans="1:5" x14ac:dyDescent="0.3">
      <c r="A26" s="1"/>
      <c r="B26" s="5">
        <v>33.130000000000003</v>
      </c>
      <c r="C26" s="5">
        <v>19.399999999999999</v>
      </c>
      <c r="D26" s="5">
        <v>14.75</v>
      </c>
      <c r="E26" s="1"/>
    </row>
    <row r="27" spans="1:5" x14ac:dyDescent="0.3">
      <c r="A27" s="1"/>
      <c r="B27" s="5">
        <v>27.18</v>
      </c>
      <c r="C27" s="5">
        <v>16.87</v>
      </c>
      <c r="D27" s="5">
        <v>13.31</v>
      </c>
      <c r="E27" s="1"/>
    </row>
    <row r="28" spans="1:5" x14ac:dyDescent="0.3">
      <c r="A28" s="1"/>
      <c r="B28" s="5">
        <v>28.63</v>
      </c>
      <c r="C28" s="5">
        <v>18.52</v>
      </c>
      <c r="D28" s="5">
        <v>16.77</v>
      </c>
      <c r="E28" s="1"/>
    </row>
    <row r="29" spans="1:5" x14ac:dyDescent="0.3">
      <c r="A29" s="1"/>
      <c r="B29" s="5">
        <v>31.26</v>
      </c>
      <c r="C29" s="5">
        <v>18.079999999999998</v>
      </c>
      <c r="D29" s="5">
        <v>15.15</v>
      </c>
      <c r="E29" s="1"/>
    </row>
    <row r="30" spans="1:5" x14ac:dyDescent="0.3">
      <c r="A30" s="1"/>
      <c r="B30" s="8">
        <v>30.52</v>
      </c>
      <c r="C30" s="5">
        <v>17.02</v>
      </c>
      <c r="D30" s="5">
        <v>13.81</v>
      </c>
      <c r="E30" s="1"/>
    </row>
    <row r="31" spans="1:5" x14ac:dyDescent="0.3">
      <c r="A31" s="1"/>
      <c r="B31" s="8">
        <v>32.6</v>
      </c>
      <c r="C31" s="5">
        <v>17.96</v>
      </c>
      <c r="D31" s="5">
        <v>15.51</v>
      </c>
      <c r="E31" s="1"/>
    </row>
    <row r="32" spans="1:5" x14ac:dyDescent="0.3">
      <c r="A32" t="s">
        <v>0</v>
      </c>
      <c r="B32" s="6">
        <f>AVERAGE(B22:B31)</f>
        <v>30.413</v>
      </c>
      <c r="C32" s="6">
        <f>AVERAGE(C22:C31)</f>
        <v>17.708000000000002</v>
      </c>
      <c r="D32" s="6">
        <f>AVERAGE(D22:D31)</f>
        <v>15.257999999999999</v>
      </c>
      <c r="E32" s="1"/>
    </row>
    <row r="33" spans="1:5" x14ac:dyDescent="0.3">
      <c r="A33" t="s">
        <v>21</v>
      </c>
      <c r="B33" s="9">
        <f>STDEV(B22:B31)</f>
        <v>2.0364077849651507</v>
      </c>
      <c r="C33" s="9">
        <f>STDEV(C22:C31)</f>
        <v>1.0358764405082295</v>
      </c>
      <c r="D33" s="9">
        <f>STDEV(D22:D31)</f>
        <v>1.1045542087195175</v>
      </c>
      <c r="E33" s="13">
        <f>AVERAGE(B33:D33)</f>
        <v>1.3922794780642993</v>
      </c>
    </row>
    <row r="34" spans="1:5" x14ac:dyDescent="0.3">
      <c r="A34" s="25" t="s">
        <v>20</v>
      </c>
      <c r="B34" s="26">
        <f>1/B32*60</f>
        <v>1.9728405616019464</v>
      </c>
      <c r="C34" s="26">
        <f>1/C32*60</f>
        <v>3.3882990738649195</v>
      </c>
      <c r="D34" s="26">
        <f>1/D32*60</f>
        <v>3.9323633503735747</v>
      </c>
    </row>
    <row r="35" spans="1:5" x14ac:dyDescent="0.3">
      <c r="A35" s="15" t="s">
        <v>19</v>
      </c>
      <c r="B35" s="16">
        <f>B34*0.4*0.561</f>
        <v>0.44270542202347685</v>
      </c>
      <c r="C35" s="16">
        <f t="shared" ref="C35:D35" si="1">C34*0.4*0.561</f>
        <v>0.76033431217528813</v>
      </c>
      <c r="D35" s="16">
        <f t="shared" si="1"/>
        <v>0.88242233582383034</v>
      </c>
    </row>
    <row r="36" spans="1:5" x14ac:dyDescent="0.3">
      <c r="A36" s="18" t="s">
        <v>22</v>
      </c>
      <c r="B36" s="19">
        <f>1/((B32-B33)/60)-B34</f>
        <v>0.1415782363046616</v>
      </c>
      <c r="C36" s="19">
        <f>1/((C32-C33)/60)-C34</f>
        <v>0.21052262307726766</v>
      </c>
      <c r="D36" s="19">
        <f>1/((D32-D33)/60)-D34</f>
        <v>0.30688699790304197</v>
      </c>
      <c r="E36" s="20">
        <f>AVERAGE(B36:C36)</f>
        <v>0.17605042969096463</v>
      </c>
    </row>
    <row r="37" spans="1:5" x14ac:dyDescent="0.3">
      <c r="A37" s="18" t="s">
        <v>23</v>
      </c>
      <c r="B37" s="19">
        <f>1/((B32+B33)/60)-B34</f>
        <v>-0.12380835745183183</v>
      </c>
      <c r="C37" s="19">
        <f>1/((C32+C33)/60)-C34</f>
        <v>-0.18725364495186358</v>
      </c>
      <c r="D37" s="19">
        <f>1/((D32+D33)/60)-D34</f>
        <v>-0.26545418480904903</v>
      </c>
      <c r="E37" s="20">
        <f>AVERAGE(B37:C37)</f>
        <v>-0.15553100120184771</v>
      </c>
    </row>
    <row r="38" spans="1:5" x14ac:dyDescent="0.3">
      <c r="A38" s="23" t="s">
        <v>24</v>
      </c>
      <c r="B38" s="21"/>
      <c r="C38" s="21"/>
      <c r="D38" s="21"/>
      <c r="E38" s="22">
        <f>(E36+(-1*E37))/2</f>
        <v>0.16579071544640617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70D9-0C77-4CB7-B55E-2649BEFAC215}">
  <dimension ref="A1:E38"/>
  <sheetViews>
    <sheetView workbookViewId="0">
      <selection activeCell="I25" sqref="I25"/>
    </sheetView>
  </sheetViews>
  <sheetFormatPr defaultRowHeight="14.4" x14ac:dyDescent="0.3"/>
  <cols>
    <col min="1" max="1" width="48.33203125" bestFit="1" customWidth="1"/>
    <col min="2" max="4" width="7.109375" bestFit="1" customWidth="1"/>
  </cols>
  <sheetData>
    <row r="1" spans="1:5" x14ac:dyDescent="0.3">
      <c r="A1" t="s">
        <v>7</v>
      </c>
      <c r="B1" s="3">
        <v>50</v>
      </c>
      <c r="C1" s="3">
        <v>75</v>
      </c>
      <c r="D1" s="3">
        <v>100</v>
      </c>
    </row>
    <row r="2" spans="1:5" x14ac:dyDescent="0.3">
      <c r="A2" t="s">
        <v>10</v>
      </c>
      <c r="B2" s="2">
        <f>0.17*24</f>
        <v>4.08</v>
      </c>
      <c r="C2" s="2">
        <f>0.304*24</f>
        <v>7.2959999999999994</v>
      </c>
      <c r="D2" s="5">
        <f>0.483*24</f>
        <v>11.591999999999999</v>
      </c>
    </row>
    <row r="3" spans="1:5" x14ac:dyDescent="0.3">
      <c r="A3" t="s">
        <v>1</v>
      </c>
      <c r="B3" s="4">
        <v>45</v>
      </c>
      <c r="C3" s="4">
        <v>34</v>
      </c>
      <c r="D3" s="4">
        <v>30</v>
      </c>
    </row>
    <row r="4" spans="1:5" x14ac:dyDescent="0.3">
      <c r="A4" t="s">
        <v>3</v>
      </c>
      <c r="B4" s="4">
        <v>20</v>
      </c>
      <c r="C4" s="3">
        <v>35</v>
      </c>
      <c r="D4" s="3">
        <v>65</v>
      </c>
    </row>
    <row r="5" spans="1:5" x14ac:dyDescent="0.3">
      <c r="A5" t="s">
        <v>4</v>
      </c>
      <c r="B5" s="5">
        <v>24.13</v>
      </c>
      <c r="C5" s="5">
        <v>17.04</v>
      </c>
      <c r="D5" s="5">
        <v>20.55</v>
      </c>
      <c r="E5" s="1"/>
    </row>
    <row r="6" spans="1:5" x14ac:dyDescent="0.3">
      <c r="B6" s="5">
        <v>24.46</v>
      </c>
      <c r="C6" s="5">
        <v>21.16</v>
      </c>
      <c r="D6" s="5">
        <v>19.21</v>
      </c>
      <c r="E6" s="1"/>
    </row>
    <row r="7" spans="1:5" x14ac:dyDescent="0.3">
      <c r="B7" s="5">
        <v>24.29</v>
      </c>
      <c r="C7" s="5">
        <v>20.67</v>
      </c>
      <c r="D7" s="5">
        <v>18.47</v>
      </c>
      <c r="E7" s="1"/>
    </row>
    <row r="8" spans="1:5" x14ac:dyDescent="0.3">
      <c r="B8" s="5">
        <v>24.19</v>
      </c>
      <c r="C8" s="5">
        <v>19.3</v>
      </c>
      <c r="D8" s="5">
        <v>14.61</v>
      </c>
      <c r="E8" s="1"/>
    </row>
    <row r="9" spans="1:5" x14ac:dyDescent="0.3">
      <c r="B9" s="5">
        <v>23.5</v>
      </c>
      <c r="C9" s="5">
        <v>17.53</v>
      </c>
      <c r="D9" s="5">
        <v>16.84</v>
      </c>
      <c r="E9" s="1"/>
    </row>
    <row r="10" spans="1:5" x14ac:dyDescent="0.3">
      <c r="B10" s="5">
        <v>22.74</v>
      </c>
      <c r="C10" s="5">
        <v>18.38</v>
      </c>
      <c r="D10" s="5">
        <v>15.46</v>
      </c>
      <c r="E10" s="1"/>
    </row>
    <row r="11" spans="1:5" x14ac:dyDescent="0.3">
      <c r="B11" s="5">
        <v>24.76</v>
      </c>
      <c r="C11" s="5">
        <v>20.94</v>
      </c>
      <c r="D11" s="5">
        <v>17.760000000000002</v>
      </c>
      <c r="E11" s="1"/>
    </row>
    <row r="12" spans="1:5" x14ac:dyDescent="0.3">
      <c r="B12" s="5">
        <v>22.89</v>
      </c>
      <c r="C12" s="5">
        <v>17.55</v>
      </c>
      <c r="D12" s="5">
        <v>18.88</v>
      </c>
      <c r="E12" s="1"/>
    </row>
    <row r="13" spans="1:5" x14ac:dyDescent="0.3">
      <c r="B13" s="8">
        <v>26.66</v>
      </c>
      <c r="C13" s="5">
        <v>18.32</v>
      </c>
      <c r="D13" s="5">
        <v>18.18</v>
      </c>
      <c r="E13" s="1"/>
    </row>
    <row r="14" spans="1:5" x14ac:dyDescent="0.3">
      <c r="B14" s="8">
        <v>25.62</v>
      </c>
      <c r="C14" s="5">
        <v>19.21</v>
      </c>
      <c r="D14" s="5">
        <v>16.760000000000002</v>
      </c>
      <c r="E14" s="1"/>
    </row>
    <row r="15" spans="1:5" x14ac:dyDescent="0.3">
      <c r="A15" t="s">
        <v>0</v>
      </c>
      <c r="B15" s="6">
        <f>AVERAGE(B5:B14)</f>
        <v>24.323999999999998</v>
      </c>
      <c r="C15" s="6">
        <f>AVERAGE(C5:C14)</f>
        <v>19.010000000000002</v>
      </c>
      <c r="D15" s="6">
        <f>AVERAGE(D5:D14)</f>
        <v>17.672000000000004</v>
      </c>
      <c r="E15" s="1"/>
    </row>
    <row r="16" spans="1:5" x14ac:dyDescent="0.3">
      <c r="A16" t="s">
        <v>21</v>
      </c>
      <c r="B16" s="7">
        <f>STDEV(B5:B14)</f>
        <v>1.1853850757360576</v>
      </c>
      <c r="C16" s="7">
        <f>STDEV(C5:C14)</f>
        <v>1.5019616802331843</v>
      </c>
      <c r="D16" s="7">
        <f>STDEV(D5:D14)</f>
        <v>1.7889463068770086</v>
      </c>
      <c r="E16" s="13">
        <f>AVERAGE(B16:D16)</f>
        <v>1.4920976876154166</v>
      </c>
    </row>
    <row r="17" spans="1:5" x14ac:dyDescent="0.3">
      <c r="A17" s="25" t="s">
        <v>20</v>
      </c>
      <c r="B17" s="26">
        <f>1/B15*60</f>
        <v>2.4666995559940799</v>
      </c>
      <c r="C17" s="26">
        <f>1/C15*60</f>
        <v>3.156233561283535</v>
      </c>
      <c r="D17" s="26">
        <f>1/D15*60</f>
        <v>3.3952014486192841</v>
      </c>
      <c r="E17" s="1"/>
    </row>
    <row r="18" spans="1:5" x14ac:dyDescent="0.3">
      <c r="A18" s="15" t="s">
        <v>19</v>
      </c>
      <c r="B18" s="16">
        <f>B17*0.45*0.561</f>
        <v>0.62271830291070551</v>
      </c>
      <c r="C18" s="16">
        <f t="shared" ref="C18:D18" si="0">C17*0.45*0.561</f>
        <v>0.79679116254602855</v>
      </c>
      <c r="D18" s="16">
        <f t="shared" si="0"/>
        <v>0.85711860570393827</v>
      </c>
    </row>
    <row r="19" spans="1:5" x14ac:dyDescent="0.3">
      <c r="A19" s="18" t="s">
        <v>22</v>
      </c>
      <c r="B19" s="19">
        <f>1/((B15-B16)/60)-B17</f>
        <v>0.12636836083623804</v>
      </c>
      <c r="C19" s="19">
        <f>1/((C15-C16)/60)-C17</f>
        <v>0.27076373585278457</v>
      </c>
      <c r="D19" s="19">
        <f>1/((D15-D16)/60)-D17</f>
        <v>0.38240965559669204</v>
      </c>
      <c r="E19" s="20">
        <f>AVERAGE(B19:C19)</f>
        <v>0.1985660483445113</v>
      </c>
    </row>
    <row r="20" spans="1:5" x14ac:dyDescent="0.3">
      <c r="A20" s="18" t="s">
        <v>23</v>
      </c>
      <c r="B20" s="19">
        <f>1/((B15+B16)/60)-B17</f>
        <v>-0.11462404253646108</v>
      </c>
      <c r="C20" s="19">
        <f>1/((C15+C16)/60)-C17</f>
        <v>-0.23111109199673097</v>
      </c>
      <c r="D20" s="19">
        <f>1/((D15+D16)/60)-D17</f>
        <v>-0.31210368688312995</v>
      </c>
      <c r="E20" s="20">
        <f>AVERAGE(B20:C20)</f>
        <v>-0.17286756726659602</v>
      </c>
    </row>
    <row r="21" spans="1:5" x14ac:dyDescent="0.3">
      <c r="A21" s="23" t="s">
        <v>24</v>
      </c>
      <c r="B21" s="21"/>
      <c r="C21" s="21"/>
      <c r="D21" s="21"/>
      <c r="E21" s="22">
        <f>(E19+(-1*E20))/2</f>
        <v>0.18571680780555366</v>
      </c>
    </row>
    <row r="22" spans="1:5" x14ac:dyDescent="0.3">
      <c r="A22" t="s">
        <v>5</v>
      </c>
      <c r="B22" s="5">
        <v>26.96</v>
      </c>
      <c r="C22" s="5">
        <v>16.16</v>
      </c>
      <c r="D22" s="5">
        <v>15.7</v>
      </c>
      <c r="E22" s="1"/>
    </row>
    <row r="23" spans="1:5" x14ac:dyDescent="0.3">
      <c r="A23" s="1"/>
      <c r="B23" s="5">
        <v>24.09</v>
      </c>
      <c r="C23" s="5">
        <v>15.5</v>
      </c>
      <c r="D23" s="5">
        <v>14.07</v>
      </c>
      <c r="E23" s="1"/>
    </row>
    <row r="24" spans="1:5" x14ac:dyDescent="0.3">
      <c r="A24" s="1"/>
      <c r="B24" s="5">
        <v>24.75</v>
      </c>
      <c r="C24" s="5">
        <v>15.11</v>
      </c>
      <c r="D24" s="5">
        <v>13.52</v>
      </c>
      <c r="E24" s="1"/>
    </row>
    <row r="25" spans="1:5" x14ac:dyDescent="0.3">
      <c r="A25" s="1"/>
      <c r="B25" s="5">
        <v>25.44</v>
      </c>
      <c r="C25" s="5">
        <v>14.11</v>
      </c>
      <c r="D25" s="5">
        <v>13.41</v>
      </c>
      <c r="E25" s="1"/>
    </row>
    <row r="26" spans="1:5" x14ac:dyDescent="0.3">
      <c r="A26" s="1"/>
      <c r="B26" s="5">
        <v>25.25</v>
      </c>
      <c r="C26" s="5">
        <v>14.94</v>
      </c>
      <c r="D26" s="5">
        <v>15.33</v>
      </c>
      <c r="E26" s="1"/>
    </row>
    <row r="27" spans="1:5" x14ac:dyDescent="0.3">
      <c r="A27" s="1"/>
      <c r="B27" s="5">
        <v>23.89</v>
      </c>
      <c r="C27" s="5">
        <v>15.37</v>
      </c>
      <c r="D27" s="5">
        <v>14.26</v>
      </c>
      <c r="E27" s="1"/>
    </row>
    <row r="28" spans="1:5" x14ac:dyDescent="0.3">
      <c r="A28" s="1"/>
      <c r="B28" s="5">
        <v>24.97</v>
      </c>
      <c r="C28" s="5">
        <v>15.04</v>
      </c>
      <c r="D28" s="5">
        <v>15.38</v>
      </c>
      <c r="E28" s="1"/>
    </row>
    <row r="29" spans="1:5" x14ac:dyDescent="0.3">
      <c r="A29" s="1"/>
      <c r="B29" s="5">
        <v>24.82</v>
      </c>
      <c r="C29" s="5">
        <v>14.72</v>
      </c>
      <c r="D29" s="5">
        <v>15.75</v>
      </c>
      <c r="E29" s="1"/>
    </row>
    <row r="30" spans="1:5" x14ac:dyDescent="0.3">
      <c r="A30" s="1"/>
      <c r="B30" s="8">
        <v>26.35</v>
      </c>
      <c r="C30" s="5">
        <v>15.98</v>
      </c>
      <c r="D30" s="5">
        <v>15.11</v>
      </c>
      <c r="E30" s="1"/>
    </row>
    <row r="31" spans="1:5" x14ac:dyDescent="0.3">
      <c r="A31" s="1"/>
      <c r="B31" s="8">
        <v>25.6</v>
      </c>
      <c r="C31" s="5">
        <v>15.01</v>
      </c>
      <c r="D31" s="5">
        <v>13.15</v>
      </c>
      <c r="E31" s="1"/>
    </row>
    <row r="32" spans="1:5" x14ac:dyDescent="0.3">
      <c r="A32" t="s">
        <v>0</v>
      </c>
      <c r="B32" s="6">
        <f>AVERAGE(B22:B31)</f>
        <v>25.211999999999996</v>
      </c>
      <c r="C32" s="6">
        <f>AVERAGE(C22:C31)</f>
        <v>15.193999999999997</v>
      </c>
      <c r="D32" s="6">
        <f>AVERAGE(D22:D31)</f>
        <v>14.568000000000001</v>
      </c>
      <c r="E32" s="1"/>
    </row>
    <row r="33" spans="1:5" x14ac:dyDescent="0.3">
      <c r="A33" t="s">
        <v>21</v>
      </c>
      <c r="B33" s="11">
        <f>STDEV(B22:B31)</f>
        <v>0.94202854403557157</v>
      </c>
      <c r="C33" s="11">
        <f>STDEV(C22:C31)</f>
        <v>0.59669832318256866</v>
      </c>
      <c r="D33" s="7">
        <f>STDEV(D22:D31)</f>
        <v>1.0002866255895522</v>
      </c>
      <c r="E33" s="14">
        <f>AVERAGE(B33:D33)</f>
        <v>0.84633783093589743</v>
      </c>
    </row>
    <row r="34" spans="1:5" x14ac:dyDescent="0.3">
      <c r="A34" s="25" t="s">
        <v>20</v>
      </c>
      <c r="B34" s="26">
        <f>1/B32*60</f>
        <v>2.3798191337458356</v>
      </c>
      <c r="C34" s="26">
        <f>1/C32*60</f>
        <v>3.9489272081084645</v>
      </c>
      <c r="D34" s="26">
        <f>1/D32*60</f>
        <v>4.1186161449752872</v>
      </c>
    </row>
    <row r="35" spans="1:5" x14ac:dyDescent="0.3">
      <c r="A35" s="15" t="s">
        <v>19</v>
      </c>
      <c r="B35" s="16">
        <f>B34*0.4*0.561</f>
        <v>0.53403141361256556</v>
      </c>
      <c r="C35" s="16">
        <f t="shared" ref="C35:D35" si="1">C34*0.4*0.561</f>
        <v>0.88613926549953959</v>
      </c>
      <c r="D35" s="16">
        <f t="shared" si="1"/>
        <v>0.92421746293245455</v>
      </c>
    </row>
    <row r="36" spans="1:5" x14ac:dyDescent="0.3">
      <c r="A36" s="18" t="s">
        <v>22</v>
      </c>
      <c r="B36" s="19">
        <f>1/((B32-B33)/60)-B34</f>
        <v>9.2371660086136842E-2</v>
      </c>
      <c r="C36" s="19">
        <f>1/((C32-C33)/60)-C34</f>
        <v>0.16142149389092308</v>
      </c>
      <c r="D36" s="19">
        <f>1/((D32-D33)/60)-D34</f>
        <v>0.3036470871743342</v>
      </c>
      <c r="E36" s="20">
        <f>AVERAGE(B36:C36)</f>
        <v>0.12689657698852996</v>
      </c>
    </row>
    <row r="37" spans="1:5" x14ac:dyDescent="0.3">
      <c r="A37" s="18" t="s">
        <v>23</v>
      </c>
      <c r="B37" s="19">
        <f>1/((B32+B33)/60)-B34</f>
        <v>-8.5717485161261653E-2</v>
      </c>
      <c r="C37" s="19">
        <f>1/((C32+C33)/60)-C34</f>
        <v>-0.14922191503012838</v>
      </c>
      <c r="D37" s="19">
        <f>1/((D32+D33)/60)-D34</f>
        <v>-0.26462749208280067</v>
      </c>
      <c r="E37" s="20">
        <f>AVERAGE(B37:C37)</f>
        <v>-0.11746970009569502</v>
      </c>
    </row>
    <row r="38" spans="1:5" x14ac:dyDescent="0.3">
      <c r="A38" s="23" t="s">
        <v>24</v>
      </c>
      <c r="B38" s="21"/>
      <c r="C38" s="21"/>
      <c r="D38" s="21"/>
      <c r="E38" s="22">
        <f>(E36+(-1*E37))/2</f>
        <v>0.12218313854211249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Graphs flow rate</vt:lpstr>
      <vt:lpstr>Graphs additional</vt:lpstr>
      <vt:lpstr>Pump</vt:lpstr>
      <vt:lpstr>Flexible shelf</vt:lpstr>
      <vt:lpstr>Stiff shelf</vt:lpstr>
      <vt:lpstr>Balaenoptera acutorostrata</vt:lpstr>
      <vt:lpstr>Tursiops trancatus</vt:lpstr>
      <vt:lpstr>Eschrichtius robustus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</dc:creator>
  <cp:lastModifiedBy>Menno</cp:lastModifiedBy>
  <dcterms:created xsi:type="dcterms:W3CDTF">2022-06-23T11:54:01Z</dcterms:created>
  <dcterms:modified xsi:type="dcterms:W3CDTF">2022-07-31T22:30:59Z</dcterms:modified>
</cp:coreProperties>
</file>