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lar\Desktop\"/>
    </mc:Choice>
  </mc:AlternateContent>
  <xr:revisionPtr revIDLastSave="0" documentId="8_{E133C369-52F7-46F4-80C1-4781256CE2AA}" xr6:coauthVersionLast="45" xr6:coauthVersionMax="45" xr10:uidLastSave="{00000000-0000-0000-0000-000000000000}"/>
  <bookViews>
    <workbookView xWindow="-98" yWindow="-98" windowWidth="24496" windowHeight="15796" tabRatio="751" activeTab="3" xr2:uid="{00000000-000D-0000-FFFF-FFFF00000000}"/>
  </bookViews>
  <sheets>
    <sheet name="BS" sheetId="1" r:id="rId1"/>
    <sheet name="IS" sheetId="2" r:id="rId2"/>
    <sheet name="SE" sheetId="6" r:id="rId3"/>
    <sheet name="CF" sheetId="3" r:id="rId4"/>
    <sheet name="CF Worksheet" sheetId="4" r:id="rId5"/>
    <sheet name="Trial Balance" sheetId="7" state="hidden" r:id="rId6"/>
    <sheet name="Weighted" sheetId="8" r:id="rId7"/>
    <sheet name="Interest Expense" sheetId="9" r:id="rId8"/>
    <sheet name="Tax" sheetId="10" r:id="rId9"/>
    <sheet name="TB" sheetId="5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_123Graph_A" hidden="1">'[1]Invoiced as at Nov-02'!#REF!</definedName>
    <definedName name="__123Graph_B" hidden="1">'[1]Invoiced as at Nov-02'!#REF!</definedName>
    <definedName name="__123Graph_C" hidden="1">'[1]Invoiced as at Nov-02'!#REF!</definedName>
    <definedName name="__123Graph_D" hidden="1">'[1]Invoiced as at Nov-02'!#REF!</definedName>
    <definedName name="__123Graph_E" hidden="1">'[1]Invoiced as at Nov-02'!#REF!</definedName>
    <definedName name="__123Graph_F" hidden="1">'[1]Invoiced as at Nov-02'!#REF!</definedName>
    <definedName name="__123Graph_X" hidden="1">'[1]Invoiced as at Nov-02'!#REF!</definedName>
    <definedName name="_Dist_Bin" hidden="1">#REF!</definedName>
    <definedName name="_Dist_Values" hidden="1">#REF!</definedName>
    <definedName name="_Fill" hidden="1">#REF!</definedName>
    <definedName name="_KEY" hidden="1">#REF!</definedName>
    <definedName name="_Key1" hidden="1">'[2]Fok On'!#REF!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we123" hidden="1">{#N/A,#N/A,FALSE,"단축1";#N/A,#N/A,FALSE,"단축2";#N/A,#N/A,FALSE,"단축3";#N/A,#N/A,FALSE,"장축";#N/A,#N/A,FALSE,"4WD"}</definedName>
    <definedName name="_Regression_Int" hidden="1">1</definedName>
    <definedName name="_Sort" hidden="1">'[2]Fok On'!#REF!</definedName>
    <definedName name="_Table2_In1" hidden="1">'[3]Ex Diff'!#REF!</definedName>
    <definedName name="_Table2_In2" hidden="1">'[3]Ex Diff'!#REF!</definedName>
    <definedName name="_Table2_Out" hidden="1">'[3]Ex Diff'!#REF!</definedName>
    <definedName name="_XG1" hidden="1">{#N/A,#N/A,FALSE,"단축1";#N/A,#N/A,FALSE,"단축2";#N/A,#N/A,FALSE,"단축3";#N/A,#N/A,FALSE,"장축";#N/A,#N/A,FALSE,"4WD"}</definedName>
    <definedName name="afd" hidden="1">'[4]Invoiced as at Nov-02'!#REF!</definedName>
    <definedName name="afds" hidden="1">'[4]Invoiced as at Nov-02'!#REF!</definedName>
    <definedName name="afr" hidden="1">'[4]Invoiced as at Nov-02'!#REF!</definedName>
    <definedName name="AS2DocOpenMode" hidden="1">"AS2DocumentEdit"</definedName>
    <definedName name="ASD" hidden="1">#REF!</definedName>
    <definedName name="ca" hidden="1">{#N/A,#N/A,FALSE,"단축1";#N/A,#N/A,FALSE,"단축2";#N/A,#N/A,FALSE,"단축3";#N/A,#N/A,FALSE,"장축";#N/A,#N/A,FALSE,"4WD"}</definedName>
    <definedName name="clts" hidden="1">'[4]Invoiced as at Nov-02'!#REF!</definedName>
    <definedName name="d" hidden="1">#REF!</definedName>
    <definedName name="DA" hidden="1">#REF!</definedName>
    <definedName name="df" hidden="1">'[4]Invoiced as at Nov-02'!#REF!</definedName>
    <definedName name="dfa" hidden="1">'[4]Invoiced as at Nov-02'!#REF!</definedName>
    <definedName name="dff" hidden="1">#REF!</definedName>
    <definedName name="dfg" hidden="1">'[4]Invoiced as at Nov-02'!#REF!</definedName>
    <definedName name="egte" hidden="1">'[4]Invoiced as at Nov-02'!#REF!</definedName>
    <definedName name="er" hidden="1">'[4]Invoiced as at Nov-02'!#REF!</definedName>
    <definedName name="ere" hidden="1">#REF!</definedName>
    <definedName name="ew" hidden="1">'[4]Invoiced as at Nov-02'!#REF!</definedName>
    <definedName name="eyu" hidden="1">#REF!</definedName>
    <definedName name="fd" hidden="1">#REF!</definedName>
    <definedName name="gdg" hidden="1">'[4]Invoiced as at Nov-02'!#REF!</definedName>
    <definedName name="grace" hidden="1">{#N/A,#N/A,FALSE,"Gateway";#N/A,#N/A,FALSE,"Ocean";#N/A,#N/A,FALSE,"NewYork";#N/A,#N/A,FALSE,"GVH";#N/A,#N/A,FALSE,"GVM";#N/A,#N/A,FALSE,"GVT";#N/A,#N/A,FALSE,"GVO"}</definedName>
    <definedName name="hui" hidden="1">#REF!</definedName>
    <definedName name="JFZ1929C2" hidden="1">{#N/A,#N/A,FALSE,"단축1";#N/A,#N/A,FALSE,"단축2";#N/A,#N/A,FALSE,"단축3";#N/A,#N/A,FALSE,"장축";#N/A,#N/A,FALSE,"4WD"}</definedName>
    <definedName name="ke" hidden="1">#REF!</definedName>
    <definedName name="lo" hidden="1">#REF!</definedName>
    <definedName name="n" hidden="1">#REF!</definedName>
    <definedName name="O_RE" hidden="1">#REF!</definedName>
    <definedName name="poio" hidden="1">'[4]Invoiced as at Nov-02'!#REF!</definedName>
    <definedName name="_xlnm.Print_Area" localSheetId="0">BS!$A$1:$F$39</definedName>
    <definedName name="qwert" hidden="1">'[4]Invoiced as at Nov-02'!#REF!</definedName>
    <definedName name="R_COVER" hidden="1">{#N/A,#N/A,FALSE,"단축1";#N/A,#N/A,FALSE,"단축2";#N/A,#N/A,FALSE,"단축3";#N/A,#N/A,FALSE,"장축";#N/A,#N/A,FALSE,"4WD"}</definedName>
    <definedName name="rt" hidden="1">#REF!</definedName>
    <definedName name="rwr" hidden="1">'[4]Invoiced as at Nov-02'!#REF!</definedName>
    <definedName name="s" hidden="1">'[4]Invoiced as at Nov-02'!#REF!</definedName>
    <definedName name="sales" hidden="1">'[4]Invoiced as at Nov-02'!#REF!</definedName>
    <definedName name="sales1" hidden="1">#REF!</definedName>
    <definedName name="sales2" hidden="1">#REF!</definedName>
    <definedName name="sfsds" hidden="1">{#N/A,#N/A,FALSE,"단축1";#N/A,#N/A,FALSE,"단축2";#N/A,#N/A,FALSE,"단축3";#N/A,#N/A,FALSE,"장축";#N/A,#N/A,FALSE,"4WD"}</definedName>
    <definedName name="sjity" hidden="1">#REF!</definedName>
    <definedName name="t" hidden="1">'[4]Invoiced as at Nov-02'!#REF!</definedName>
    <definedName name="TextRefCopyRangeCount" hidden="1">3</definedName>
    <definedName name="tyu" hidden="1">'[4]Invoiced as at Nov-02'!#REF!</definedName>
    <definedName name="uiou" hidden="1">#REF!</definedName>
    <definedName name="uituoi" hidden="1">#REF!</definedName>
    <definedName name="uy" hidden="1">'[4]Invoiced as at Nov-02'!#REF!</definedName>
    <definedName name="uyu" hidden="1">'[4]Invoiced as at Nov-02'!#REF!</definedName>
    <definedName name="wfdg" hidden="1">#REF!</definedName>
    <definedName name="wre" hidden="1">'[4]Invoiced as at Nov-02'!#REF!</definedName>
    <definedName name="wrn.ALL." hidden="1">{#N/A,#N/A,FALSE,"Gateway";#N/A,#N/A,FALSE,"Ocean";#N/A,#N/A,FALSE,"NewYork";#N/A,#N/A,FALSE,"GVH";#N/A,#N/A,FALSE,"GVM";#N/A,#N/A,FALSE,"GVT";#N/A,#N/A,FALSE,"GVO"}</definedName>
    <definedName name="wrn.전부인쇄." hidden="1">{#N/A,#N/A,FALSE,"단축1";#N/A,#N/A,FALSE,"단축2";#N/A,#N/A,FALSE,"단축3";#N/A,#N/A,FALSE,"장축";#N/A,#N/A,FALSE,"4WD"}</definedName>
    <definedName name="xdd" hidden="1">'[4]Invoiced as at Nov-02'!#REF!</definedName>
    <definedName name="xd품확일정" hidden="1">{#N/A,#N/A,FALSE,"단축1";#N/A,#N/A,FALSE,"단축2";#N/A,#N/A,FALSE,"단축3";#N/A,#N/A,FALSE,"장축";#N/A,#N/A,FALSE,"4WD"}</definedName>
    <definedName name="xfgd" hidden="1">'[4]Invoiced as at Nov-02'!#REF!</definedName>
    <definedName name="Z_677C6337_708E_11D3_B400_0000E21227E8_.wvu.Rows" hidden="1">#REF!</definedName>
    <definedName name="zs" hidden="1">#REF!</definedName>
    <definedName name="관리계획서을3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사양변경내용2" hidden="1">{#N/A,#N/A,FALSE,"단축1";#N/A,#N/A,FALSE,"단축2";#N/A,#N/A,FALSE,"단축3";#N/A,#N/A,FALSE,"장축";#N/A,#N/A,FALSE,"4WD"}</definedName>
    <definedName name="협의" hidden="1">{#N/A,#N/A,FALSE,"단축1";#N/A,#N/A,FALSE,"단축2";#N/A,#N/A,FALSE,"단축3";#N/A,#N/A,FALSE,"장축";#N/A,#N/A,FALSE,"4WD"}</definedName>
    <definedName name="定子" hidden="1">{#N/A,#N/A,FALSE,"단축1";#N/A,#N/A,FALSE,"단축2";#N/A,#N/A,FALSE,"단축3";#N/A,#N/A,FALSE,"장축";#N/A,#N/A,FALSE,"4WD"}</definedName>
    <definedName name="拉" hidden="1">{#N/A,#N/A,FALSE,"단축1";#N/A,#N/A,FALSE,"단축2";#N/A,#N/A,FALSE,"단축3";#N/A,#N/A,FALSE,"장축";#N/A,#N/A,FALSE,"4WD"}</definedName>
  </definedNames>
  <calcPr calcId="18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E39" i="6" l="1"/>
  <c r="C39" i="6"/>
  <c r="Q38" i="6"/>
  <c r="E20" i="6"/>
  <c r="C20" i="6"/>
  <c r="G11" i="2"/>
  <c r="M11" i="2" l="1"/>
  <c r="M37" i="6" l="1"/>
  <c r="M39" i="6" s="1"/>
  <c r="M35" i="6"/>
  <c r="K35" i="6"/>
  <c r="K37" i="6" s="1"/>
  <c r="K39" i="6" s="1"/>
  <c r="I35" i="6"/>
  <c r="I37" i="6" s="1"/>
  <c r="I39" i="6" s="1"/>
  <c r="G35" i="6"/>
  <c r="G37" i="6" s="1"/>
  <c r="G39" i="6" s="1"/>
  <c r="M18" i="6"/>
  <c r="M20" i="6" s="1"/>
  <c r="K18" i="6"/>
  <c r="K20" i="6" s="1"/>
  <c r="M16" i="6"/>
  <c r="K16" i="6"/>
  <c r="I16" i="6"/>
  <c r="I18" i="6" s="1"/>
  <c r="I20" i="6" s="1"/>
  <c r="G16" i="6"/>
  <c r="G18" i="6" s="1"/>
  <c r="G20" i="6" s="1"/>
  <c r="O35" i="6" l="1"/>
  <c r="Q34" i="6"/>
  <c r="O16" i="6"/>
  <c r="Q15" i="6"/>
  <c r="F31" i="1"/>
  <c r="D31" i="1"/>
  <c r="A29" i="3" l="1"/>
  <c r="A41" i="6"/>
  <c r="A23" i="2"/>
  <c r="G13" i="2" l="1"/>
  <c r="G15" i="2" l="1"/>
  <c r="G17" i="2" s="1"/>
  <c r="O19" i="6" s="1"/>
  <c r="Q19" i="6" s="1"/>
  <c r="E37" i="6"/>
  <c r="C37" i="6"/>
  <c r="Q33" i="6"/>
  <c r="Q35" i="6" s="1"/>
  <c r="Q32" i="6"/>
  <c r="Q31" i="6"/>
  <c r="Q30" i="6"/>
  <c r="Q29" i="6"/>
  <c r="Q28" i="6"/>
  <c r="Q27" i="6"/>
  <c r="Q26" i="6"/>
  <c r="Q17" i="6" l="1"/>
  <c r="O18" i="6"/>
  <c r="O20" i="6" s="1"/>
  <c r="G19" i="2"/>
  <c r="G14" i="3"/>
  <c r="G10" i="3"/>
  <c r="P13" i="2"/>
  <c r="P15" i="2" s="1"/>
  <c r="P17" i="2" s="1"/>
  <c r="F34" i="1"/>
  <c r="F35" i="1" s="1"/>
  <c r="F21" i="1"/>
  <c r="F11" i="1"/>
  <c r="F13" i="1" s="1"/>
  <c r="P19" i="2" l="1"/>
  <c r="G16" i="3"/>
  <c r="G19" i="3" s="1"/>
  <c r="D21" i="10"/>
  <c r="D22" i="10" s="1"/>
  <c r="D24" i="10" s="1"/>
  <c r="C21" i="10"/>
  <c r="B21" i="10"/>
  <c r="C13" i="10"/>
  <c r="D7" i="10"/>
  <c r="D13" i="10" s="1"/>
  <c r="C7" i="10"/>
  <c r="B7" i="10"/>
  <c r="B5" i="10"/>
  <c r="B13" i="10" s="1"/>
  <c r="B14" i="10" l="1"/>
  <c r="B15" i="10" s="1"/>
  <c r="D14" i="10"/>
  <c r="D15" i="10" s="1"/>
  <c r="C14" i="10"/>
  <c r="C22" i="10" l="1"/>
  <c r="C23" i="10" s="1"/>
  <c r="B22" i="10"/>
  <c r="B24" i="10" s="1"/>
  <c r="C15" i="10"/>
  <c r="AQ10" i="7" l="1"/>
  <c r="AO18" i="7"/>
  <c r="AQ7" i="7"/>
  <c r="AQ23" i="7" s="1"/>
  <c r="AI18" i="7" l="1"/>
  <c r="AK9" i="7"/>
  <c r="AI9" i="7"/>
  <c r="AK10" i="7" l="1"/>
  <c r="AK7" i="7" l="1"/>
  <c r="AK23" i="7"/>
  <c r="AC18" i="7" l="1"/>
  <c r="AE9" i="7"/>
  <c r="AG18" i="7" l="1"/>
  <c r="AM18" i="7" s="1"/>
  <c r="AS18" i="7" s="1"/>
  <c r="H6" i="4"/>
  <c r="AE10" i="7"/>
  <c r="AE7" i="7"/>
  <c r="AE23" i="7" s="1"/>
  <c r="Y9" i="7"/>
  <c r="AC19" i="7" l="1"/>
  <c r="W18" i="7"/>
  <c r="AG19" i="7" l="1"/>
  <c r="AC23" i="7"/>
  <c r="AO19" i="7"/>
  <c r="AO23" i="7" s="1"/>
  <c r="S10" i="7"/>
  <c r="Q7" i="6"/>
  <c r="Q13" i="6"/>
  <c r="Q12" i="6"/>
  <c r="Q11" i="6"/>
  <c r="Q10" i="6"/>
  <c r="Q9" i="6"/>
  <c r="Q8" i="6"/>
  <c r="W9" i="7" l="1"/>
  <c r="Y7" i="7" l="1"/>
  <c r="Q18" i="7" l="1"/>
  <c r="S9" i="7"/>
  <c r="Q19" i="7" l="1"/>
  <c r="Q9" i="7"/>
  <c r="S7" i="7" l="1"/>
  <c r="D7" i="9" l="1"/>
  <c r="Q23" i="7"/>
  <c r="S23" i="7"/>
  <c r="W19" i="7" l="1"/>
  <c r="W23" i="7" s="1"/>
  <c r="Y10" i="7"/>
  <c r="U19" i="7"/>
  <c r="S13" i="2"/>
  <c r="M13" i="2"/>
  <c r="M15" i="2" l="1"/>
  <c r="M17" i="2" s="1"/>
  <c r="D32" i="1" s="1"/>
  <c r="D34" i="1" s="1"/>
  <c r="F7" i="9"/>
  <c r="B8" i="9" s="1"/>
  <c r="F8" i="9" s="1"/>
  <c r="B9" i="9" s="1"/>
  <c r="F9" i="9" s="1"/>
  <c r="B10" i="9" s="1"/>
  <c r="Y23" i="7"/>
  <c r="AA19" i="7"/>
  <c r="K18" i="7"/>
  <c r="M9" i="7"/>
  <c r="F10" i="9" l="1"/>
  <c r="B11" i="9" s="1"/>
  <c r="F11" i="9" s="1"/>
  <c r="B12" i="9" s="1"/>
  <c r="F12" i="9" s="1"/>
  <c r="B13" i="9" s="1"/>
  <c r="D10" i="9"/>
  <c r="AI19" i="7" s="1"/>
  <c r="S17" i="2"/>
  <c r="S19" i="2" s="1"/>
  <c r="AI23" i="7" l="1"/>
  <c r="AM19" i="7"/>
  <c r="AS19" i="7" s="1"/>
  <c r="D21" i="1"/>
  <c r="K23" i="7"/>
  <c r="I8" i="7"/>
  <c r="O8" i="7" s="1"/>
  <c r="U8" i="7" s="1"/>
  <c r="AA8" i="7" s="1"/>
  <c r="AG8" i="7" s="1"/>
  <c r="AM8" i="7" s="1"/>
  <c r="AS8" i="7" s="1"/>
  <c r="I10" i="7"/>
  <c r="O10" i="7" s="1"/>
  <c r="U10" i="7" s="1"/>
  <c r="AA10" i="7" s="1"/>
  <c r="AG10" i="7" s="1"/>
  <c r="AM10" i="7" s="1"/>
  <c r="AS10" i="7" s="1"/>
  <c r="O15" i="7"/>
  <c r="U15" i="7" s="1"/>
  <c r="AA15" i="7" s="1"/>
  <c r="M23" i="7"/>
  <c r="H5" i="4" l="1"/>
  <c r="E18" i="7"/>
  <c r="G9" i="7"/>
  <c r="Q14" i="6" l="1"/>
  <c r="Q16" i="6" s="1"/>
  <c r="Q18" i="6" s="1"/>
  <c r="Q20" i="6" s="1"/>
  <c r="I17" i="7"/>
  <c r="O17" i="7" s="1"/>
  <c r="U17" i="7" s="1"/>
  <c r="AA17" i="7" s="1"/>
  <c r="AG17" i="7" s="1"/>
  <c r="AM17" i="7" s="1"/>
  <c r="AS17" i="7" s="1"/>
  <c r="I16" i="7"/>
  <c r="O16" i="7" s="1"/>
  <c r="U16" i="7" s="1"/>
  <c r="AA16" i="7" s="1"/>
  <c r="AG16" i="7" s="1"/>
  <c r="AM16" i="7" s="1"/>
  <c r="AS16" i="7" s="1"/>
  <c r="I14" i="7"/>
  <c r="O14" i="7" s="1"/>
  <c r="U14" i="7" s="1"/>
  <c r="AA14" i="7" s="1"/>
  <c r="AG14" i="7" s="1"/>
  <c r="AM14" i="7" s="1"/>
  <c r="AS14" i="7" s="1"/>
  <c r="I13" i="7"/>
  <c r="O13" i="7" s="1"/>
  <c r="U13" i="7" s="1"/>
  <c r="AA13" i="7" s="1"/>
  <c r="AG13" i="7" s="1"/>
  <c r="AM13" i="7" s="1"/>
  <c r="AS13" i="7" s="1"/>
  <c r="I12" i="7"/>
  <c r="O12" i="7" s="1"/>
  <c r="U12" i="7" s="1"/>
  <c r="AA12" i="7" s="1"/>
  <c r="AG12" i="7" s="1"/>
  <c r="AM12" i="7" s="1"/>
  <c r="AS12" i="7" s="1"/>
  <c r="I11" i="7"/>
  <c r="O11" i="7" s="1"/>
  <c r="U11" i="7" s="1"/>
  <c r="AA11" i="7" s="1"/>
  <c r="AG11" i="7" s="1"/>
  <c r="AM11" i="7" s="1"/>
  <c r="AS11" i="7" s="1"/>
  <c r="I7" i="7"/>
  <c r="O7" i="7" s="1"/>
  <c r="U7" i="7" s="1"/>
  <c r="AA7" i="7" s="1"/>
  <c r="AG7" i="7" l="1"/>
  <c r="I18" i="7"/>
  <c r="O18" i="7" s="1"/>
  <c r="U18" i="7" s="1"/>
  <c r="AA18" i="7" s="1"/>
  <c r="I9" i="7"/>
  <c r="O9" i="7" s="1"/>
  <c r="U9" i="7" s="1"/>
  <c r="U23" i="7" l="1"/>
  <c r="AA9" i="7"/>
  <c r="AM7" i="7"/>
  <c r="O23" i="7"/>
  <c r="C57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D14" i="8"/>
  <c r="D15" i="8" s="1"/>
  <c r="E8" i="8"/>
  <c r="AS7" i="7" l="1"/>
  <c r="AG9" i="7"/>
  <c r="AA23" i="7"/>
  <c r="J13" i="2"/>
  <c r="J15" i="2" s="1"/>
  <c r="J17" i="2" s="1"/>
  <c r="F14" i="8"/>
  <c r="G14" i="8" s="1"/>
  <c r="F17" i="8"/>
  <c r="G17" i="8" s="1"/>
  <c r="D16" i="8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F51" i="8"/>
  <c r="G51" i="8" s="1"/>
  <c r="F53" i="8"/>
  <c r="G53" i="8" s="1"/>
  <c r="F50" i="8"/>
  <c r="G50" i="8" s="1"/>
  <c r="F49" i="8"/>
  <c r="G49" i="8" s="1"/>
  <c r="F52" i="8"/>
  <c r="G52" i="8" s="1"/>
  <c r="F15" i="8"/>
  <c r="G15" i="8" s="1"/>
  <c r="F19" i="8"/>
  <c r="G19" i="8" s="1"/>
  <c r="F23" i="8"/>
  <c r="G23" i="8" s="1"/>
  <c r="F27" i="8"/>
  <c r="G27" i="8" s="1"/>
  <c r="F31" i="8"/>
  <c r="G31" i="8" s="1"/>
  <c r="F35" i="8"/>
  <c r="G35" i="8" s="1"/>
  <c r="F39" i="8"/>
  <c r="G39" i="8" s="1"/>
  <c r="F43" i="8"/>
  <c r="G43" i="8" s="1"/>
  <c r="F46" i="8"/>
  <c r="G46" i="8" s="1"/>
  <c r="F45" i="8"/>
  <c r="G45" i="8" s="1"/>
  <c r="F48" i="8"/>
  <c r="G48" i="8" s="1"/>
  <c r="F54" i="8"/>
  <c r="G54" i="8" s="1"/>
  <c r="F21" i="8"/>
  <c r="G21" i="8" s="1"/>
  <c r="F25" i="8"/>
  <c r="G25" i="8" s="1"/>
  <c r="F29" i="8"/>
  <c r="G29" i="8" s="1"/>
  <c r="F33" i="8"/>
  <c r="G33" i="8" s="1"/>
  <c r="F37" i="8"/>
  <c r="G37" i="8" s="1"/>
  <c r="F41" i="8"/>
  <c r="G41" i="8" s="1"/>
  <c r="F47" i="8"/>
  <c r="G47" i="8" s="1"/>
  <c r="F18" i="8"/>
  <c r="G18" i="8" s="1"/>
  <c r="F22" i="8"/>
  <c r="G22" i="8" s="1"/>
  <c r="F30" i="8"/>
  <c r="G30" i="8" s="1"/>
  <c r="F34" i="8"/>
  <c r="G34" i="8" s="1"/>
  <c r="F38" i="8"/>
  <c r="G38" i="8" s="1"/>
  <c r="F42" i="8"/>
  <c r="G42" i="8" s="1"/>
  <c r="F24" i="8"/>
  <c r="G24" i="8" s="1"/>
  <c r="F28" i="8"/>
  <c r="G28" i="8" s="1"/>
  <c r="F32" i="8"/>
  <c r="G32" i="8" s="1"/>
  <c r="F36" i="8"/>
  <c r="G36" i="8" s="1"/>
  <c r="F40" i="8"/>
  <c r="G40" i="8" s="1"/>
  <c r="F44" i="8"/>
  <c r="G44" i="8" s="1"/>
  <c r="F16" i="8"/>
  <c r="G16" i="8" s="1"/>
  <c r="F26" i="8"/>
  <c r="G26" i="8" s="1"/>
  <c r="F20" i="8"/>
  <c r="G20" i="8" s="1"/>
  <c r="O37" i="6" l="1"/>
  <c r="O39" i="6" s="1"/>
  <c r="Q36" i="6"/>
  <c r="Q37" i="6" s="1"/>
  <c r="Q39" i="6" s="1"/>
  <c r="AM9" i="7"/>
  <c r="AG23" i="7"/>
  <c r="H14" i="8"/>
  <c r="G57" i="8"/>
  <c r="D28" i="8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AS9" i="7" l="1"/>
  <c r="AS23" i="7" s="1"/>
  <c r="AM23" i="7"/>
  <c r="J19" i="2"/>
  <c r="H15" i="8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D45" i="8"/>
  <c r="D46" i="8" s="1"/>
  <c r="D47" i="8" s="1"/>
  <c r="D48" i="8" s="1"/>
  <c r="D49" i="8" s="1"/>
  <c r="D50" i="8" s="1"/>
  <c r="D51" i="8" s="1"/>
  <c r="D52" i="8" s="1"/>
  <c r="D53" i="8" s="1"/>
  <c r="D54" i="8" s="1"/>
  <c r="M5" i="4"/>
  <c r="F5" i="4"/>
  <c r="N5" i="4"/>
  <c r="G23" i="7"/>
  <c r="E23" i="7"/>
  <c r="C23" i="7"/>
  <c r="O6" i="4"/>
  <c r="N6" i="4"/>
  <c r="M6" i="4"/>
  <c r="L6" i="4"/>
  <c r="F6" i="4"/>
  <c r="E6" i="4"/>
  <c r="E18" i="6"/>
  <c r="C18" i="6"/>
  <c r="L5" i="4" l="1"/>
  <c r="I23" i="7"/>
  <c r="E5" i="4"/>
  <c r="H45" i="8"/>
  <c r="H46" i="8" s="1"/>
  <c r="H47" i="8" s="1"/>
  <c r="H48" i="8" s="1"/>
  <c r="H49" i="8" s="1"/>
  <c r="H50" i="8" s="1"/>
  <c r="H51" i="8" s="1"/>
  <c r="H52" i="8" s="1"/>
  <c r="H53" i="8" s="1"/>
  <c r="H54" i="8" s="1"/>
  <c r="E14" i="4" l="1"/>
  <c r="E13" i="4" l="1"/>
  <c r="I10" i="5" l="1"/>
  <c r="I5" i="5"/>
  <c r="I6" i="5"/>
  <c r="I7" i="5"/>
  <c r="I8" i="5"/>
  <c r="I4" i="5"/>
  <c r="I3" i="5"/>
  <c r="I9" i="5"/>
  <c r="I11" i="5"/>
  <c r="I14" i="5"/>
  <c r="I15" i="5"/>
  <c r="I16" i="5"/>
  <c r="I2" i="5"/>
  <c r="E9" i="5"/>
  <c r="E44" i="5" s="1"/>
  <c r="C9" i="3"/>
  <c r="E22" i="4"/>
  <c r="N7" i="4"/>
  <c r="M7" i="4"/>
  <c r="F7" i="4"/>
  <c r="L58" i="4"/>
  <c r="E58" i="4" s="1"/>
  <c r="E57" i="4"/>
  <c r="G56" i="4"/>
  <c r="E55" i="4"/>
  <c r="E54" i="4"/>
  <c r="E53" i="4"/>
  <c r="E50" i="4"/>
  <c r="E49" i="4"/>
  <c r="E42" i="4"/>
  <c r="E17" i="3" s="1"/>
  <c r="E39" i="4"/>
  <c r="E38" i="4"/>
  <c r="E37" i="4"/>
  <c r="E36" i="4"/>
  <c r="E34" i="4"/>
  <c r="E33" i="4"/>
  <c r="E26" i="4"/>
  <c r="E28" i="4" s="1"/>
  <c r="K7" i="4"/>
  <c r="J7" i="4"/>
  <c r="I7" i="4"/>
  <c r="G7" i="4"/>
  <c r="E7" i="4"/>
  <c r="L7" i="4"/>
  <c r="L32" i="4" s="1"/>
  <c r="H7" i="4"/>
  <c r="H20" i="4" s="1"/>
  <c r="E17" i="4" l="1"/>
  <c r="G18" i="4"/>
  <c r="E18" i="4" s="1"/>
  <c r="N32" i="4"/>
  <c r="E32" i="4" s="1"/>
  <c r="E16" i="4"/>
  <c r="F19" i="4"/>
  <c r="E19" i="4" s="1"/>
  <c r="E9" i="3" s="1"/>
  <c r="J21" i="4"/>
  <c r="E21" i="4" s="1"/>
  <c r="E15" i="4"/>
  <c r="I20" i="4"/>
  <c r="E20" i="4" s="1"/>
  <c r="E13" i="3" s="1"/>
  <c r="E14" i="3" s="1"/>
  <c r="P6" i="4"/>
  <c r="K43" i="4"/>
  <c r="E35" i="4"/>
  <c r="H59" i="4"/>
  <c r="H43" i="4"/>
  <c r="L59" i="4"/>
  <c r="L43" i="4"/>
  <c r="I59" i="4"/>
  <c r="E40" i="4" l="1"/>
  <c r="N43" i="4"/>
  <c r="J43" i="4"/>
  <c r="J59" i="4"/>
  <c r="M43" i="4"/>
  <c r="I43" i="4"/>
  <c r="G43" i="4"/>
  <c r="G59" i="4" s="1"/>
  <c r="K59" i="4"/>
  <c r="F43" i="4"/>
  <c r="I12" i="5"/>
  <c r="F41" i="1" l="1"/>
  <c r="K6" i="1"/>
  <c r="I13" i="5"/>
  <c r="D11" i="1"/>
  <c r="J6" i="1" l="1"/>
  <c r="D13" i="1"/>
  <c r="M19" i="2" l="1"/>
  <c r="O5" i="4" l="1"/>
  <c r="P5" i="4" s="1"/>
  <c r="D35" i="1"/>
  <c r="K32" i="1" s="1"/>
  <c r="I17" i="5"/>
  <c r="I32" i="1"/>
  <c r="F13" i="9" s="1"/>
  <c r="B14" i="9" s="1"/>
  <c r="D14" i="9" l="1"/>
  <c r="F14" i="9" s="1"/>
  <c r="O7" i="4"/>
  <c r="O10" i="4" s="1"/>
  <c r="E10" i="4" s="1"/>
  <c r="D41" i="1"/>
  <c r="D17" i="9" l="1"/>
  <c r="E23" i="4"/>
  <c r="E41" i="4" s="1"/>
  <c r="E43" i="4" s="1"/>
  <c r="E44" i="4" s="1"/>
  <c r="E6" i="3"/>
  <c r="E10" i="3" s="1"/>
  <c r="E16" i="3" s="1"/>
  <c r="E19" i="3" s="1"/>
  <c r="O43" i="4"/>
  <c r="O59" i="4"/>
  <c r="E59" i="4" l="1"/>
</calcChain>
</file>

<file path=xl/sharedStrings.xml><?xml version="1.0" encoding="utf-8"?>
<sst xmlns="http://schemas.openxmlformats.org/spreadsheetml/2006/main" count="490" uniqueCount="263">
  <si>
    <t>ASSETS</t>
  </si>
  <si>
    <t>Current assets</t>
  </si>
  <si>
    <t xml:space="preserve">     Cash &amp; cash equivalents</t>
  </si>
  <si>
    <t xml:space="preserve">     Advances to related parties, net of allowance</t>
  </si>
  <si>
    <t>Total assets</t>
  </si>
  <si>
    <t>LIABILITIES AND STOCKHOLDERS' DEFICIT</t>
  </si>
  <si>
    <t>Current liabilities</t>
  </si>
  <si>
    <t xml:space="preserve">     Accrued liabilities</t>
  </si>
  <si>
    <t>Stockholders' deficit</t>
  </si>
  <si>
    <t xml:space="preserve">     Preferred stock, $0.0001 par value, 20,000,000 shares</t>
  </si>
  <si>
    <t xml:space="preserve">     Common stock; $0.0001 par value, 100,000,000 shares</t>
  </si>
  <si>
    <t xml:space="preserve">     Discount on Common Stock</t>
  </si>
  <si>
    <t xml:space="preserve">     Additional paid - in capital</t>
  </si>
  <si>
    <t xml:space="preserve">     Accumulated deficit</t>
  </si>
  <si>
    <t>Total stockholders' deficit</t>
  </si>
  <si>
    <t>Total liabilities and stockholders' deficit</t>
  </si>
  <si>
    <t>Revenue</t>
  </si>
  <si>
    <t>Cost of revenue</t>
  </si>
  <si>
    <t>Gross profit</t>
  </si>
  <si>
    <t>Salaries and Wages</t>
  </si>
  <si>
    <t>Bad debt on uncollectible advances to related party</t>
  </si>
  <si>
    <t>Bad debt on uncollectible interest from related party</t>
  </si>
  <si>
    <t>Other operating expenses</t>
  </si>
  <si>
    <t>Interest income, related party</t>
  </si>
  <si>
    <t>Net loss before income taxes</t>
  </si>
  <si>
    <t>Net loss</t>
  </si>
  <si>
    <t>Loss per share - basic and diluted</t>
  </si>
  <si>
    <t>Weighted average shares - basic and diluted</t>
  </si>
  <si>
    <t>OPERATING ACTIVITIES</t>
  </si>
  <si>
    <t>Changes in Operating Assets and Liabilities</t>
  </si>
  <si>
    <t>Accrued liabilities</t>
  </si>
  <si>
    <t>Net cash used in operating activities</t>
  </si>
  <si>
    <t>FINANCING ACTIVITIES</t>
  </si>
  <si>
    <t>Proceeds from issuance of common stock</t>
  </si>
  <si>
    <t>Cash &amp; cash equivalents, beginning of period</t>
  </si>
  <si>
    <t>Cash &amp; cash equivalents, end of period</t>
  </si>
  <si>
    <t>Supplemental cash flow information:</t>
  </si>
  <si>
    <t>Income tax paid</t>
  </si>
  <si>
    <t xml:space="preserve">  Due to related parties</t>
  </si>
  <si>
    <t>Cash Flows Worksheet</t>
  </si>
  <si>
    <t>Cash</t>
  </si>
  <si>
    <t>Common Stock</t>
  </si>
  <si>
    <t xml:space="preserve">     DIFFERENCE</t>
  </si>
  <si>
    <t>Cash flows provided by (used in) operating activities:</t>
  </si>
  <si>
    <t>Adjustments to reconcile net loss to</t>
  </si>
  <si>
    <t xml:space="preserve">  net cash used in operating activities:</t>
  </si>
  <si>
    <t>Net cash provided by (used in) operating activities</t>
  </si>
  <si>
    <t>INVESTING ACTIVITIES</t>
  </si>
  <si>
    <t>Purchase of equipment</t>
  </si>
  <si>
    <t>Net cash provided by (used in) investing activities</t>
  </si>
  <si>
    <t>Stock offering costs paid</t>
  </si>
  <si>
    <t>Common stock issued for cash</t>
  </si>
  <si>
    <t>Subscription Receivable</t>
  </si>
  <si>
    <t>Proceeds from notes payable</t>
  </si>
  <si>
    <t>Repayment of related party notes payable</t>
  </si>
  <si>
    <t>Repayment of notes payable</t>
  </si>
  <si>
    <t>Net cash provided by (used in) financing activities</t>
  </si>
  <si>
    <t>NET INCREASE (DECREASE) IN CASH</t>
  </si>
  <si>
    <t>CASH AT BEGINNING OF PERIOD</t>
  </si>
  <si>
    <t>CASH AT END OF PERIOD</t>
  </si>
  <si>
    <t>SUPPLEMENTAL DISCLOSURES OF</t>
  </si>
  <si>
    <t xml:space="preserve"> </t>
  </si>
  <si>
    <t>CASH FLOW INFORMATION:</t>
  </si>
  <si>
    <t>CASH PAID FOR:</t>
  </si>
  <si>
    <t>Interest</t>
  </si>
  <si>
    <t>Income taxes</t>
  </si>
  <si>
    <t>NON CASH FINANCING ACTIVITIES:</t>
  </si>
  <si>
    <t>Preferred stock issued for bridge financing</t>
  </si>
  <si>
    <t>Derivative liability</t>
  </si>
  <si>
    <t>Executive salary forfeited</t>
  </si>
  <si>
    <t>Issuance of shares for accrued fees</t>
  </si>
  <si>
    <t>Settlement of derivative liability</t>
  </si>
  <si>
    <t>Preferred dividend accrual</t>
  </si>
  <si>
    <t>Greys Corporation</t>
  </si>
  <si>
    <t>Preferred stock</t>
  </si>
  <si>
    <t>Discount on Common Stock</t>
  </si>
  <si>
    <t>Additional paid in capital</t>
  </si>
  <si>
    <t>Retained Earnings</t>
  </si>
  <si>
    <t>Advance to related parties</t>
  </si>
  <si>
    <t xml:space="preserve">  Demand notes</t>
  </si>
  <si>
    <t>Total Current Assets</t>
  </si>
  <si>
    <t>Security deposit</t>
  </si>
  <si>
    <t>Account Number</t>
  </si>
  <si>
    <t>Account Name</t>
  </si>
  <si>
    <t>Account Description</t>
  </si>
  <si>
    <t>1010</t>
  </si>
  <si>
    <t>Cash &amp; cash equivalents</t>
  </si>
  <si>
    <t>BMO account xx372</t>
  </si>
  <si>
    <t>1020</t>
  </si>
  <si>
    <t>BMO Harris Bank account xx150-3</t>
  </si>
  <si>
    <t>1030</t>
  </si>
  <si>
    <t>USbank Account xx5365</t>
  </si>
  <si>
    <t>1202</t>
  </si>
  <si>
    <t>Interest receivable</t>
  </si>
  <si>
    <t>Interest Recivable</t>
  </si>
  <si>
    <t>1210</t>
  </si>
  <si>
    <t>Advance to Closed Loop Investments</t>
  </si>
  <si>
    <t>1215</t>
  </si>
  <si>
    <t>Advance to Greys Paper  LP</t>
  </si>
  <si>
    <t>1320</t>
  </si>
  <si>
    <t>Prepaid Expenses</t>
  </si>
  <si>
    <t>2100</t>
  </si>
  <si>
    <t>Accounts payable and accrued liabilities</t>
  </si>
  <si>
    <t>Accounts Payable</t>
  </si>
  <si>
    <t>2115</t>
  </si>
  <si>
    <t>Accrued Liabilities</t>
  </si>
  <si>
    <t>2120</t>
  </si>
  <si>
    <t>Deferred Rent Liabilities</t>
  </si>
  <si>
    <t>2125</t>
  </si>
  <si>
    <t>Due to Related Parties</t>
  </si>
  <si>
    <t>2650</t>
  </si>
  <si>
    <t>Demand Note-Garet Bonn</t>
  </si>
  <si>
    <t>2660</t>
  </si>
  <si>
    <t>Demand Note-Teri Lynne Mierlo Kanto</t>
  </si>
  <si>
    <t>2670</t>
  </si>
  <si>
    <t>Demand Note-Colin Joseph LeBlanc</t>
  </si>
  <si>
    <t>3310</t>
  </si>
  <si>
    <t>Common stock</t>
  </si>
  <si>
    <t>Common Stocks</t>
  </si>
  <si>
    <t>3315</t>
  </si>
  <si>
    <t>Discount on Common Stocks</t>
  </si>
  <si>
    <t>3320</t>
  </si>
  <si>
    <t>Additional Paid-in Capital</t>
  </si>
  <si>
    <t xml:space="preserve"> Additional paid - in capital</t>
  </si>
  <si>
    <t>3560</t>
  </si>
  <si>
    <t>Retained Earnings - Previous Year</t>
  </si>
  <si>
    <t>4440</t>
  </si>
  <si>
    <t>Interest Income</t>
  </si>
  <si>
    <t>5410</t>
  </si>
  <si>
    <t>Salary and Wages</t>
  </si>
  <si>
    <t>Payroll Expense</t>
  </si>
  <si>
    <t>5475</t>
  </si>
  <si>
    <t>Management Fee</t>
  </si>
  <si>
    <t>5605</t>
  </si>
  <si>
    <t>Operating expenses</t>
  </si>
  <si>
    <t>Profeesional Fee-Accounting</t>
  </si>
  <si>
    <t>5610</t>
  </si>
  <si>
    <t>Professional Fee-Legal</t>
  </si>
  <si>
    <t>5612</t>
  </si>
  <si>
    <t>Admin Charges</t>
  </si>
  <si>
    <t>5614</t>
  </si>
  <si>
    <t>Advertising &amp;Promotion</t>
  </si>
  <si>
    <t>5615</t>
  </si>
  <si>
    <t>Advertising &amp; Promo- Meals</t>
  </si>
  <si>
    <t>5616</t>
  </si>
  <si>
    <t>Website Design</t>
  </si>
  <si>
    <t>5618</t>
  </si>
  <si>
    <t>Engineering and Design</t>
  </si>
  <si>
    <t>5625</t>
  </si>
  <si>
    <t>Registration Charges</t>
  </si>
  <si>
    <t>5630</t>
  </si>
  <si>
    <t>Trademark</t>
  </si>
  <si>
    <t>5640</t>
  </si>
  <si>
    <t>Postage Expense</t>
  </si>
  <si>
    <t>5685</t>
  </si>
  <si>
    <t>Insurance</t>
  </si>
  <si>
    <t>5690</t>
  </si>
  <si>
    <t>Interest &amp; Bank Charges</t>
  </si>
  <si>
    <t>5700</t>
  </si>
  <si>
    <t>Office Supplies/Expense</t>
  </si>
  <si>
    <t>5760</t>
  </si>
  <si>
    <t>Office Rent</t>
  </si>
  <si>
    <t>5780</t>
  </si>
  <si>
    <t>Communication Line Expenses</t>
  </si>
  <si>
    <t>5784</t>
  </si>
  <si>
    <t>Travel Expense</t>
  </si>
  <si>
    <t>Amount</t>
  </si>
  <si>
    <t>Grouping</t>
  </si>
  <si>
    <t>1203</t>
  </si>
  <si>
    <t>Interest allowance</t>
  </si>
  <si>
    <t>Write off</t>
  </si>
  <si>
    <t>Row Labels</t>
  </si>
  <si>
    <t>Grand Total</t>
  </si>
  <si>
    <t>Sum of Amount</t>
  </si>
  <si>
    <t>check</t>
  </si>
  <si>
    <t>ok</t>
  </si>
  <si>
    <t>Working capital</t>
  </si>
  <si>
    <t>Interest paid</t>
  </si>
  <si>
    <t>Shares</t>
  </si>
  <si>
    <t>Accumulated Deficit</t>
  </si>
  <si>
    <t>Total Stockholders' Deficit</t>
  </si>
  <si>
    <t>Preferred Stock</t>
  </si>
  <si>
    <t>Accumulated deficit</t>
  </si>
  <si>
    <t>Cost of revenues</t>
  </si>
  <si>
    <t>DR</t>
  </si>
  <si>
    <t>CR</t>
  </si>
  <si>
    <t>Weighted-Average Shares Oustanding</t>
  </si>
  <si>
    <t xml:space="preserve">Weighted </t>
  </si>
  <si>
    <t>Common</t>
  </si>
  <si>
    <t>Days</t>
  </si>
  <si>
    <t>Date</t>
  </si>
  <si>
    <t>Description</t>
  </si>
  <si>
    <t>Stock</t>
  </si>
  <si>
    <t>Cumulative</t>
  </si>
  <si>
    <t>Outstanding</t>
  </si>
  <si>
    <t>Weighting</t>
  </si>
  <si>
    <t>Beginning Balance</t>
  </si>
  <si>
    <t>Common stock issued for change of control</t>
  </si>
  <si>
    <t>Issued common shares</t>
  </si>
  <si>
    <t>WACSO</t>
  </si>
  <si>
    <t>DIVERSE DEVELOPMENT GROUP, INC.</t>
  </si>
  <si>
    <t>Net decrease in cash &amp; cash equivalents</t>
  </si>
  <si>
    <t>Note payable - related party</t>
  </si>
  <si>
    <t>Accounts payable</t>
  </si>
  <si>
    <t>Accounts payble</t>
  </si>
  <si>
    <t>Notes payable - related party</t>
  </si>
  <si>
    <t>$</t>
  </si>
  <si>
    <t xml:space="preserve">Diverse Development </t>
  </si>
  <si>
    <t>Accrued Interest</t>
  </si>
  <si>
    <t xml:space="preserve">Payment </t>
  </si>
  <si>
    <t>Balance</t>
  </si>
  <si>
    <t>End Balance</t>
  </si>
  <si>
    <t>Borrowed</t>
  </si>
  <si>
    <t>Interest Expense</t>
  </si>
  <si>
    <t>Interest expense</t>
  </si>
  <si>
    <t>Balance, December 31, 2017</t>
  </si>
  <si>
    <t>Balance April 4, 2016 (inception)</t>
  </si>
  <si>
    <t>Issuance of common stock to founders for no consideration</t>
  </si>
  <si>
    <t>Redemption of common stock</t>
  </si>
  <si>
    <t>Issuance of common stock for change in control</t>
  </si>
  <si>
    <t>Issuance of common stock for cash</t>
  </si>
  <si>
    <t>NON-CASH TRANSACTION:</t>
  </si>
  <si>
    <t>Common stock issued to founders for no consideration</t>
  </si>
  <si>
    <t>Common stock issued to officer for no consideration</t>
  </si>
  <si>
    <t>For the nine months ended September 30, 2017</t>
  </si>
  <si>
    <t>Balance, December 31, 2018</t>
  </si>
  <si>
    <t>BALANCE @ 12/31/2018</t>
  </si>
  <si>
    <t>Net cash provided by financing activities</t>
  </si>
  <si>
    <t xml:space="preserve">     authorized; 6,515,000 shares issued and outstanding</t>
  </si>
  <si>
    <t>net loss</t>
  </si>
  <si>
    <t>nol</t>
  </si>
  <si>
    <t>Deferred tax assets and the valuation account are as follows:</t>
  </si>
  <si>
    <t>Deferred Tax Asset</t>
  </si>
  <si>
    <t>NOL (at 21%)</t>
  </si>
  <si>
    <t>Valuation allowance</t>
  </si>
  <si>
    <t>A reconciliation of amounts obtained by applying the enacted Federal tax rates to pre-tax income to income tax benefit is as follows:</t>
  </si>
  <si>
    <t>Federal tax benefit (21%)</t>
  </si>
  <si>
    <t>Change in valuation allowance</t>
  </si>
  <si>
    <t>Effect on rate change on deferred tax asset</t>
  </si>
  <si>
    <t>(Unaudited)</t>
  </si>
  <si>
    <t>December 31, 2018, respectively</t>
  </si>
  <si>
    <t>CONDENSED BALANCE SHEETS</t>
  </si>
  <si>
    <t>CONDENSED STATEMENTS OF OPERATIONS</t>
  </si>
  <si>
    <t>CONDENSED STATEMENT OF STOCKHOLDERS' DEFICIT</t>
  </si>
  <si>
    <t>CONDENSED STATEMENTS OF CASH FLOWS</t>
  </si>
  <si>
    <t>The accompanying notes are an integral part of these unaudited condensed financial statements.</t>
  </si>
  <si>
    <t>Net loss from operations</t>
  </si>
  <si>
    <t>Income tax expense</t>
  </si>
  <si>
    <t>Balance, March 31, 2019</t>
  </si>
  <si>
    <t>Balance, March 31, 2018</t>
  </si>
  <si>
    <t>Diverse Development</t>
  </si>
  <si>
    <t>September 30, 2019</t>
  </si>
  <si>
    <t>For the three months ended September 30, 2019</t>
  </si>
  <si>
    <t>For the nine months ended September 30, 2019</t>
  </si>
  <si>
    <t>For the three months ended September 30, 2018</t>
  </si>
  <si>
    <t>For the nine months ended September 30, 2018</t>
  </si>
  <si>
    <t>BALANCE @ 9/30/2019</t>
  </si>
  <si>
    <t xml:space="preserve">     authorized; none outstanding as of September 30, 2019 and </t>
  </si>
  <si>
    <t>as of September 30, 2019 and December 31, 2018, respectively</t>
  </si>
  <si>
    <t xml:space="preserve">Balance, June 30, 2019 </t>
  </si>
  <si>
    <t>Balance, September 30, 2019 (unaudited)</t>
  </si>
  <si>
    <t>Balance, September 30, 2018 (unaudited)</t>
  </si>
  <si>
    <t xml:space="preserve">Balance, June 30,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</si>
</sst>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yyyy"/>
    <numFmt numFmtId="166" formatCode="_(&quot;$&quot;* #,##0_);_(&quot;$&quot;* \(#,##0\);_(&quot;$&quot;* &quot;-&quot;??_);_(@_)"/>
    <numFmt numFmtId="167" formatCode="_(* #,##0_);_(* \(#,##0\);_(* &quot;-&quot;??_);_(@_)"/>
    <numFmt numFmtId="168" formatCode="#,##0\ ;\(#,##0\)"/>
    <numFmt numFmtId="169" formatCode="_-&quot;$&quot;* #,##0.00_-;\-&quot;$&quot;* #,##0.00_-;_-&quot;$&quot;* &quot;-&quot;??_-;_-@_-"/>
    <numFmt numFmtId="170" formatCode="_-* #,##0.00_-;\-* #,##0.00_-;_-* &quot;-&quot;??_-;_-@_-"/>
    <numFmt numFmtId="171" formatCode="mm/dd/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70C0"/>
      <name val="Times New Roman"/>
      <family val="1"/>
    </font>
    <font>
      <sz val="10"/>
      <color theme="1"/>
      <name val="Arial"/>
      <family val="2"/>
    </font>
    <font>
      <i/>
      <sz val="10"/>
      <color rgb="FF000000"/>
      <name val="Times New Roman"/>
      <family val="1"/>
    </font>
    <font>
      <i/>
      <sz val="10"/>
      <name val="Times New Roman"/>
      <family val="1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34"/>
    </font>
    <font>
      <sz val="11"/>
      <color indexed="8"/>
      <name val="宋体"/>
      <family val="3"/>
      <charset val="134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theme="1"/>
      <name val="Calibri"/>
      <family val="2"/>
    </font>
    <font>
      <u/>
      <sz val="8"/>
      <color indexed="12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0" fontId="24" fillId="0" borderId="0">
      <alignment horizontal="center"/>
    </xf>
    <xf numFmtId="170" fontId="1" fillId="0" borderId="0" applyFont="0" applyFill="0" applyBorder="0" applyAlignment="0" applyProtection="0"/>
    <xf numFmtId="0" fontId="17" fillId="0" borderId="0"/>
    <xf numFmtId="169" fontId="1" fillId="0" borderId="0" applyFont="0" applyFill="0" applyBorder="0" applyAlignment="0" applyProtection="0"/>
    <xf numFmtId="0" fontId="19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5" fillId="0" borderId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7" fillId="0" borderId="0"/>
    <xf numFmtId="43" fontId="1" fillId="0" borderId="0" applyFont="0" applyFill="0" applyBorder="0" applyAlignment="0" applyProtection="0"/>
  </cellStyleXfs>
  <cellXfs count="248">
    <xf numFmtId="0" fontId="0" fillId="0" borderId="0" xfId="0"/>
    <xf numFmtId="0" fontId="5" fillId="2" borderId="0" xfId="2" applyFont="1" applyFill="1"/>
    <xf numFmtId="0" fontId="6" fillId="2" borderId="0" xfId="2" applyFont="1" applyFill="1"/>
    <xf numFmtId="164" fontId="6" fillId="2" borderId="1" xfId="2" applyNumberFormat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7" fillId="0" borderId="0" xfId="2" applyFont="1"/>
    <xf numFmtId="164" fontId="6" fillId="2" borderId="0" xfId="2" applyNumberFormat="1" applyFont="1" applyFill="1" applyAlignment="1">
      <alignment horizontal="center"/>
    </xf>
    <xf numFmtId="14" fontId="7" fillId="0" borderId="0" xfId="2" applyNumberFormat="1" applyFont="1" applyAlignment="1">
      <alignment horizontal="center"/>
    </xf>
    <xf numFmtId="0" fontId="9" fillId="2" borderId="0" xfId="2" quotePrefix="1" applyFont="1" applyFill="1" applyAlignment="1">
      <alignment horizontal="right"/>
    </xf>
    <xf numFmtId="165" fontId="7" fillId="0" borderId="0" xfId="2" applyNumberFormat="1" applyFont="1" applyAlignment="1">
      <alignment horizontal="center"/>
    </xf>
    <xf numFmtId="166" fontId="6" fillId="2" borderId="0" xfId="3" applyNumberFormat="1" applyFont="1" applyFill="1"/>
    <xf numFmtId="0" fontId="9" fillId="2" borderId="0" xfId="2" applyFont="1" applyFill="1"/>
    <xf numFmtId="43" fontId="7" fillId="0" borderId="0" xfId="3" applyFont="1"/>
    <xf numFmtId="41" fontId="6" fillId="2" borderId="0" xfId="2" applyNumberFormat="1" applyFont="1" applyFill="1"/>
    <xf numFmtId="167" fontId="6" fillId="2" borderId="0" xfId="3" applyNumberFormat="1" applyFont="1" applyFill="1" applyAlignment="1">
      <alignment horizontal="right"/>
    </xf>
    <xf numFmtId="41" fontId="6" fillId="2" borderId="1" xfId="2" applyNumberFormat="1" applyFont="1" applyFill="1" applyBorder="1"/>
    <xf numFmtId="167" fontId="6" fillId="2" borderId="1" xfId="3" applyNumberFormat="1" applyFont="1" applyFill="1" applyBorder="1"/>
    <xf numFmtId="167" fontId="6" fillId="2" borderId="0" xfId="3" applyNumberFormat="1" applyFont="1" applyFill="1"/>
    <xf numFmtId="166" fontId="6" fillId="2" borderId="3" xfId="3" applyNumberFormat="1" applyFont="1" applyFill="1" applyBorder="1"/>
    <xf numFmtId="0" fontId="10" fillId="0" borderId="0" xfId="2" applyFont="1"/>
    <xf numFmtId="167" fontId="6" fillId="2" borderId="0" xfId="2" applyNumberFormat="1" applyFont="1" applyFill="1"/>
    <xf numFmtId="166" fontId="7" fillId="0" borderId="0" xfId="2" applyNumberFormat="1" applyFont="1"/>
    <xf numFmtId="42" fontId="6" fillId="2" borderId="0" xfId="3" applyNumberFormat="1" applyFont="1" applyFill="1"/>
    <xf numFmtId="0" fontId="6" fillId="2" borderId="0" xfId="2" applyFont="1" applyFill="1" applyAlignment="1">
      <alignment vertical="center"/>
    </xf>
    <xf numFmtId="41" fontId="6" fillId="2" borderId="2" xfId="4" applyNumberFormat="1" applyFont="1" applyFill="1" applyBorder="1"/>
    <xf numFmtId="0" fontId="6" fillId="0" borderId="0" xfId="2" applyFont="1"/>
    <xf numFmtId="41" fontId="7" fillId="2" borderId="0" xfId="2" applyNumberFormat="1" applyFont="1" applyFill="1"/>
    <xf numFmtId="0" fontId="6" fillId="2" borderId="0" xfId="2" quotePrefix="1" applyFont="1" applyFill="1"/>
    <xf numFmtId="166" fontId="6" fillId="2" borderId="4" xfId="3" applyNumberFormat="1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9" fillId="2" borderId="0" xfId="0" quotePrefix="1" applyFont="1" applyFill="1" applyAlignment="1">
      <alignment horizontal="right"/>
    </xf>
    <xf numFmtId="0" fontId="9" fillId="0" borderId="0" xfId="0" quotePrefix="1" applyFont="1" applyAlignment="1">
      <alignment horizontal="right"/>
    </xf>
    <xf numFmtId="0" fontId="9" fillId="2" borderId="0" xfId="0" applyFont="1" applyFill="1"/>
    <xf numFmtId="0" fontId="6" fillId="0" borderId="0" xfId="0" applyFo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indent="1"/>
    </xf>
    <xf numFmtId="167" fontId="6" fillId="2" borderId="3" xfId="1" applyNumberFormat="1" applyFont="1" applyFill="1" applyBorder="1"/>
    <xf numFmtId="167" fontId="6" fillId="2" borderId="0" xfId="1" applyNumberFormat="1" applyFont="1" applyFill="1"/>
    <xf numFmtId="166" fontId="6" fillId="0" borderId="0" xfId="3" applyNumberFormat="1" applyFont="1"/>
    <xf numFmtId="0" fontId="13" fillId="2" borderId="0" xfId="0" applyFont="1" applyFill="1"/>
    <xf numFmtId="166" fontId="6" fillId="2" borderId="0" xfId="4" applyNumberFormat="1" applyFont="1" applyFill="1"/>
    <xf numFmtId="0" fontId="8" fillId="2" borderId="0" xfId="2" applyFont="1" applyFill="1"/>
    <xf numFmtId="0" fontId="15" fillId="0" borderId="0" xfId="0" applyFont="1"/>
    <xf numFmtId="0" fontId="10" fillId="2" borderId="0" xfId="2" applyFont="1" applyFill="1"/>
    <xf numFmtId="0" fontId="16" fillId="2" borderId="0" xfId="2" quotePrefix="1" applyFont="1" applyFill="1"/>
    <xf numFmtId="166" fontId="10" fillId="0" borderId="0" xfId="2" applyNumberFormat="1" applyFont="1"/>
    <xf numFmtId="166" fontId="10" fillId="2" borderId="0" xfId="2" applyNumberFormat="1" applyFont="1" applyFill="1"/>
    <xf numFmtId="42" fontId="10" fillId="2" borderId="0" xfId="2" applyNumberFormat="1" applyFont="1" applyFill="1"/>
    <xf numFmtId="0" fontId="15" fillId="2" borderId="0" xfId="0" applyFont="1" applyFill="1"/>
    <xf numFmtId="0" fontId="16" fillId="2" borderId="0" xfId="0" quotePrefix="1" applyFont="1" applyFill="1"/>
    <xf numFmtId="0" fontId="6" fillId="2" borderId="0" xfId="2" applyFont="1" applyFill="1" applyAlignment="1">
      <alignment horizontal="left" vertical="center" indent="1"/>
    </xf>
    <xf numFmtId="0" fontId="6" fillId="2" borderId="0" xfId="2" applyFont="1" applyFill="1" applyAlignment="1">
      <alignment horizontal="left" vertical="center" indent="2"/>
    </xf>
    <xf numFmtId="167" fontId="6" fillId="2" borderId="1" xfId="1" applyNumberFormat="1" applyFont="1" applyFill="1" applyBorder="1"/>
    <xf numFmtId="167" fontId="15" fillId="0" borderId="0" xfId="1" applyNumberFormat="1" applyFont="1"/>
    <xf numFmtId="167" fontId="6" fillId="2" borderId="0" xfId="1" applyNumberFormat="1" applyFont="1" applyFill="1" applyAlignment="1">
      <alignment horizontal="right"/>
    </xf>
    <xf numFmtId="167" fontId="10" fillId="0" borderId="0" xfId="1" applyNumberFormat="1" applyFont="1"/>
    <xf numFmtId="0" fontId="6" fillId="3" borderId="0" xfId="5" applyFont="1" applyFill="1" applyProtection="1">
      <protection locked="0"/>
    </xf>
    <xf numFmtId="0" fontId="8" fillId="3" borderId="0" xfId="5" applyFont="1" applyFill="1" applyProtection="1">
      <protection locked="0"/>
    </xf>
    <xf numFmtId="43" fontId="8" fillId="3" borderId="0" xfId="6" applyFont="1" applyFill="1" applyProtection="1">
      <protection locked="0"/>
    </xf>
    <xf numFmtId="168" fontId="6" fillId="3" borderId="0" xfId="5" applyNumberFormat="1" applyFont="1" applyFill="1" applyProtection="1">
      <protection locked="0"/>
    </xf>
    <xf numFmtId="168" fontId="6" fillId="3" borderId="0" xfId="5" applyNumberFormat="1" applyFont="1" applyFill="1" applyAlignment="1" applyProtection="1">
      <alignment horizontal="center"/>
      <protection locked="0"/>
    </xf>
    <xf numFmtId="168" fontId="6" fillId="3" borderId="0" xfId="5" quotePrefix="1" applyNumberFormat="1" applyFont="1" applyFill="1" applyAlignment="1" applyProtection="1">
      <alignment horizontal="center"/>
      <protection locked="0"/>
    </xf>
    <xf numFmtId="14" fontId="8" fillId="3" borderId="0" xfId="5" quotePrefix="1" applyNumberFormat="1" applyFont="1" applyFill="1" applyAlignment="1" applyProtection="1">
      <alignment horizontal="left"/>
      <protection locked="0"/>
    </xf>
    <xf numFmtId="43" fontId="8" fillId="3" borderId="0" xfId="6" quotePrefix="1" applyFont="1" applyFill="1" applyAlignment="1" applyProtection="1">
      <alignment horizontal="left"/>
      <protection locked="0"/>
    </xf>
    <xf numFmtId="0" fontId="8" fillId="3" borderId="0" xfId="5" applyFont="1" applyFill="1" applyAlignment="1" applyProtection="1">
      <alignment wrapText="1"/>
      <protection locked="0"/>
    </xf>
    <xf numFmtId="43" fontId="8" fillId="3" borderId="6" xfId="6" applyFont="1" applyFill="1" applyBorder="1" applyAlignment="1" applyProtection="1">
      <alignment horizontal="center" wrapText="1"/>
      <protection locked="0"/>
    </xf>
    <xf numFmtId="0" fontId="8" fillId="3" borderId="6" xfId="5" applyFont="1" applyFill="1" applyBorder="1" applyAlignment="1" applyProtection="1">
      <alignment horizontal="center" wrapText="1"/>
      <protection locked="0"/>
    </xf>
    <xf numFmtId="168" fontId="8" fillId="3" borderId="6" xfId="5" applyNumberFormat="1" applyFont="1" applyFill="1" applyBorder="1" applyAlignment="1" applyProtection="1">
      <alignment horizontal="center" wrapText="1"/>
      <protection locked="0"/>
    </xf>
    <xf numFmtId="0" fontId="6" fillId="3" borderId="0" xfId="5" applyFont="1" applyFill="1" applyAlignment="1" applyProtection="1">
      <alignment horizontal="right"/>
      <protection locked="0"/>
    </xf>
    <xf numFmtId="43" fontId="6" fillId="3" borderId="0" xfId="6" applyFont="1" applyFill="1" applyProtection="1">
      <protection locked="0"/>
    </xf>
    <xf numFmtId="0" fontId="6" fillId="4" borderId="0" xfId="5" applyFont="1" applyFill="1" applyProtection="1">
      <protection locked="0"/>
    </xf>
    <xf numFmtId="43" fontId="6" fillId="4" borderId="0" xfId="6" applyFont="1" applyFill="1" applyProtection="1">
      <protection locked="0"/>
    </xf>
    <xf numFmtId="167" fontId="6" fillId="2" borderId="0" xfId="6" applyNumberFormat="1" applyFont="1" applyFill="1"/>
    <xf numFmtId="167" fontId="6" fillId="4" borderId="0" xfId="5" applyNumberFormat="1" applyFont="1" applyFill="1" applyAlignment="1">
      <alignment horizontal="center"/>
    </xf>
    <xf numFmtId="0" fontId="6" fillId="2" borderId="0" xfId="5" applyFont="1" applyFill="1" applyProtection="1">
      <protection locked="0"/>
    </xf>
    <xf numFmtId="0" fontId="6" fillId="2" borderId="0" xfId="7" applyFont="1" applyFill="1"/>
    <xf numFmtId="43" fontId="6" fillId="2" borderId="0" xfId="6" applyFont="1" applyFill="1"/>
    <xf numFmtId="167" fontId="18" fillId="2" borderId="0" xfId="7" applyNumberFormat="1" applyFill="1"/>
    <xf numFmtId="0" fontId="8" fillId="2" borderId="0" xfId="7" applyFont="1" applyFill="1"/>
    <xf numFmtId="0" fontId="8" fillId="2" borderId="0" xfId="5" applyFont="1" applyFill="1"/>
    <xf numFmtId="0" fontId="8" fillId="2" borderId="0" xfId="5" applyFont="1" applyFill="1" applyProtection="1">
      <protection locked="0"/>
    </xf>
    <xf numFmtId="0" fontId="18" fillId="2" borderId="0" xfId="7" applyFill="1"/>
    <xf numFmtId="167" fontId="6" fillId="2" borderId="4" xfId="6" applyNumberFormat="1" applyFont="1" applyFill="1" applyBorder="1"/>
    <xf numFmtId="43" fontId="6" fillId="4" borderId="4" xfId="6" applyFont="1" applyFill="1" applyBorder="1" applyProtection="1">
      <protection locked="0"/>
    </xf>
    <xf numFmtId="168" fontId="6" fillId="4" borderId="0" xfId="5" applyNumberFormat="1" applyFont="1" applyFill="1" applyProtection="1">
      <protection locked="0"/>
    </xf>
    <xf numFmtId="168" fontId="6" fillId="4" borderId="0" xfId="5" applyNumberFormat="1" applyFont="1" applyFill="1" applyAlignment="1" applyProtection="1">
      <alignment horizontal="center"/>
      <protection locked="0"/>
    </xf>
    <xf numFmtId="167" fontId="6" fillId="4" borderId="0" xfId="6" applyNumberFormat="1" applyFont="1" applyFill="1"/>
    <xf numFmtId="167" fontId="6" fillId="4" borderId="0" xfId="5" applyNumberFormat="1" applyFont="1" applyFill="1"/>
    <xf numFmtId="167" fontId="6" fillId="3" borderId="7" xfId="6" applyNumberFormat="1" applyFont="1" applyFill="1" applyBorder="1"/>
    <xf numFmtId="167" fontId="6" fillId="3" borderId="7" xfId="5" applyNumberFormat="1" applyFont="1" applyFill="1" applyBorder="1"/>
    <xf numFmtId="167" fontId="8" fillId="2" borderId="0" xfId="6" applyNumberFormat="1" applyFont="1" applyFill="1"/>
    <xf numFmtId="167" fontId="6" fillId="2" borderId="1" xfId="6" applyNumberFormat="1" applyFont="1" applyFill="1" applyBorder="1"/>
    <xf numFmtId="167" fontId="6" fillId="2" borderId="2" xfId="6" applyNumberFormat="1" applyFont="1" applyFill="1" applyBorder="1"/>
    <xf numFmtId="43" fontId="6" fillId="2" borderId="0" xfId="1" applyFont="1" applyFill="1"/>
    <xf numFmtId="0" fontId="0" fillId="0" borderId="0" xfId="0" applyAlignment="1">
      <alignment horizontal="left"/>
    </xf>
    <xf numFmtId="0" fontId="21" fillId="0" borderId="1" xfId="0" quotePrefix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0" xfId="0" quotePrefix="1" applyFont="1" applyAlignment="1">
      <alignment horizontal="center"/>
    </xf>
    <xf numFmtId="0" fontId="21" fillId="0" borderId="0" xfId="0" quotePrefix="1" applyFont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8" fontId="0" fillId="0" borderId="0" xfId="0" applyNumberFormat="1"/>
    <xf numFmtId="8" fontId="21" fillId="0" borderId="1" xfId="11" applyNumberFormat="1" applyFont="1" applyBorder="1" applyAlignment="1">
      <alignment horizontal="center"/>
    </xf>
    <xf numFmtId="8" fontId="21" fillId="0" borderId="0" xfId="11" applyNumberFormat="1" applyFont="1" applyAlignment="1">
      <alignment horizontal="right"/>
    </xf>
    <xf numFmtId="8" fontId="21" fillId="6" borderId="0" xfId="11" applyNumberFormat="1" applyFont="1" applyFill="1" applyAlignment="1">
      <alignment horizontal="right"/>
    </xf>
    <xf numFmtId="8" fontId="21" fillId="0" borderId="1" xfId="11" applyNumberFormat="1" applyFont="1" applyBorder="1" applyAlignment="1">
      <alignment horizontal="right"/>
    </xf>
    <xf numFmtId="8" fontId="1" fillId="0" borderId="0" xfId="11" applyNumberFormat="1"/>
    <xf numFmtId="8" fontId="22" fillId="0" borderId="3" xfId="11" applyNumberFormat="1" applyFont="1" applyBorder="1" applyAlignment="1">
      <alignment horizontal="right"/>
    </xf>
    <xf numFmtId="0" fontId="21" fillId="0" borderId="0" xfId="0" quotePrefix="1" applyFont="1"/>
    <xf numFmtId="0" fontId="0" fillId="0" borderId="0" xfId="0" pivotButton="1"/>
    <xf numFmtId="43" fontId="0" fillId="0" borderId="0" xfId="0" applyNumberFormat="1"/>
    <xf numFmtId="43" fontId="0" fillId="0" borderId="0" xfId="1" applyFont="1"/>
    <xf numFmtId="43" fontId="0" fillId="5" borderId="0" xfId="1" applyFont="1" applyFill="1"/>
    <xf numFmtId="167" fontId="6" fillId="0" borderId="0" xfId="6" applyNumberFormat="1" applyFont="1"/>
    <xf numFmtId="167" fontId="7" fillId="0" borderId="0" xfId="2" applyNumberFormat="1" applyFont="1"/>
    <xf numFmtId="0" fontId="6" fillId="2" borderId="0" xfId="2" applyFont="1" applyFill="1" applyAlignment="1">
      <alignment horizontal="left" indent="1"/>
    </xf>
    <xf numFmtId="166" fontId="6" fillId="2" borderId="1" xfId="23" applyNumberFormat="1" applyFont="1" applyFill="1" applyBorder="1"/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7" fontId="7" fillId="0" borderId="0" xfId="1" applyNumberFormat="1" applyFont="1"/>
    <xf numFmtId="166" fontId="7" fillId="0" borderId="0" xfId="23" applyNumberFormat="1" applyFont="1"/>
    <xf numFmtId="168" fontId="6" fillId="0" borderId="0" xfId="5" applyNumberFormat="1" applyFont="1" applyProtection="1">
      <protection locked="0"/>
    </xf>
    <xf numFmtId="0" fontId="6" fillId="0" borderId="0" xfId="7" applyFont="1"/>
    <xf numFmtId="164" fontId="0" fillId="0" borderId="0" xfId="0" applyNumberFormat="1" applyAlignment="1">
      <alignment horizontal="center"/>
    </xf>
    <xf numFmtId="43" fontId="0" fillId="0" borderId="1" xfId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6" fillId="2" borderId="2" xfId="1" applyNumberFormat="1" applyFont="1" applyFill="1" applyBorder="1"/>
    <xf numFmtId="0" fontId="26" fillId="0" borderId="0" xfId="24" applyFont="1"/>
    <xf numFmtId="0" fontId="27" fillId="0" borderId="0" xfId="24" applyFont="1" applyAlignment="1">
      <alignment horizontal="left"/>
    </xf>
    <xf numFmtId="0" fontId="10" fillId="0" borderId="0" xfId="24" applyFont="1"/>
    <xf numFmtId="0" fontId="28" fillId="0" borderId="0" xfId="24" applyFont="1"/>
    <xf numFmtId="43" fontId="29" fillId="0" borderId="0" xfId="24" applyNumberFormat="1" applyFont="1" applyAlignment="1">
      <alignment horizontal="right"/>
    </xf>
    <xf numFmtId="0" fontId="29" fillId="0" borderId="0" xfId="24" applyFont="1" applyAlignment="1">
      <alignment horizontal="right"/>
    </xf>
    <xf numFmtId="0" fontId="10" fillId="0" borderId="0" xfId="24" applyFont="1" applyAlignment="1">
      <alignment horizontal="left"/>
    </xf>
    <xf numFmtId="43" fontId="30" fillId="0" borderId="0" xfId="24" applyNumberFormat="1" applyFont="1" applyAlignment="1">
      <alignment horizontal="right"/>
    </xf>
    <xf numFmtId="0" fontId="30" fillId="0" borderId="0" xfId="24" applyFont="1" applyAlignment="1">
      <alignment horizontal="right"/>
    </xf>
    <xf numFmtId="164" fontId="10" fillId="0" borderId="0" xfId="24" quotePrefix="1" applyNumberFormat="1" applyFont="1" applyAlignment="1">
      <alignment horizontal="left"/>
    </xf>
    <xf numFmtId="164" fontId="10" fillId="0" borderId="0" xfId="24" applyNumberFormat="1" applyFont="1" applyAlignment="1">
      <alignment horizontal="left"/>
    </xf>
    <xf numFmtId="0" fontId="10" fillId="0" borderId="0" xfId="24" applyFont="1" applyAlignment="1">
      <alignment horizontal="left" vertical="top" wrapText="1"/>
    </xf>
    <xf numFmtId="0" fontId="10" fillId="0" borderId="0" xfId="24" quotePrefix="1" applyFont="1" applyAlignment="1">
      <alignment horizontal="left" vertical="top" wrapText="1"/>
    </xf>
    <xf numFmtId="164" fontId="26" fillId="0" borderId="1" xfId="24" applyNumberFormat="1" applyFont="1" applyBorder="1" applyAlignment="1">
      <alignment horizontal="center" vertical="top"/>
    </xf>
    <xf numFmtId="164" fontId="26" fillId="0" borderId="0" xfId="24" applyNumberFormat="1" applyFont="1" applyAlignment="1">
      <alignment horizontal="center" vertical="top"/>
    </xf>
    <xf numFmtId="0" fontId="26" fillId="0" borderId="0" xfId="24" applyFont="1" applyAlignment="1">
      <alignment horizontal="center" vertical="top"/>
    </xf>
    <xf numFmtId="171" fontId="26" fillId="0" borderId="0" xfId="24" applyNumberFormat="1" applyFont="1" applyAlignment="1">
      <alignment horizontal="center" vertical="top"/>
    </xf>
    <xf numFmtId="41" fontId="17" fillId="0" borderId="0" xfId="24" applyNumberFormat="1" applyFont="1" applyAlignment="1">
      <alignment horizontal="right" vertical="top" wrapText="1"/>
    </xf>
    <xf numFmtId="41" fontId="17" fillId="0" borderId="0" xfId="24" applyNumberFormat="1" applyFont="1" applyAlignment="1">
      <alignment vertical="top" wrapText="1"/>
    </xf>
    <xf numFmtId="15" fontId="27" fillId="0" borderId="0" xfId="24" applyNumberFormat="1" applyFont="1" applyAlignment="1">
      <alignment horizontal="center" vertical="top" wrapText="1"/>
    </xf>
    <xf numFmtId="1" fontId="27" fillId="0" borderId="0" xfId="24" applyNumberFormat="1" applyFont="1" applyAlignment="1">
      <alignment horizontal="center" vertical="top"/>
    </xf>
    <xf numFmtId="41" fontId="26" fillId="0" borderId="0" xfId="24" applyNumberFormat="1" applyFont="1" applyAlignment="1">
      <alignment horizontal="center" vertical="top"/>
    </xf>
    <xf numFmtId="41" fontId="26" fillId="0" borderId="0" xfId="24" applyNumberFormat="1" applyFont="1" applyAlignment="1">
      <alignment horizontal="right" vertical="top"/>
    </xf>
    <xf numFmtId="41" fontId="31" fillId="0" borderId="0" xfId="24" applyNumberFormat="1" applyFont="1" applyAlignment="1">
      <alignment horizontal="center" vertical="top"/>
    </xf>
    <xf numFmtId="41" fontId="27" fillId="0" borderId="0" xfId="24" applyNumberFormat="1" applyFont="1" applyAlignment="1">
      <alignment horizontal="center" vertical="top"/>
    </xf>
    <xf numFmtId="171" fontId="26" fillId="0" borderId="5" xfId="24" applyNumberFormat="1" applyFont="1" applyBorder="1" applyAlignment="1">
      <alignment horizontal="center" vertical="top"/>
    </xf>
    <xf numFmtId="41" fontId="26" fillId="0" borderId="5" xfId="24" applyNumberFormat="1" applyFont="1" applyBorder="1" applyAlignment="1">
      <alignment horizontal="center" vertical="top"/>
    </xf>
    <xf numFmtId="41" fontId="17" fillId="0" borderId="0" xfId="24" applyNumberFormat="1" applyFont="1" applyAlignment="1">
      <alignment horizontal="left"/>
    </xf>
    <xf numFmtId="171" fontId="17" fillId="0" borderId="0" xfId="24" applyNumberFormat="1" applyFont="1" applyAlignment="1">
      <alignment horizontal="center"/>
    </xf>
    <xf numFmtId="3" fontId="17" fillId="0" borderId="0" xfId="24" applyNumberFormat="1" applyFont="1"/>
    <xf numFmtId="3" fontId="32" fillId="0" borderId="0" xfId="24" applyNumberFormat="1" applyFont="1"/>
    <xf numFmtId="0" fontId="17" fillId="7" borderId="0" xfId="24" applyFont="1" applyFill="1" applyAlignment="1">
      <alignment horizontal="center"/>
    </xf>
    <xf numFmtId="9" fontId="17" fillId="7" borderId="0" xfId="24" applyNumberFormat="1" applyFont="1" applyFill="1" applyAlignment="1">
      <alignment horizontal="center"/>
    </xf>
    <xf numFmtId="41" fontId="17" fillId="7" borderId="0" xfId="24" applyNumberFormat="1" applyFont="1" applyFill="1"/>
    <xf numFmtId="14" fontId="17" fillId="0" borderId="0" xfId="25" applyNumberFormat="1" applyAlignment="1">
      <alignment horizontal="center"/>
    </xf>
    <xf numFmtId="0" fontId="17" fillId="0" borderId="0" xfId="25"/>
    <xf numFmtId="167" fontId="0" fillId="0" borderId="0" xfId="26" applyNumberFormat="1" applyFont="1"/>
    <xf numFmtId="41" fontId="10" fillId="7" borderId="0" xfId="24" applyNumberFormat="1" applyFont="1" applyFill="1"/>
    <xf numFmtId="0" fontId="1" fillId="0" borderId="0" xfId="24"/>
    <xf numFmtId="41" fontId="26" fillId="7" borderId="8" xfId="24" applyNumberFormat="1" applyFont="1" applyFill="1" applyBorder="1"/>
    <xf numFmtId="41" fontId="26" fillId="0" borderId="0" xfId="24" applyNumberFormat="1" applyFont="1"/>
    <xf numFmtId="0" fontId="26" fillId="0" borderId="0" xfId="24" applyFont="1" applyAlignment="1">
      <alignment horizontal="right"/>
    </xf>
    <xf numFmtId="0" fontId="6" fillId="2" borderId="0" xfId="2" applyFont="1" applyFill="1" applyAlignment="1">
      <alignment horizontal="left" indent="3"/>
    </xf>
    <xf numFmtId="167" fontId="7" fillId="0" borderId="1" xfId="1" applyNumberFormat="1" applyFont="1" applyBorder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6" fillId="2" borderId="0" xfId="2" applyFont="1" applyFill="1" applyAlignment="1">
      <alignment horizontal="left" indent="2"/>
    </xf>
    <xf numFmtId="167" fontId="6" fillId="0" borderId="3" xfId="1" applyNumberFormat="1" applyFont="1" applyBorder="1"/>
    <xf numFmtId="167" fontId="6" fillId="2" borderId="1" xfId="0" applyNumberFormat="1" applyFont="1" applyFill="1" applyBorder="1"/>
    <xf numFmtId="0" fontId="34" fillId="2" borderId="0" xfId="0" applyFont="1" applyFill="1"/>
    <xf numFmtId="0" fontId="34" fillId="0" borderId="0" xfId="0" applyFont="1"/>
    <xf numFmtId="44" fontId="7" fillId="0" borderId="0" xfId="0" applyNumberFormat="1" applyFont="1"/>
    <xf numFmtId="166" fontId="7" fillId="0" borderId="0" xfId="0" applyNumberFormat="1" applyFont="1"/>
    <xf numFmtId="166" fontId="6" fillId="0" borderId="0" xfId="23" applyNumberFormat="1" applyFont="1"/>
    <xf numFmtId="41" fontId="6" fillId="2" borderId="0" xfId="4" applyNumberFormat="1" applyFont="1" applyFill="1"/>
    <xf numFmtId="167" fontId="6" fillId="2" borderId="4" xfId="1" applyNumberFormat="1" applyFont="1" applyFill="1" applyBorder="1"/>
    <xf numFmtId="167" fontId="6" fillId="0" borderId="4" xfId="1" applyNumberFormat="1" applyFont="1" applyBorder="1"/>
    <xf numFmtId="0" fontId="15" fillId="2" borderId="4" xfId="0" applyFont="1" applyFill="1" applyBorder="1"/>
    <xf numFmtId="0" fontId="6" fillId="2" borderId="4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15" fillId="2" borderId="1" xfId="0" applyFont="1" applyFill="1" applyBorder="1"/>
    <xf numFmtId="0" fontId="15" fillId="2" borderId="2" xfId="0" applyFont="1" applyFill="1" applyBorder="1"/>
    <xf numFmtId="39" fontId="6" fillId="2" borderId="3" xfId="0" applyNumberFormat="1" applyFont="1" applyFill="1" applyBorder="1"/>
    <xf numFmtId="0" fontId="6" fillId="0" borderId="3" xfId="0" applyFont="1" applyBorder="1"/>
    <xf numFmtId="0" fontId="15" fillId="2" borderId="3" xfId="0" applyFont="1" applyFill="1" applyBorder="1"/>
    <xf numFmtId="167" fontId="6" fillId="0" borderId="2" xfId="3" applyNumberFormat="1" applyFont="1" applyBorder="1"/>
    <xf numFmtId="39" fontId="6" fillId="0" borderId="3" xfId="23" applyNumberFormat="1" applyFont="1" applyBorder="1"/>
    <xf numFmtId="39" fontId="6" fillId="0" borderId="0" xfId="0" applyNumberFormat="1" applyFont="1"/>
    <xf numFmtId="39" fontId="6" fillId="0" borderId="3" xfId="0" applyNumberFormat="1" applyFont="1" applyBorder="1"/>
    <xf numFmtId="39" fontId="15" fillId="0" borderId="0" xfId="0" applyNumberFormat="1" applyFont="1"/>
    <xf numFmtId="39" fontId="15" fillId="0" borderId="3" xfId="0" applyNumberFormat="1" applyFont="1" applyBorder="1"/>
    <xf numFmtId="167" fontId="6" fillId="0" borderId="1" xfId="1" applyNumberFormat="1" applyFont="1" applyBorder="1"/>
    <xf numFmtId="14" fontId="0" fillId="0" borderId="0" xfId="0" applyNumberFormat="1"/>
    <xf numFmtId="15" fontId="0" fillId="0" borderId="0" xfId="0" applyNumberFormat="1"/>
    <xf numFmtId="167" fontId="6" fillId="0" borderId="0" xfId="1" applyNumberFormat="1" applyFont="1"/>
    <xf numFmtId="167" fontId="6" fillId="0" borderId="2" xfId="1" applyNumberFormat="1" applyFont="1" applyBorder="1"/>
    <xf numFmtId="43" fontId="6" fillId="0" borderId="3" xfId="1" applyFont="1" applyBorder="1"/>
    <xf numFmtId="0" fontId="7" fillId="0" borderId="0" xfId="0" applyFont="1" applyAlignment="1">
      <alignment horizontal="left"/>
    </xf>
    <xf numFmtId="43" fontId="7" fillId="0" borderId="0" xfId="1" applyFont="1" applyAlignment="1">
      <alignment horizontal="center"/>
    </xf>
    <xf numFmtId="44" fontId="7" fillId="0" borderId="0" xfId="23" applyFont="1" applyAlignment="1">
      <alignment horizontal="center"/>
    </xf>
    <xf numFmtId="44" fontId="7" fillId="0" borderId="0" xfId="23" applyFont="1" applyAlignment="1">
      <alignment horizontal="center" wrapText="1"/>
    </xf>
    <xf numFmtId="167" fontId="7" fillId="0" borderId="0" xfId="1" applyNumberFormat="1" applyFont="1" applyAlignment="1">
      <alignment horizontal="right"/>
    </xf>
    <xf numFmtId="167" fontId="7" fillId="0" borderId="0" xfId="1" applyNumberFormat="1" applyFont="1" applyAlignment="1">
      <alignment horizontal="right" wrapText="1"/>
    </xf>
    <xf numFmtId="44" fontId="7" fillId="0" borderId="0" xfId="23" applyFont="1" applyAlignment="1">
      <alignment horizontal="right" wrapText="1"/>
    </xf>
    <xf numFmtId="166" fontId="6" fillId="2" borderId="9" xfId="3" applyNumberFormat="1" applyFont="1" applyFill="1" applyBorder="1"/>
    <xf numFmtId="166" fontId="7" fillId="0" borderId="1" xfId="23" applyNumberFormat="1" applyFont="1" applyBorder="1"/>
    <xf numFmtId="14" fontId="7" fillId="0" borderId="1" xfId="0" applyNumberFormat="1" applyFont="1" applyBorder="1"/>
    <xf numFmtId="166" fontId="7" fillId="0" borderId="4" xfId="23" applyNumberFormat="1" applyFont="1" applyBorder="1"/>
    <xf numFmtId="167" fontId="7" fillId="0" borderId="4" xfId="1" applyNumberFormat="1" applyFont="1" applyBorder="1"/>
    <xf numFmtId="44" fontId="7" fillId="0" borderId="4" xfId="23" applyFont="1" applyBorder="1"/>
    <xf numFmtId="167" fontId="7" fillId="0" borderId="4" xfId="0" applyNumberFormat="1" applyFont="1" applyBorder="1"/>
    <xf numFmtId="0" fontId="33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3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8" fillId="2" borderId="0" xfId="0" applyFont="1" applyFill="1" applyAlignment="1"/>
    <xf numFmtId="167" fontId="7" fillId="0" borderId="0" xfId="1" applyNumberFormat="1" applyFont="1" applyBorder="1" applyAlignment="1">
      <alignment horizontal="right"/>
    </xf>
    <xf numFmtId="167" fontId="7" fillId="0" borderId="0" xfId="1" applyNumberFormat="1" applyFont="1" applyBorder="1" applyAlignment="1">
      <alignment horizontal="right" wrapText="1"/>
    </xf>
    <xf numFmtId="167" fontId="7" fillId="0" borderId="0" xfId="1" applyNumberFormat="1" applyFont="1" applyBorder="1"/>
    <xf numFmtId="166" fontId="7" fillId="0" borderId="0" xfId="23" applyNumberFormat="1" applyFont="1" applyBorder="1"/>
    <xf numFmtId="0" fontId="11" fillId="0" borderId="0" xfId="0" applyFont="1" applyAlignment="1">
      <alignment horizontal="center"/>
    </xf>
    <xf numFmtId="0" fontId="8" fillId="2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8" fillId="0" borderId="0" xfId="24" quotePrefix="1" applyNumberFormat="1" applyFont="1" applyAlignment="1">
      <alignment horizontal="left"/>
    </xf>
  </cellXfs>
  <cellStyles count="27">
    <cellStyle name="Comma" xfId="1" builtinId="3"/>
    <cellStyle name="Comma 2" xfId="3" xr:uid="{00000000-0005-0000-0000-000001000000}"/>
    <cellStyle name="Comma 2 2" xfId="22" xr:uid="{00000000-0005-0000-0000-000002000000}"/>
    <cellStyle name="Comma 3" xfId="6" xr:uid="{00000000-0005-0000-0000-000003000000}"/>
    <cellStyle name="Comma 3 2" xfId="18" xr:uid="{00000000-0005-0000-0000-000004000000}"/>
    <cellStyle name="Comma 30 3" xfId="26" xr:uid="{00000000-0005-0000-0000-000005000000}"/>
    <cellStyle name="Comma 4" xfId="13" xr:uid="{00000000-0005-0000-0000-000006000000}"/>
    <cellStyle name="Comma 5" xfId="9" xr:uid="{00000000-0005-0000-0000-000007000000}"/>
    <cellStyle name="Currency" xfId="23" builtinId="4"/>
    <cellStyle name="Currency 2" xfId="4" xr:uid="{00000000-0005-0000-0000-000009000000}"/>
    <cellStyle name="Currency 3" xfId="11" xr:uid="{00000000-0005-0000-0000-00000A000000}"/>
    <cellStyle name="Normal" xfId="0" builtinId="0"/>
    <cellStyle name="Normal 100 2" xfId="20" xr:uid="{00000000-0005-0000-0000-00000C000000}"/>
    <cellStyle name="Normal 119 2" xfId="25" xr:uid="{00000000-0005-0000-0000-00000D000000}"/>
    <cellStyle name="Normal 177" xfId="24" xr:uid="{00000000-0005-0000-0000-00000E000000}"/>
    <cellStyle name="Normal 2" xfId="2" xr:uid="{00000000-0005-0000-0000-00000F000000}"/>
    <cellStyle name="Normal 2 2" xfId="12" xr:uid="{00000000-0005-0000-0000-000010000000}"/>
    <cellStyle name="Normal 2 3" xfId="5" xr:uid="{00000000-0005-0000-0000-000011000000}"/>
    <cellStyle name="Normal 2 5" xfId="19" xr:uid="{00000000-0005-0000-0000-000012000000}"/>
    <cellStyle name="Normal 3" xfId="7" xr:uid="{00000000-0005-0000-0000-000013000000}"/>
    <cellStyle name="Normal 3 2" xfId="10" xr:uid="{00000000-0005-0000-0000-000014000000}"/>
    <cellStyle name="Normal 3 3" xfId="17" xr:uid="{00000000-0005-0000-0000-000015000000}"/>
    <cellStyle name="PPCRef_AA_PCA_0fc72f4a53444668a68a092e3cc57109_0fc72f4a53444668a68a092e3cc57109" xfId="8" xr:uid="{00000000-0005-0000-0000-000016000000}"/>
    <cellStyle name="常规 2" xfId="14" xr:uid="{00000000-0005-0000-0000-000017000000}"/>
    <cellStyle name="常规_分所2004报表模板" xfId="21" xr:uid="{00000000-0005-0000-0000-000018000000}"/>
    <cellStyle name="货币 2" xfId="15" xr:uid="{00000000-0005-0000-0000-000019000000}"/>
    <cellStyle name="货币 3" xfId="16" xr:uid="{00000000-0005-0000-0000-00001A000000}"/>
  </cellStyles>
  <dxfs count="1"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en\my%20document\My%20Documents\Excel\Invoice%20spread%20up%20to%20Nov_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\SYS\TRACY\WFDATA\HK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/SEC%20AUDITPREP%20LIMITED/Client%20Directory/Powersmart/2007_2Q_630/From%20Howard%207312007/final/My%20Documents/P373/P373TB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B2D3/Invoice%20spread%20up%20to%20Nov_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d as at Nov-02"/>
      <sheetName val="Invoiced as at Nov_0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Account No (2)"/>
      <sheetName val="Co Account No"/>
      <sheetName val="Bank Rec"/>
      <sheetName val="Fok On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"/>
      <sheetName val="R"/>
      <sheetName val="Y"/>
      <sheetName val="Z"/>
      <sheetName val="index"/>
      <sheetName val="1"/>
      <sheetName val="5"/>
      <sheetName val="5-1"/>
      <sheetName val="6A-1"/>
      <sheetName val="6B-1 (2)"/>
      <sheetName val="6B-2 (2)"/>
      <sheetName val="6B-3 (2)"/>
      <sheetName val="6B-4 (2)"/>
      <sheetName val="6B-5 (2)"/>
      <sheetName val="7"/>
      <sheetName val="12"/>
      <sheetName val="15"/>
      <sheetName val="A1200"/>
      <sheetName val="A1201"/>
      <sheetName val="20"/>
      <sheetName val="A"/>
      <sheetName val="A1 "/>
      <sheetName val="AP1"/>
      <sheetName val="AP2"/>
      <sheetName val="C (2)"/>
      <sheetName val="C1 (2)"/>
      <sheetName val="G"/>
      <sheetName val="G1"/>
      <sheetName val="G1-1"/>
      <sheetName val="G2-1"/>
      <sheetName val="G2"/>
      <sheetName val="G3"/>
      <sheetName val="G4"/>
      <sheetName val="G5"/>
      <sheetName val="G5-1"/>
      <sheetName val="G5-2"/>
      <sheetName val="G5-3"/>
      <sheetName val="G5-4"/>
      <sheetName val="G5-5"/>
      <sheetName val="G5-6"/>
      <sheetName val="H"/>
      <sheetName val="J"/>
      <sheetName val="J1"/>
      <sheetName val="J2"/>
      <sheetName val="J3"/>
      <sheetName val="J3-1"/>
      <sheetName val="J3-2"/>
      <sheetName val="J3-3"/>
      <sheetName val="J3-4"/>
      <sheetName val="J3-5"/>
      <sheetName val="J3-6"/>
      <sheetName val="J3-7"/>
      <sheetName val="J3-8"/>
      <sheetName val="J3-9"/>
      <sheetName val="J3-10"/>
      <sheetName val="J3-11"/>
      <sheetName val="J4"/>
      <sheetName val="K"/>
      <sheetName val="MP1"/>
      <sheetName val="MP2"/>
      <sheetName val="NP1"/>
      <sheetName val="NP2"/>
      <sheetName val="smallQ"/>
      <sheetName val="S"/>
      <sheetName val="T"/>
      <sheetName val="U"/>
      <sheetName val="V"/>
      <sheetName val="W"/>
      <sheetName val="X1"/>
      <sheetName val="X2"/>
      <sheetName val="X3"/>
      <sheetName val="x"/>
      <sheetName val="Register"/>
      <sheetName val="Ex Di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d as at Nov-02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CCW-pz" refreshedDate="42766.641768287038" createdVersion="3" refreshedVersion="3" minRefreshableVersion="3" recordCount="41" xr:uid="{00000000-000A-0000-FFFF-FFFF12000000}">
  <cacheSource type="worksheet">
    <worksheetSource ref="A1:E42" sheet="TB"/>
  </cacheSource>
  <cacheFields count="5">
    <cacheField name="Account Number" numFmtId="0">
      <sharedItems/>
    </cacheField>
    <cacheField name="Account Name" numFmtId="0">
      <sharedItems/>
    </cacheField>
    <cacheField name="Account Description" numFmtId="0">
      <sharedItems/>
    </cacheField>
    <cacheField name="Grouping" numFmtId="0">
      <sharedItems count="23">
        <s v="     Cash &amp; cash equivalents"/>
        <s v="Write off"/>
        <s v="Bad debt on uncollectible advances to related party"/>
        <s v="     Advances to related parties, net of allowance"/>
        <s v="Security deposit"/>
        <s v="     Accrued liabilities"/>
        <s v="  Due to related parties"/>
        <s v="  Demand notes"/>
        <s v="     Common stock; $0.0001 par value, 100,000,000 shares"/>
        <s v="     Discount on Common Stock"/>
        <s v="     Additional paid - in capital"/>
        <s v="     Accumulated deficit"/>
        <s v="Interest income, related party"/>
        <s v="Bad debt on uncollectible interest from related party"/>
        <s v="Salaries and Wages"/>
        <s v="Other operating expenses"/>
        <s v="Discount on Common Stock" u="1"/>
        <s v="Accumulated deficit" u="1"/>
        <s v="Common stock; $0.0001 par value, 100,000,000 shares" u="1"/>
        <s v="Accrued liabilities" u="1"/>
        <s v="Additional paid - in capital" u="1"/>
        <s v="Advances to related parties, net of allowance" u="1"/>
        <s v="Cash &amp; cash equivalents" u="1"/>
      </sharedItems>
    </cacheField>
    <cacheField name="Amount" numFmtId="8">
      <sharedItems containsSemiMixedTypes="0" containsString="0" containsNumber="1" minValue="-1463639.29" maxValue="1299164.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1010"/>
    <s v="Cash &amp; cash equivalents"/>
    <s v="BMO account xx372"/>
    <x v="0"/>
    <n v="1518.71"/>
  </r>
  <r>
    <s v="1020"/>
    <s v="Cash &amp; cash equivalents"/>
    <s v="BMO Harris Bank account xx150-3"/>
    <x v="0"/>
    <n v="-912.52"/>
  </r>
  <r>
    <s v="1030"/>
    <s v="Cash &amp; cash equivalents"/>
    <s v="USbank Account xx5365"/>
    <x v="0"/>
    <n v="701.02"/>
  </r>
  <r>
    <s v="1202"/>
    <s v="Interest receivable"/>
    <s v="Interest Recivable"/>
    <x v="1"/>
    <n v="28114.27"/>
  </r>
  <r>
    <s v="1203"/>
    <s v="Interest allowance"/>
    <s v="Interest Recivable"/>
    <x v="2"/>
    <n v="-28114.27"/>
  </r>
  <r>
    <s v="1210"/>
    <s v="Advance to related parties"/>
    <s v="Advance to Closed Loop Investments"/>
    <x v="3"/>
    <n v="52909.5"/>
  </r>
  <r>
    <s v="1215"/>
    <s v="Advance to related parties"/>
    <s v="Advance to Greys Paper  LP"/>
    <x v="1"/>
    <n v="1299164.8999999999"/>
  </r>
  <r>
    <s v="1215"/>
    <s v="Advance to related parties"/>
    <s v="Advance to Greys Paper  LP"/>
    <x v="2"/>
    <n v="-1299164.8999999999"/>
  </r>
  <r>
    <s v="1320"/>
    <s v="Prepaid Expenses"/>
    <s v="Prepaid Expenses"/>
    <x v="4"/>
    <n v="3791.33"/>
  </r>
  <r>
    <s v="2100"/>
    <s v="Accounts payable and accrued liabilities"/>
    <s v="Accounts Payable"/>
    <x v="5"/>
    <n v="-32678.49"/>
  </r>
  <r>
    <s v="2115"/>
    <s v="Accounts payable and accrued liabilities"/>
    <s v="Accrued Liabilities"/>
    <x v="5"/>
    <n v="-400"/>
  </r>
  <r>
    <s v="2120"/>
    <s v="Accounts payable and accrued liabilities"/>
    <s v="Deferred Rent Liabilities"/>
    <x v="5"/>
    <n v="-3791.33"/>
  </r>
  <r>
    <s v="2125"/>
    <s v="Accounts payable and accrued liabilities"/>
    <s v="Due to Related Parties"/>
    <x v="6"/>
    <n v="-180000"/>
  </r>
  <r>
    <s v="2650"/>
    <s v="Accounts payable and accrued liabilities"/>
    <s v="Demand Note-Garet Bonn"/>
    <x v="7"/>
    <n v="-6000"/>
  </r>
  <r>
    <s v="2660"/>
    <s v="Accounts payable and accrued liabilities"/>
    <s v="Demand Note-Teri Lynne Mierlo Kanto"/>
    <x v="7"/>
    <n v="-7500"/>
  </r>
  <r>
    <s v="2670"/>
    <s v="Accounts payable and accrued liabilities"/>
    <s v="Demand Note-Colin Joseph LeBlanc"/>
    <x v="7"/>
    <n v="-7500"/>
  </r>
  <r>
    <s v="3310"/>
    <s v="Common stock"/>
    <s v="Common Stocks"/>
    <x v="8"/>
    <n v="-1415.71"/>
  </r>
  <r>
    <s v="3315"/>
    <s v="Discount on Common Stock"/>
    <s v="Discount on Common Stocks"/>
    <x v="9"/>
    <n v="548"/>
  </r>
  <r>
    <s v="3320"/>
    <s v="Additional Paid-in Capital"/>
    <s v=" Additional paid - in capital"/>
    <x v="10"/>
    <n v="-1463639.29"/>
  </r>
  <r>
    <s v="3560"/>
    <s v="Retained Earnings - Previous Year"/>
    <s v="Retained Earnings - Previous Year"/>
    <x v="11"/>
    <n v="657"/>
  </r>
  <r>
    <s v="4440"/>
    <s v="Interest Income"/>
    <s v="Interest Income"/>
    <x v="12"/>
    <n v="-28114.27"/>
  </r>
  <r>
    <s v="4440"/>
    <s v="Interest Income"/>
    <s v="Interest Income"/>
    <x v="1"/>
    <n v="28114.27"/>
  </r>
  <r>
    <s v="4440"/>
    <s v="Interest Income"/>
    <s v="Advance to Greys Paper  LP"/>
    <x v="13"/>
    <n v="1299164.8999999999"/>
  </r>
  <r>
    <s v="5410"/>
    <s v="Salary and Wages"/>
    <s v="Payroll Expense"/>
    <x v="14"/>
    <n v="12724.53"/>
  </r>
  <r>
    <s v="5475"/>
    <s v="Salary and Wages"/>
    <s v="Management Fee"/>
    <x v="14"/>
    <n v="180000"/>
  </r>
  <r>
    <s v="5605"/>
    <s v="Operating expenses"/>
    <s v="Profeesional Fee-Accounting"/>
    <x v="15"/>
    <n v="17662.63"/>
  </r>
  <r>
    <s v="5610"/>
    <s v="Operating expenses"/>
    <s v="Professional Fee-Legal"/>
    <x v="15"/>
    <n v="42460.6"/>
  </r>
  <r>
    <s v="5612"/>
    <s v="Operating expenses"/>
    <s v="Admin Charges"/>
    <x v="15"/>
    <n v="11594.99"/>
  </r>
  <r>
    <s v="5614"/>
    <s v="Operating expenses"/>
    <s v="Advertising &amp;Promotion"/>
    <x v="15"/>
    <n v="5039.5"/>
  </r>
  <r>
    <s v="5615"/>
    <s v="Operating expenses"/>
    <s v="Advertising &amp; Promo- Meals"/>
    <x v="15"/>
    <n v="279.60000000000002"/>
  </r>
  <r>
    <s v="5616"/>
    <s v="Operating expenses"/>
    <s v="Website Design"/>
    <x v="15"/>
    <n v="979.71"/>
  </r>
  <r>
    <s v="5618"/>
    <s v="Operating expenses"/>
    <s v="Engineering and Design"/>
    <x v="15"/>
    <n v="10250"/>
  </r>
  <r>
    <s v="5625"/>
    <s v="Operating expenses"/>
    <s v="Registration Charges"/>
    <x v="15"/>
    <n v="5107.41"/>
  </r>
  <r>
    <s v="5630"/>
    <s v="Operating expenses"/>
    <s v="Trademark"/>
    <x v="15"/>
    <n v="1854.38"/>
  </r>
  <r>
    <s v="5640"/>
    <s v="Operating expenses"/>
    <s v="Postage Expense"/>
    <x v="15"/>
    <n v="265.57"/>
  </r>
  <r>
    <s v="5685"/>
    <s v="Operating expenses"/>
    <s v="Insurance"/>
    <x v="15"/>
    <n v="1608"/>
  </r>
  <r>
    <s v="5690"/>
    <s v="Operating expenses"/>
    <s v="Interest &amp; Bank Charges"/>
    <x v="15"/>
    <n v="4088.54"/>
  </r>
  <r>
    <s v="5700"/>
    <s v="Operating expenses"/>
    <s v="Office Supplies/Expense"/>
    <x v="15"/>
    <n v="1807.46"/>
  </r>
  <r>
    <s v="5760"/>
    <s v="Operating expenses"/>
    <s v="Office Rent"/>
    <x v="15"/>
    <n v="11373.99"/>
  </r>
  <r>
    <s v="5780"/>
    <s v="Operating expenses"/>
    <s v="Communication Line Expenses"/>
    <x v="15"/>
    <n v="2394.34"/>
  </r>
  <r>
    <s v="5784"/>
    <s v="Operating expenses"/>
    <s v="Travel Expense"/>
    <x v="15"/>
    <n v="35055.62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:H18" firstHeaderRow="1" firstDataRow="1" firstDataCol="1"/>
  <pivotFields count="5">
    <pivotField showAll="0"/>
    <pivotField showAll="0"/>
    <pivotField showAll="0"/>
    <pivotField axis="axisRow" showAll="0">
      <items count="24">
        <item x="7"/>
        <item x="6"/>
        <item m="1" x="19"/>
        <item m="1" x="17"/>
        <item m="1" x="20"/>
        <item m="1" x="21"/>
        <item x="2"/>
        <item x="13"/>
        <item m="1" x="22"/>
        <item m="1" x="18"/>
        <item m="1" x="16"/>
        <item x="12"/>
        <item x="15"/>
        <item x="14"/>
        <item x="4"/>
        <item x="1"/>
        <item x="0"/>
        <item x="3"/>
        <item x="5"/>
        <item x="8"/>
        <item x="9"/>
        <item x="10"/>
        <item x="11"/>
        <item t="default"/>
      </items>
    </pivotField>
    <pivotField dataField="1" numFmtId="8" showAll="0"/>
  </pivotFields>
  <rowFields count="1">
    <field x="3"/>
  </rowFields>
  <rowItems count="17">
    <i>
      <x/>
    </i>
    <i>
      <x v="1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mount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41"/>
  <sheetViews>
    <sheetView showGridLines="0" topLeftCell="A3" zoomScale="85" zoomScaleNormal="85" workbookViewId="0">
      <selection activeCell="I23" sqref="I23"/>
    </sheetView>
  </sheetViews>
  <sheetFormatPr defaultColWidth="9.1328125" defaultRowHeight="13.15"/>
  <cols>
    <col min="1" max="1" width="9.59765625" style="43" customWidth="1"/>
    <col min="2" max="2" width="16.3984375" style="43" customWidth="1"/>
    <col min="3" max="3" width="30" style="43" customWidth="1"/>
    <col min="4" max="4" width="16.59765625" style="43" customWidth="1"/>
    <col min="5" max="5" width="2.86328125" style="43" customWidth="1"/>
    <col min="6" max="6" width="17.1328125" style="43" customWidth="1"/>
    <col min="7" max="7" width="4.59765625" style="43" hidden="1" customWidth="1"/>
    <col min="8" max="8" width="9.1328125" style="43"/>
    <col min="9" max="9" width="13.86328125" style="43" bestFit="1" customWidth="1"/>
    <col min="10" max="10" width="9.73046875" style="43" bestFit="1" customWidth="1"/>
    <col min="11" max="11" width="9.86328125" style="43" bestFit="1" customWidth="1"/>
    <col min="12" max="12" width="9.1328125" style="43"/>
    <col min="13" max="13" width="9.73046875" style="43" bestFit="1" customWidth="1"/>
    <col min="14" max="16384" width="9.1328125" style="43"/>
  </cols>
  <sheetData>
    <row r="1" spans="1:13">
      <c r="A1" s="237" t="s">
        <v>200</v>
      </c>
      <c r="B1" s="237"/>
      <c r="C1" s="237"/>
      <c r="D1" s="237"/>
      <c r="E1" s="237"/>
      <c r="F1" s="237"/>
      <c r="G1" s="42"/>
      <c r="H1" s="19"/>
      <c r="I1" s="19"/>
      <c r="J1" s="19"/>
      <c r="K1" s="19"/>
      <c r="L1" s="19"/>
      <c r="M1" s="19"/>
    </row>
    <row r="2" spans="1:13">
      <c r="A2" s="237" t="s">
        <v>241</v>
      </c>
      <c r="B2" s="237"/>
      <c r="C2" s="237"/>
      <c r="D2" s="237"/>
      <c r="E2" s="237"/>
      <c r="F2" s="237"/>
      <c r="G2" s="42"/>
      <c r="H2" s="19"/>
      <c r="I2" s="19"/>
      <c r="J2" s="19"/>
      <c r="K2" s="19"/>
      <c r="L2" s="19"/>
      <c r="M2" s="19"/>
    </row>
    <row r="3" spans="1:13">
      <c r="A3" s="237" t="s">
        <v>239</v>
      </c>
      <c r="B3" s="237"/>
      <c r="C3" s="237"/>
      <c r="D3" s="237"/>
      <c r="E3" s="237"/>
      <c r="F3" s="237"/>
      <c r="G3" s="42"/>
      <c r="H3" s="19"/>
      <c r="I3" s="19"/>
      <c r="J3" s="19"/>
      <c r="K3" s="19"/>
      <c r="L3" s="19"/>
      <c r="M3" s="19"/>
    </row>
    <row r="4" spans="1:13">
      <c r="A4" s="1"/>
      <c r="B4" s="2"/>
      <c r="C4" s="2"/>
      <c r="D4" s="4"/>
      <c r="E4" s="2"/>
      <c r="F4" s="44"/>
      <c r="G4" s="44"/>
      <c r="H4" s="19"/>
      <c r="I4" s="19"/>
      <c r="J4" s="19"/>
      <c r="K4" s="19"/>
      <c r="L4" s="19"/>
      <c r="M4" s="19"/>
    </row>
    <row r="5" spans="1:13">
      <c r="A5" s="44"/>
      <c r="B5" s="44"/>
      <c r="C5" s="44"/>
      <c r="D5" s="3">
        <v>43738</v>
      </c>
      <c r="E5" s="44"/>
      <c r="F5" s="3">
        <v>43465</v>
      </c>
      <c r="G5" s="4"/>
      <c r="H5" s="5"/>
      <c r="I5" s="5"/>
      <c r="J5" s="5"/>
      <c r="K5" s="5"/>
      <c r="L5" s="5"/>
      <c r="M5" s="19"/>
    </row>
    <row r="6" spans="1:13">
      <c r="A6" s="44"/>
      <c r="B6" s="44"/>
      <c r="C6" s="44"/>
      <c r="D6" s="6"/>
      <c r="E6" s="44"/>
      <c r="F6" s="6"/>
      <c r="G6" s="4"/>
      <c r="H6" s="5"/>
      <c r="I6" s="5" t="s">
        <v>176</v>
      </c>
      <c r="J6" s="116">
        <f>D11-D21</f>
        <v>-173837.62</v>
      </c>
      <c r="K6" s="116">
        <f>F11-F21</f>
        <v>-115755.31000000001</v>
      </c>
      <c r="L6" s="5"/>
      <c r="M6" s="19"/>
    </row>
    <row r="7" spans="1:13">
      <c r="A7" s="44"/>
      <c r="B7" s="44"/>
      <c r="C7" s="44"/>
      <c r="D7" s="6"/>
      <c r="E7" s="44"/>
      <c r="F7" s="6"/>
      <c r="G7" s="4"/>
      <c r="H7" s="5"/>
      <c r="I7" s="5"/>
      <c r="J7" s="5"/>
      <c r="K7" s="5"/>
      <c r="L7" s="5"/>
      <c r="M7" s="19"/>
    </row>
    <row r="8" spans="1:13">
      <c r="A8" s="237" t="s">
        <v>0</v>
      </c>
      <c r="B8" s="237"/>
      <c r="C8" s="237"/>
      <c r="D8" s="237"/>
      <c r="E8" s="237"/>
      <c r="F8" s="237"/>
      <c r="G8" s="2"/>
      <c r="H8" s="5"/>
      <c r="I8" s="5"/>
      <c r="J8" s="7"/>
      <c r="K8" s="7"/>
      <c r="L8" s="7"/>
      <c r="M8" s="19"/>
    </row>
    <row r="9" spans="1:13">
      <c r="A9" s="2" t="s">
        <v>1</v>
      </c>
      <c r="B9" s="2"/>
      <c r="C9" s="44"/>
      <c r="D9" s="8"/>
      <c r="E9" s="44"/>
      <c r="F9" s="44"/>
      <c r="G9" s="2"/>
      <c r="H9" s="5"/>
      <c r="I9" s="5"/>
      <c r="J9" s="9"/>
      <c r="K9" s="5"/>
      <c r="L9" s="9"/>
      <c r="M9" s="19"/>
    </row>
    <row r="10" spans="1:13">
      <c r="A10" s="181" t="s">
        <v>86</v>
      </c>
      <c r="B10" s="2"/>
      <c r="C10" s="44"/>
      <c r="D10" s="118">
        <v>178</v>
      </c>
      <c r="E10" s="45"/>
      <c r="F10" s="118">
        <v>104</v>
      </c>
      <c r="G10" s="11"/>
      <c r="H10" s="21"/>
      <c r="I10" s="5"/>
      <c r="J10" s="12"/>
      <c r="K10" s="12"/>
      <c r="L10" s="12"/>
      <c r="M10" s="19"/>
    </row>
    <row r="11" spans="1:13">
      <c r="A11" s="2"/>
      <c r="B11" s="2" t="s">
        <v>80</v>
      </c>
      <c r="C11" s="44"/>
      <c r="D11" s="38">
        <f>SUM(D10:D10)</f>
        <v>178</v>
      </c>
      <c r="E11" s="2"/>
      <c r="F11" s="38">
        <f>SUM(F10:F10)</f>
        <v>104</v>
      </c>
      <c r="G11" s="2"/>
      <c r="H11" s="38"/>
      <c r="I11" s="5"/>
      <c r="J11" s="5"/>
      <c r="K11" s="5"/>
      <c r="L11" s="5"/>
    </row>
    <row r="12" spans="1:13">
      <c r="A12" s="2"/>
      <c r="B12" s="2"/>
      <c r="C12" s="44"/>
      <c r="D12" s="2"/>
      <c r="E12" s="2"/>
      <c r="F12" s="2"/>
      <c r="G12" s="2"/>
      <c r="H12" s="5"/>
      <c r="I12" s="5"/>
      <c r="J12" s="5"/>
      <c r="K12" s="5"/>
      <c r="L12" s="5"/>
    </row>
    <row r="13" spans="1:13" ht="13.5" thickBot="1">
      <c r="A13" s="44"/>
      <c r="B13" s="2" t="s">
        <v>4</v>
      </c>
      <c r="C13" s="44"/>
      <c r="D13" s="18">
        <f>SUM(D11:D12)</f>
        <v>178</v>
      </c>
      <c r="E13" s="2"/>
      <c r="F13" s="18">
        <f>SUM(F11:F12)</f>
        <v>104</v>
      </c>
      <c r="G13" s="2"/>
      <c r="H13" s="10"/>
      <c r="I13" s="5"/>
      <c r="J13" s="5"/>
      <c r="K13" s="5"/>
      <c r="L13" s="5"/>
    </row>
    <row r="14" spans="1:13" ht="13.5" thickTop="1">
      <c r="A14" s="2"/>
      <c r="B14" s="2"/>
      <c r="C14" s="44"/>
      <c r="D14" s="2"/>
      <c r="E14" s="2"/>
      <c r="F14" s="20"/>
      <c r="G14" s="2"/>
      <c r="H14" s="19"/>
      <c r="I14" s="5"/>
      <c r="J14" s="5"/>
      <c r="K14" s="21"/>
      <c r="L14" s="5"/>
    </row>
    <row r="15" spans="1:13">
      <c r="A15" s="237" t="s">
        <v>5</v>
      </c>
      <c r="B15" s="237"/>
      <c r="C15" s="237"/>
      <c r="D15" s="237"/>
      <c r="E15" s="237"/>
      <c r="F15" s="237"/>
      <c r="G15" s="2"/>
      <c r="H15" s="19"/>
      <c r="I15" s="5"/>
      <c r="J15" s="5"/>
      <c r="K15" s="5"/>
      <c r="L15" s="5"/>
    </row>
    <row r="16" spans="1:13">
      <c r="A16" s="2"/>
      <c r="B16" s="2"/>
      <c r="C16" s="44"/>
      <c r="D16" s="2"/>
      <c r="E16" s="2"/>
      <c r="F16" s="17"/>
      <c r="G16" s="2"/>
      <c r="H16" s="19"/>
      <c r="I16" s="5"/>
      <c r="J16" s="5"/>
      <c r="K16" s="5"/>
      <c r="L16" s="5"/>
    </row>
    <row r="17" spans="1:14">
      <c r="A17" s="2" t="s">
        <v>6</v>
      </c>
      <c r="B17" s="2"/>
      <c r="C17" s="44"/>
      <c r="D17" s="2"/>
      <c r="E17" s="2"/>
      <c r="F17" s="22"/>
      <c r="G17" s="2"/>
      <c r="H17" s="19"/>
      <c r="I17" s="5"/>
      <c r="J17" s="5"/>
      <c r="K17" s="5"/>
      <c r="L17" s="5"/>
    </row>
    <row r="18" spans="1:14">
      <c r="A18" s="52" t="s">
        <v>30</v>
      </c>
      <c r="B18" s="2"/>
      <c r="C18" s="44"/>
      <c r="D18" s="188">
        <v>0</v>
      </c>
      <c r="E18" s="45"/>
      <c r="F18" s="188">
        <v>3716.82</v>
      </c>
      <c r="G18" s="2"/>
      <c r="H18" s="21"/>
      <c r="I18" s="5"/>
      <c r="J18" s="5"/>
      <c r="K18" s="5"/>
      <c r="L18" s="5"/>
    </row>
    <row r="19" spans="1:14">
      <c r="A19" s="52" t="s">
        <v>202</v>
      </c>
      <c r="B19" s="2"/>
      <c r="C19" s="44"/>
      <c r="D19" s="53">
        <f>174014.62+1</f>
        <v>174015.62</v>
      </c>
      <c r="E19" s="45"/>
      <c r="F19" s="53">
        <v>112142.49</v>
      </c>
      <c r="G19" s="2"/>
      <c r="H19" s="21"/>
      <c r="I19" s="5"/>
      <c r="J19" s="5"/>
      <c r="K19" s="5"/>
      <c r="L19" s="5"/>
    </row>
    <row r="20" spans="1:14">
      <c r="A20" s="52"/>
      <c r="B20" s="2"/>
      <c r="C20" s="44"/>
      <c r="D20" s="38"/>
      <c r="E20" s="45"/>
      <c r="F20" s="38"/>
      <c r="G20" s="2"/>
      <c r="H20" s="19"/>
      <c r="I20" s="5"/>
      <c r="J20" s="5"/>
      <c r="K20" s="5"/>
      <c r="L20" s="5"/>
    </row>
    <row r="21" spans="1:14">
      <c r="A21" s="52"/>
      <c r="B21" s="2" t="s">
        <v>6</v>
      </c>
      <c r="C21" s="44"/>
      <c r="D21" s="207">
        <f>SUM(D18:D20)</f>
        <v>174015.62</v>
      </c>
      <c r="E21" s="45"/>
      <c r="F21" s="207">
        <f>SUM(F18:F20)</f>
        <v>115859.31000000001</v>
      </c>
      <c r="G21" s="2"/>
      <c r="H21" s="38"/>
      <c r="I21" s="5"/>
      <c r="J21" s="5"/>
      <c r="K21" s="5"/>
      <c r="L21" s="5"/>
    </row>
    <row r="22" spans="1:14">
      <c r="A22" s="52"/>
      <c r="B22" s="2"/>
      <c r="C22" s="44"/>
      <c r="D22" s="38"/>
      <c r="E22" s="45"/>
      <c r="F22" s="38"/>
      <c r="G22" s="2"/>
      <c r="H22" s="19"/>
      <c r="I22" s="5"/>
      <c r="J22" s="5"/>
      <c r="K22" s="5"/>
      <c r="L22" s="5"/>
    </row>
    <row r="23" spans="1:14">
      <c r="A23" s="2" t="s">
        <v>8</v>
      </c>
      <c r="B23" s="2"/>
      <c r="C23" s="44"/>
      <c r="D23" s="2"/>
      <c r="E23" s="2"/>
      <c r="F23" s="17"/>
      <c r="G23" s="2"/>
      <c r="H23" s="19"/>
      <c r="I23" s="19"/>
      <c r="J23" s="19"/>
      <c r="K23" s="46"/>
      <c r="L23" s="19"/>
      <c r="M23" s="19"/>
      <c r="N23" s="19"/>
    </row>
    <row r="24" spans="1:14">
      <c r="A24" s="2" t="s">
        <v>9</v>
      </c>
      <c r="B24" s="44"/>
      <c r="C24" s="44"/>
      <c r="D24" s="14">
        <v>0</v>
      </c>
      <c r="E24" s="2"/>
      <c r="F24" s="55">
        <v>0</v>
      </c>
      <c r="G24" s="2"/>
      <c r="H24" s="21"/>
      <c r="I24" s="19"/>
      <c r="J24" s="19"/>
      <c r="K24" s="19"/>
      <c r="L24" s="25"/>
      <c r="M24" s="25"/>
      <c r="N24" s="25"/>
    </row>
    <row r="25" spans="1:14">
      <c r="A25" s="117" t="s">
        <v>257</v>
      </c>
      <c r="B25" s="44"/>
      <c r="C25" s="44"/>
      <c r="D25" s="26"/>
      <c r="E25" s="2"/>
      <c r="F25" s="38"/>
      <c r="G25" s="2"/>
      <c r="H25" s="19"/>
      <c r="I25" s="19"/>
      <c r="J25" s="19"/>
      <c r="K25" s="19"/>
      <c r="L25" s="25"/>
      <c r="M25" s="25"/>
      <c r="N25" s="25"/>
    </row>
    <row r="26" spans="1:14">
      <c r="A26" s="175" t="s">
        <v>240</v>
      </c>
      <c r="B26" s="44"/>
      <c r="C26" s="44"/>
      <c r="D26" s="26"/>
      <c r="E26" s="2"/>
      <c r="F26" s="38"/>
      <c r="G26" s="2"/>
      <c r="H26" s="19"/>
      <c r="I26" s="19"/>
      <c r="J26" s="19"/>
      <c r="K26" s="19"/>
      <c r="L26" s="25"/>
      <c r="M26" s="25"/>
      <c r="N26" s="25"/>
    </row>
    <row r="27" spans="1:14">
      <c r="A27" s="2" t="s">
        <v>10</v>
      </c>
      <c r="B27" s="2"/>
      <c r="C27" s="44"/>
      <c r="D27" s="13">
        <v>652</v>
      </c>
      <c r="E27" s="45"/>
      <c r="F27" s="13">
        <v>652</v>
      </c>
      <c r="G27" s="2"/>
      <c r="H27" s="21"/>
      <c r="I27" s="19"/>
      <c r="J27" s="19"/>
      <c r="K27" s="19"/>
      <c r="L27" s="25"/>
      <c r="M27" s="25"/>
      <c r="N27" s="25"/>
    </row>
    <row r="28" spans="1:14">
      <c r="A28" s="117" t="s">
        <v>228</v>
      </c>
      <c r="B28" s="44"/>
      <c r="C28" s="44"/>
      <c r="D28" s="26"/>
      <c r="E28" s="2"/>
      <c r="F28" s="26"/>
      <c r="G28" s="2"/>
      <c r="H28" s="19"/>
      <c r="I28" s="19"/>
      <c r="J28" s="19"/>
      <c r="K28" s="19"/>
      <c r="L28" s="19"/>
      <c r="M28" s="19"/>
      <c r="N28" s="19"/>
    </row>
    <row r="29" spans="1:14">
      <c r="A29" s="175" t="s">
        <v>258</v>
      </c>
      <c r="B29" s="44"/>
      <c r="C29" s="44"/>
      <c r="D29" s="26"/>
      <c r="E29" s="2"/>
      <c r="F29" s="26"/>
      <c r="G29" s="2"/>
      <c r="H29" s="19"/>
      <c r="I29" s="19"/>
      <c r="J29" s="19"/>
      <c r="K29" s="19"/>
      <c r="L29" s="19"/>
      <c r="M29" s="19"/>
      <c r="N29" s="19"/>
    </row>
    <row r="30" spans="1:14">
      <c r="A30" s="27" t="s">
        <v>11</v>
      </c>
      <c r="B30" s="44"/>
      <c r="C30" s="44"/>
      <c r="D30" s="26">
        <v>-670</v>
      </c>
      <c r="E30" s="2"/>
      <c r="F30" s="26">
        <v>-670</v>
      </c>
      <c r="G30" s="2"/>
      <c r="H30" s="21"/>
      <c r="I30" s="19"/>
      <c r="J30" s="19"/>
      <c r="K30" s="19"/>
      <c r="L30" s="19"/>
      <c r="M30" s="19"/>
      <c r="N30" s="19"/>
    </row>
    <row r="31" spans="1:14">
      <c r="A31" s="2" t="s">
        <v>12</v>
      </c>
      <c r="B31" s="44"/>
      <c r="C31" s="44"/>
      <c r="D31" s="26">
        <f>2202</f>
        <v>2202</v>
      </c>
      <c r="E31" s="2"/>
      <c r="F31" s="26">
        <f>2202</f>
        <v>2202</v>
      </c>
      <c r="G31" s="2"/>
      <c r="H31" s="21"/>
      <c r="I31" s="19"/>
      <c r="J31" s="19"/>
      <c r="K31" s="19"/>
      <c r="L31" s="19"/>
      <c r="M31" s="19"/>
      <c r="N31" s="19"/>
    </row>
    <row r="32" spans="1:14">
      <c r="A32" s="2" t="s">
        <v>13</v>
      </c>
      <c r="B32" s="44"/>
      <c r="C32" s="44"/>
      <c r="D32" s="13">
        <f>-117939.31+IS!M17-1</f>
        <v>-176022.62</v>
      </c>
      <c r="E32" s="2"/>
      <c r="F32" s="13">
        <v>-117939.31</v>
      </c>
      <c r="G32" s="2"/>
      <c r="H32" s="21"/>
      <c r="I32" s="56">
        <f>+D32-F32</f>
        <v>-58083.31</v>
      </c>
      <c r="J32" s="56"/>
      <c r="K32" s="56">
        <f>+D13-D35</f>
        <v>1</v>
      </c>
      <c r="L32" s="56"/>
      <c r="M32" s="46"/>
      <c r="N32" s="19"/>
    </row>
    <row r="33" spans="1:14">
      <c r="A33" s="2"/>
      <c r="B33" s="2"/>
      <c r="C33" s="44"/>
      <c r="D33" s="15"/>
      <c r="E33" s="2"/>
      <c r="F33" s="15"/>
      <c r="G33" s="2"/>
      <c r="H33" s="19"/>
      <c r="I33" s="19"/>
      <c r="J33" s="19"/>
      <c r="K33" s="19"/>
      <c r="L33" s="19"/>
      <c r="M33" s="19"/>
      <c r="N33" s="19"/>
    </row>
    <row r="34" spans="1:14">
      <c r="A34" s="2"/>
      <c r="B34" s="2" t="s">
        <v>14</v>
      </c>
      <c r="C34" s="44"/>
      <c r="D34" s="24">
        <f>SUM(D24:D33)</f>
        <v>-173838.62</v>
      </c>
      <c r="E34" s="2"/>
      <c r="F34" s="24">
        <f>SUM(F24:F33)</f>
        <v>-115755.31</v>
      </c>
      <c r="G34" s="2"/>
      <c r="H34" s="189"/>
      <c r="I34" s="19"/>
      <c r="J34" s="19"/>
      <c r="K34" s="19"/>
      <c r="L34" s="19"/>
      <c r="M34" s="19"/>
      <c r="N34" s="19"/>
    </row>
    <row r="35" spans="1:14" ht="13.5" thickBot="1">
      <c r="A35" s="44"/>
      <c r="B35" s="2" t="s">
        <v>15</v>
      </c>
      <c r="C35" s="44"/>
      <c r="D35" s="28">
        <f>D34+D21</f>
        <v>177</v>
      </c>
      <c r="E35" s="44"/>
      <c r="F35" s="28">
        <f>F34+F21</f>
        <v>104.00000000001455</v>
      </c>
      <c r="G35" s="2"/>
      <c r="H35" s="10"/>
      <c r="I35" s="19"/>
      <c r="J35" s="19"/>
      <c r="K35" s="19"/>
      <c r="L35" s="19"/>
      <c r="M35" s="19"/>
      <c r="N35" s="19"/>
    </row>
    <row r="36" spans="1:14" ht="13.5" thickTop="1">
      <c r="A36" s="44"/>
      <c r="B36" s="44"/>
      <c r="C36" s="44"/>
      <c r="D36" s="47"/>
      <c r="E36" s="44"/>
      <c r="F36" s="44"/>
      <c r="G36" s="44"/>
      <c r="H36" s="19"/>
      <c r="I36" s="19"/>
      <c r="J36" s="19"/>
      <c r="K36" s="19"/>
      <c r="L36" s="19"/>
      <c r="M36" s="19"/>
      <c r="N36" s="19"/>
    </row>
    <row r="37" spans="1:14">
      <c r="A37" s="44"/>
      <c r="B37" s="44"/>
      <c r="C37" s="44"/>
      <c r="D37" s="47"/>
      <c r="E37" s="44"/>
      <c r="F37" s="48"/>
      <c r="G37" s="44"/>
      <c r="H37" s="19"/>
      <c r="I37" s="19"/>
      <c r="J37" s="19"/>
      <c r="K37" s="19"/>
      <c r="L37" s="19"/>
      <c r="M37" s="19"/>
      <c r="N37" s="19"/>
    </row>
    <row r="38" spans="1:14">
      <c r="A38" s="236" t="s">
        <v>245</v>
      </c>
      <c r="B38" s="236"/>
      <c r="C38" s="236"/>
      <c r="D38" s="236"/>
      <c r="E38" s="236"/>
      <c r="F38" s="236"/>
      <c r="G38" s="236"/>
    </row>
    <row r="39" spans="1:14">
      <c r="A39" s="49"/>
      <c r="B39" s="49"/>
      <c r="C39" s="49"/>
      <c r="D39" s="49"/>
      <c r="E39" s="49"/>
      <c r="F39" s="49"/>
      <c r="G39" s="49"/>
    </row>
    <row r="41" spans="1:14">
      <c r="D41" s="54">
        <f>+D13-D35</f>
        <v>1</v>
      </c>
      <c r="E41" s="54"/>
      <c r="F41" s="54">
        <f>+F13-F35</f>
        <v>-1.4551915228366852E-11</v>
      </c>
    </row>
  </sheetData>
  <mergeCells count="6">
    <mergeCell ref="A38:G38"/>
    <mergeCell ref="A1:F1"/>
    <mergeCell ref="A2:F2"/>
    <mergeCell ref="A8:F8"/>
    <mergeCell ref="A15:F15"/>
    <mergeCell ref="A3:F3"/>
  </mergeCells>
  <pageMargins left="0.7" right="0.7" top="0.75" bottom="0.75" header="0.3" footer="0.3"/>
  <pageSetup paperSize="9"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4"/>
  <sheetViews>
    <sheetView topLeftCell="C1" workbookViewId="0">
      <selection activeCell="C22" sqref="C22"/>
    </sheetView>
  </sheetViews>
  <sheetFormatPr defaultRowHeight="14.25"/>
  <cols>
    <col min="1" max="1" width="12.59765625" bestFit="1" customWidth="1"/>
    <col min="2" max="2" width="29.265625" bestFit="1" customWidth="1"/>
    <col min="3" max="3" width="27.3984375" bestFit="1" customWidth="1"/>
    <col min="4" max="4" width="40" style="110" bestFit="1" customWidth="1"/>
    <col min="5" max="5" width="12" style="103" bestFit="1" customWidth="1"/>
    <col min="7" max="7" width="51" bestFit="1" customWidth="1"/>
    <col min="8" max="8" width="14.86328125" bestFit="1" customWidth="1"/>
    <col min="9" max="9" width="14" bestFit="1" customWidth="1"/>
  </cols>
  <sheetData>
    <row r="1" spans="1:10">
      <c r="A1" s="96" t="s">
        <v>82</v>
      </c>
      <c r="B1" s="97" t="s">
        <v>83</v>
      </c>
      <c r="C1" s="96" t="s">
        <v>84</v>
      </c>
      <c r="D1" s="96" t="s">
        <v>167</v>
      </c>
      <c r="E1" s="104" t="s">
        <v>166</v>
      </c>
      <c r="G1" s="111" t="s">
        <v>171</v>
      </c>
      <c r="H1" t="s">
        <v>173</v>
      </c>
      <c r="J1" t="s">
        <v>174</v>
      </c>
    </row>
    <row r="2" spans="1:10">
      <c r="A2" s="98" t="s">
        <v>85</v>
      </c>
      <c r="B2" s="99" t="s">
        <v>86</v>
      </c>
      <c r="C2" s="99" t="s">
        <v>87</v>
      </c>
      <c r="D2" s="2" t="s">
        <v>2</v>
      </c>
      <c r="E2" s="105">
        <v>1518.71</v>
      </c>
      <c r="G2" s="95" t="s">
        <v>79</v>
      </c>
      <c r="H2" s="112">
        <v>-21000</v>
      </c>
      <c r="I2" s="113" t="e">
        <f>VLOOKUP(G2,BS!A:G,4,0)</f>
        <v>#N/A</v>
      </c>
      <c r="J2" s="112" t="s">
        <v>175</v>
      </c>
    </row>
    <row r="3" spans="1:10">
      <c r="A3" s="98" t="s">
        <v>88</v>
      </c>
      <c r="B3" s="99" t="s">
        <v>86</v>
      </c>
      <c r="C3" s="99" t="s">
        <v>89</v>
      </c>
      <c r="D3" s="2" t="s">
        <v>2</v>
      </c>
      <c r="E3" s="105">
        <v>-912.52</v>
      </c>
      <c r="G3" s="95" t="s">
        <v>38</v>
      </c>
      <c r="H3" s="112">
        <v>-180000</v>
      </c>
      <c r="I3" s="113" t="e">
        <f>VLOOKUP(G3,BS!A:G,4,0)</f>
        <v>#N/A</v>
      </c>
      <c r="J3" s="112" t="s">
        <v>175</v>
      </c>
    </row>
    <row r="4" spans="1:10">
      <c r="A4" s="98" t="s">
        <v>90</v>
      </c>
      <c r="B4" s="99" t="s">
        <v>86</v>
      </c>
      <c r="C4" s="99" t="s">
        <v>91</v>
      </c>
      <c r="D4" s="2" t="s">
        <v>2</v>
      </c>
      <c r="E4" s="105">
        <v>701.02</v>
      </c>
      <c r="G4" s="95" t="s">
        <v>20</v>
      </c>
      <c r="H4" s="112">
        <v>-1327279.17</v>
      </c>
      <c r="I4" s="113" t="e">
        <f>VLOOKUP(G4,IS!A:Q,8,0)</f>
        <v>#N/A</v>
      </c>
      <c r="J4" s="112" t="s">
        <v>175</v>
      </c>
    </row>
    <row r="5" spans="1:10">
      <c r="A5" s="98" t="s">
        <v>92</v>
      </c>
      <c r="B5" s="99" t="s">
        <v>93</v>
      </c>
      <c r="C5" s="99" t="s">
        <v>94</v>
      </c>
      <c r="D5" s="110" t="s">
        <v>170</v>
      </c>
      <c r="E5" s="105">
        <v>28114.27</v>
      </c>
      <c r="G5" s="95" t="s">
        <v>21</v>
      </c>
      <c r="H5" s="112">
        <v>1299164.8999999999</v>
      </c>
      <c r="I5" s="113" t="e">
        <f>VLOOKUP(G5,IS!A:Q,8,0)</f>
        <v>#N/A</v>
      </c>
      <c r="J5" s="112" t="s">
        <v>175</v>
      </c>
    </row>
    <row r="6" spans="1:10">
      <c r="A6" s="98" t="s">
        <v>168</v>
      </c>
      <c r="B6" s="99" t="s">
        <v>169</v>
      </c>
      <c r="C6" s="99" t="s">
        <v>94</v>
      </c>
      <c r="D6" s="110" t="s">
        <v>20</v>
      </c>
      <c r="E6" s="105">
        <v>-28114.27</v>
      </c>
      <c r="G6" s="95" t="s">
        <v>23</v>
      </c>
      <c r="H6" s="112">
        <v>-28114.27</v>
      </c>
      <c r="I6" s="113" t="e">
        <f>VLOOKUP(G6,IS!A:Q,8,0)</f>
        <v>#N/A</v>
      </c>
      <c r="J6" s="112" t="s">
        <v>175</v>
      </c>
    </row>
    <row r="7" spans="1:10">
      <c r="A7" s="98" t="s">
        <v>95</v>
      </c>
      <c r="B7" s="100" t="s">
        <v>78</v>
      </c>
      <c r="C7" s="99" t="s">
        <v>96</v>
      </c>
      <c r="D7" s="2" t="s">
        <v>3</v>
      </c>
      <c r="E7" s="105">
        <v>52909.5</v>
      </c>
      <c r="G7" s="95" t="s">
        <v>22</v>
      </c>
      <c r="H7" s="112">
        <v>151822.35000000003</v>
      </c>
      <c r="I7" s="113" t="e">
        <f>VLOOKUP(G7,IS!A:Q,8,0)</f>
        <v>#N/A</v>
      </c>
      <c r="J7" s="112" t="s">
        <v>175</v>
      </c>
    </row>
    <row r="8" spans="1:10">
      <c r="A8" s="98" t="s">
        <v>97</v>
      </c>
      <c r="B8" s="100" t="s">
        <v>78</v>
      </c>
      <c r="C8" s="99" t="s">
        <v>98</v>
      </c>
      <c r="D8" s="110" t="s">
        <v>170</v>
      </c>
      <c r="E8" s="105">
        <v>1299164.8999999999</v>
      </c>
      <c r="G8" s="95" t="s">
        <v>19</v>
      </c>
      <c r="H8" s="112">
        <v>192724.53</v>
      </c>
      <c r="I8" s="113" t="e">
        <f>VLOOKUP(G8,IS!A:Q,8,0)</f>
        <v>#N/A</v>
      </c>
      <c r="J8" s="112" t="s">
        <v>175</v>
      </c>
    </row>
    <row r="9" spans="1:10">
      <c r="A9" s="98" t="s">
        <v>97</v>
      </c>
      <c r="B9" s="100" t="s">
        <v>78</v>
      </c>
      <c r="C9" s="99" t="s">
        <v>98</v>
      </c>
      <c r="D9" s="110" t="s">
        <v>20</v>
      </c>
      <c r="E9" s="105">
        <f>-E8</f>
        <v>-1299164.8999999999</v>
      </c>
      <c r="G9" s="95" t="s">
        <v>81</v>
      </c>
      <c r="H9" s="112">
        <v>3791.33</v>
      </c>
      <c r="I9" s="113" t="e">
        <f>VLOOKUP(G9,BS!A:G,4,0)</f>
        <v>#N/A</v>
      </c>
      <c r="J9" s="112" t="s">
        <v>175</v>
      </c>
    </row>
    <row r="10" spans="1:10">
      <c r="A10" s="98" t="s">
        <v>99</v>
      </c>
      <c r="B10" s="100" t="s">
        <v>100</v>
      </c>
      <c r="C10" s="99" t="s">
        <v>100</v>
      </c>
      <c r="D10" s="2" t="s">
        <v>81</v>
      </c>
      <c r="E10" s="105">
        <v>3791.33</v>
      </c>
      <c r="G10" s="95" t="s">
        <v>170</v>
      </c>
      <c r="H10" s="112">
        <v>1355393.44</v>
      </c>
      <c r="I10" s="114" t="e">
        <f>VLOOKUP(G10,IS!A:Q,8,0)</f>
        <v>#N/A</v>
      </c>
      <c r="J10" s="112"/>
    </row>
    <row r="11" spans="1:10">
      <c r="A11" s="98" t="s">
        <v>101</v>
      </c>
      <c r="B11" s="100" t="s">
        <v>102</v>
      </c>
      <c r="C11" s="99" t="s">
        <v>103</v>
      </c>
      <c r="D11" s="23" t="s">
        <v>7</v>
      </c>
      <c r="E11" s="105">
        <v>-32678.49</v>
      </c>
      <c r="G11" s="95" t="s">
        <v>2</v>
      </c>
      <c r="H11" s="112">
        <v>1307.21</v>
      </c>
      <c r="I11" s="113" t="e">
        <f>VLOOKUP(G11,BS!A:G,4,0)</f>
        <v>#N/A</v>
      </c>
      <c r="J11" s="112" t="s">
        <v>175</v>
      </c>
    </row>
    <row r="12" spans="1:10">
      <c r="A12" s="98" t="s">
        <v>104</v>
      </c>
      <c r="B12" s="100" t="s">
        <v>102</v>
      </c>
      <c r="C12" s="99" t="s">
        <v>105</v>
      </c>
      <c r="D12" s="23" t="s">
        <v>7</v>
      </c>
      <c r="E12" s="105">
        <v>-400</v>
      </c>
      <c r="G12" s="95" t="s">
        <v>3</v>
      </c>
      <c r="H12" s="112">
        <v>52909.5</v>
      </c>
      <c r="I12" s="113" t="e">
        <f>VLOOKUP(G12,BS!A:G,4,0)</f>
        <v>#N/A</v>
      </c>
      <c r="J12" s="112" t="s">
        <v>175</v>
      </c>
    </row>
    <row r="13" spans="1:10">
      <c r="A13" s="98" t="s">
        <v>106</v>
      </c>
      <c r="B13" s="100" t="s">
        <v>102</v>
      </c>
      <c r="C13" s="99" t="s">
        <v>107</v>
      </c>
      <c r="D13" s="23" t="s">
        <v>7</v>
      </c>
      <c r="E13" s="105">
        <v>-3791.33</v>
      </c>
      <c r="G13" s="95" t="s">
        <v>7</v>
      </c>
      <c r="H13" s="112">
        <v>-36869.820000000007</v>
      </c>
      <c r="I13" s="113" t="e">
        <f>VLOOKUP(G13,BS!A:G,4,0)</f>
        <v>#N/A</v>
      </c>
      <c r="J13" s="112" t="s">
        <v>175</v>
      </c>
    </row>
    <row r="14" spans="1:10">
      <c r="A14" s="98" t="s">
        <v>108</v>
      </c>
      <c r="B14" s="100" t="s">
        <v>102</v>
      </c>
      <c r="C14" s="99" t="s">
        <v>109</v>
      </c>
      <c r="D14" s="51" t="s">
        <v>38</v>
      </c>
      <c r="E14" s="105">
        <v>-180000</v>
      </c>
      <c r="G14" s="95" t="s">
        <v>10</v>
      </c>
      <c r="H14" s="112">
        <v>-1415.71</v>
      </c>
      <c r="I14" s="113">
        <f>VLOOKUP(G14,BS!A:G,4,0)</f>
        <v>652</v>
      </c>
      <c r="J14" s="112" t="s">
        <v>175</v>
      </c>
    </row>
    <row r="15" spans="1:10">
      <c r="A15" s="98" t="s">
        <v>110</v>
      </c>
      <c r="B15" s="100" t="s">
        <v>102</v>
      </c>
      <c r="C15" s="99" t="s">
        <v>111</v>
      </c>
      <c r="D15" s="51" t="s">
        <v>79</v>
      </c>
      <c r="E15" s="105">
        <v>-6000</v>
      </c>
      <c r="G15" s="95" t="s">
        <v>11</v>
      </c>
      <c r="H15" s="112">
        <v>548</v>
      </c>
      <c r="I15" s="113">
        <f>VLOOKUP(G15,BS!A:G,4,0)</f>
        <v>-670</v>
      </c>
      <c r="J15" s="112" t="s">
        <v>175</v>
      </c>
    </row>
    <row r="16" spans="1:10">
      <c r="A16" s="98" t="s">
        <v>112</v>
      </c>
      <c r="B16" s="100" t="s">
        <v>102</v>
      </c>
      <c r="C16" s="99" t="s">
        <v>113</v>
      </c>
      <c r="D16" s="51" t="s">
        <v>79</v>
      </c>
      <c r="E16" s="105">
        <v>-7500</v>
      </c>
      <c r="G16" s="95" t="s">
        <v>12</v>
      </c>
      <c r="H16" s="112">
        <v>-1463639.29</v>
      </c>
      <c r="I16" s="113">
        <f>VLOOKUP(G16,BS!A:G,4,0)</f>
        <v>2202</v>
      </c>
      <c r="J16" s="112" t="s">
        <v>175</v>
      </c>
    </row>
    <row r="17" spans="1:10">
      <c r="A17" s="98" t="s">
        <v>114</v>
      </c>
      <c r="B17" s="100" t="s">
        <v>102</v>
      </c>
      <c r="C17" s="99" t="s">
        <v>115</v>
      </c>
      <c r="D17" s="51" t="s">
        <v>79</v>
      </c>
      <c r="E17" s="105">
        <v>-7500</v>
      </c>
      <c r="G17" s="95" t="s">
        <v>13</v>
      </c>
      <c r="H17" s="112">
        <v>657</v>
      </c>
      <c r="I17" s="113">
        <f>VLOOKUP(G17,BS!A:G,4,0)</f>
        <v>-176022.62</v>
      </c>
      <c r="J17" s="112"/>
    </row>
    <row r="18" spans="1:10">
      <c r="A18" s="98" t="s">
        <v>116</v>
      </c>
      <c r="B18" s="99" t="s">
        <v>117</v>
      </c>
      <c r="C18" s="99" t="s">
        <v>118</v>
      </c>
      <c r="D18" s="2" t="s">
        <v>10</v>
      </c>
      <c r="E18" s="105">
        <v>-1415.71</v>
      </c>
      <c r="G18" s="95" t="s">
        <v>172</v>
      </c>
      <c r="H18" s="112">
        <v>-2.3283064365386963E-10</v>
      </c>
    </row>
    <row r="19" spans="1:10">
      <c r="A19" s="98" t="s">
        <v>119</v>
      </c>
      <c r="B19" s="99" t="s">
        <v>75</v>
      </c>
      <c r="C19" s="99" t="s">
        <v>120</v>
      </c>
      <c r="D19" s="27" t="s">
        <v>11</v>
      </c>
      <c r="E19" s="105">
        <v>548</v>
      </c>
    </row>
    <row r="20" spans="1:10">
      <c r="A20" s="98" t="s">
        <v>121</v>
      </c>
      <c r="B20" s="100" t="s">
        <v>122</v>
      </c>
      <c r="C20" s="99" t="s">
        <v>123</v>
      </c>
      <c r="D20" s="2" t="s">
        <v>12</v>
      </c>
      <c r="E20" s="105">
        <v>-1463639.29</v>
      </c>
    </row>
    <row r="21" spans="1:10">
      <c r="A21" s="98" t="s">
        <v>124</v>
      </c>
      <c r="B21" s="99" t="s">
        <v>125</v>
      </c>
      <c r="C21" s="99" t="s">
        <v>125</v>
      </c>
      <c r="D21" s="2" t="s">
        <v>13</v>
      </c>
      <c r="E21" s="105">
        <v>657</v>
      </c>
    </row>
    <row r="22" spans="1:10">
      <c r="A22" s="98" t="s">
        <v>126</v>
      </c>
      <c r="B22" s="99" t="s">
        <v>127</v>
      </c>
      <c r="C22" s="99" t="s">
        <v>127</v>
      </c>
      <c r="D22" s="110" t="s">
        <v>23</v>
      </c>
      <c r="E22" s="105">
        <v>-28114.27</v>
      </c>
    </row>
    <row r="23" spans="1:10">
      <c r="A23" s="98" t="s">
        <v>126</v>
      </c>
      <c r="B23" s="99" t="s">
        <v>127</v>
      </c>
      <c r="C23" s="99" t="s">
        <v>127</v>
      </c>
      <c r="D23" s="110" t="s">
        <v>170</v>
      </c>
      <c r="E23" s="105">
        <v>28114.27</v>
      </c>
    </row>
    <row r="24" spans="1:10">
      <c r="A24" s="98" t="s">
        <v>126</v>
      </c>
      <c r="B24" s="99" t="s">
        <v>127</v>
      </c>
      <c r="C24" s="99" t="s">
        <v>98</v>
      </c>
      <c r="D24" s="110" t="s">
        <v>21</v>
      </c>
      <c r="E24" s="105">
        <v>1299164.8999999999</v>
      </c>
    </row>
    <row r="25" spans="1:10">
      <c r="A25" s="98" t="s">
        <v>128</v>
      </c>
      <c r="B25" s="100" t="s">
        <v>129</v>
      </c>
      <c r="C25" s="99" t="s">
        <v>130</v>
      </c>
      <c r="D25" s="110" t="s">
        <v>19</v>
      </c>
      <c r="E25" s="106">
        <v>12724.53</v>
      </c>
    </row>
    <row r="26" spans="1:10">
      <c r="A26" s="98" t="s">
        <v>131</v>
      </c>
      <c r="B26" s="100" t="s">
        <v>129</v>
      </c>
      <c r="C26" s="99" t="s">
        <v>132</v>
      </c>
      <c r="D26" s="110" t="s">
        <v>19</v>
      </c>
      <c r="E26" s="106">
        <v>180000</v>
      </c>
    </row>
    <row r="27" spans="1:10">
      <c r="A27" s="98" t="s">
        <v>133</v>
      </c>
      <c r="B27" s="99" t="s">
        <v>134</v>
      </c>
      <c r="C27" s="99" t="s">
        <v>135</v>
      </c>
      <c r="D27" s="110" t="s">
        <v>22</v>
      </c>
      <c r="E27" s="105">
        <v>17662.63</v>
      </c>
    </row>
    <row r="28" spans="1:10">
      <c r="A28" s="98" t="s">
        <v>136</v>
      </c>
      <c r="B28" s="99" t="s">
        <v>134</v>
      </c>
      <c r="C28" s="99" t="s">
        <v>137</v>
      </c>
      <c r="D28" s="110" t="s">
        <v>22</v>
      </c>
      <c r="E28" s="105">
        <v>42460.6</v>
      </c>
    </row>
    <row r="29" spans="1:10">
      <c r="A29" s="98" t="s">
        <v>138</v>
      </c>
      <c r="B29" s="99" t="s">
        <v>134</v>
      </c>
      <c r="C29" s="99" t="s">
        <v>139</v>
      </c>
      <c r="D29" s="110" t="s">
        <v>22</v>
      </c>
      <c r="E29" s="105">
        <v>11594.99</v>
      </c>
    </row>
    <row r="30" spans="1:10">
      <c r="A30" s="98" t="s">
        <v>140</v>
      </c>
      <c r="B30" s="99" t="s">
        <v>134</v>
      </c>
      <c r="C30" s="99" t="s">
        <v>141</v>
      </c>
      <c r="D30" s="110" t="s">
        <v>22</v>
      </c>
      <c r="E30" s="105">
        <v>5039.5</v>
      </c>
    </row>
    <row r="31" spans="1:10">
      <c r="A31" s="98" t="s">
        <v>142</v>
      </c>
      <c r="B31" s="99" t="s">
        <v>134</v>
      </c>
      <c r="C31" s="99" t="s">
        <v>143</v>
      </c>
      <c r="D31" s="110" t="s">
        <v>22</v>
      </c>
      <c r="E31" s="105">
        <v>279.60000000000002</v>
      </c>
    </row>
    <row r="32" spans="1:10">
      <c r="A32" s="98" t="s">
        <v>144</v>
      </c>
      <c r="B32" s="99" t="s">
        <v>134</v>
      </c>
      <c r="C32" s="99" t="s">
        <v>145</v>
      </c>
      <c r="D32" s="110" t="s">
        <v>22</v>
      </c>
      <c r="E32" s="105">
        <v>979.71</v>
      </c>
    </row>
    <row r="33" spans="1:5">
      <c r="A33" s="98" t="s">
        <v>146</v>
      </c>
      <c r="B33" s="99" t="s">
        <v>134</v>
      </c>
      <c r="C33" s="99" t="s">
        <v>147</v>
      </c>
      <c r="D33" s="110" t="s">
        <v>22</v>
      </c>
      <c r="E33" s="105">
        <v>10250</v>
      </c>
    </row>
    <row r="34" spans="1:5">
      <c r="A34" s="98" t="s">
        <v>148</v>
      </c>
      <c r="B34" s="99" t="s">
        <v>134</v>
      </c>
      <c r="C34" s="99" t="s">
        <v>149</v>
      </c>
      <c r="D34" s="110" t="s">
        <v>22</v>
      </c>
      <c r="E34" s="105">
        <v>5107.41</v>
      </c>
    </row>
    <row r="35" spans="1:5">
      <c r="A35" s="98" t="s">
        <v>150</v>
      </c>
      <c r="B35" s="99" t="s">
        <v>134</v>
      </c>
      <c r="C35" s="99" t="s">
        <v>151</v>
      </c>
      <c r="D35" s="110" t="s">
        <v>22</v>
      </c>
      <c r="E35" s="105">
        <v>1854.38</v>
      </c>
    </row>
    <row r="36" spans="1:5">
      <c r="A36" s="98" t="s">
        <v>152</v>
      </c>
      <c r="B36" s="99" t="s">
        <v>134</v>
      </c>
      <c r="C36" s="99" t="s">
        <v>153</v>
      </c>
      <c r="D36" s="110" t="s">
        <v>22</v>
      </c>
      <c r="E36" s="105">
        <v>265.57</v>
      </c>
    </row>
    <row r="37" spans="1:5">
      <c r="A37" s="98" t="s">
        <v>154</v>
      </c>
      <c r="B37" s="99" t="s">
        <v>134</v>
      </c>
      <c r="C37" s="99" t="s">
        <v>155</v>
      </c>
      <c r="D37" s="110" t="s">
        <v>22</v>
      </c>
      <c r="E37" s="105">
        <v>1608</v>
      </c>
    </row>
    <row r="38" spans="1:5">
      <c r="A38" s="98" t="s">
        <v>156</v>
      </c>
      <c r="B38" s="99" t="s">
        <v>134</v>
      </c>
      <c r="C38" s="99" t="s">
        <v>157</v>
      </c>
      <c r="D38" s="110" t="s">
        <v>22</v>
      </c>
      <c r="E38" s="105">
        <v>4088.54</v>
      </c>
    </row>
    <row r="39" spans="1:5">
      <c r="A39" s="98" t="s">
        <v>158</v>
      </c>
      <c r="B39" s="99" t="s">
        <v>134</v>
      </c>
      <c r="C39" s="99" t="s">
        <v>159</v>
      </c>
      <c r="D39" s="110" t="s">
        <v>22</v>
      </c>
      <c r="E39" s="105">
        <v>1807.46</v>
      </c>
    </row>
    <row r="40" spans="1:5">
      <c r="A40" s="98" t="s">
        <v>160</v>
      </c>
      <c r="B40" s="99" t="s">
        <v>134</v>
      </c>
      <c r="C40" s="99" t="s">
        <v>161</v>
      </c>
      <c r="D40" s="110" t="s">
        <v>22</v>
      </c>
      <c r="E40" s="105">
        <v>11373.99</v>
      </c>
    </row>
    <row r="41" spans="1:5">
      <c r="A41" s="98" t="s">
        <v>162</v>
      </c>
      <c r="B41" s="99" t="s">
        <v>134</v>
      </c>
      <c r="C41" s="99" t="s">
        <v>163</v>
      </c>
      <c r="D41" s="110" t="s">
        <v>22</v>
      </c>
      <c r="E41" s="105">
        <v>2394.34</v>
      </c>
    </row>
    <row r="42" spans="1:5">
      <c r="A42" s="98" t="s">
        <v>164</v>
      </c>
      <c r="B42" s="99" t="s">
        <v>134</v>
      </c>
      <c r="C42" s="99" t="s">
        <v>165</v>
      </c>
      <c r="D42" s="110" t="s">
        <v>22</v>
      </c>
      <c r="E42" s="107">
        <v>35055.629999999997</v>
      </c>
    </row>
    <row r="43" spans="1:5">
      <c r="A43" s="101"/>
      <c r="E43" s="108"/>
    </row>
    <row r="44" spans="1:5" ht="14.65" thickBot="1">
      <c r="A44" s="102"/>
      <c r="B44" s="100"/>
      <c r="C44" s="100"/>
      <c r="E44" s="109">
        <f>SUM(E2:E43)</f>
        <v>-6.5483618527650833E-11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25"/>
  <sheetViews>
    <sheetView showGridLines="0" zoomScaleNormal="100" workbookViewId="0">
      <selection activeCell="M16" sqref="M16"/>
    </sheetView>
  </sheetViews>
  <sheetFormatPr defaultColWidth="9.1328125" defaultRowHeight="13.15"/>
  <cols>
    <col min="1" max="1" width="13.73046875" style="43" customWidth="1"/>
    <col min="2" max="2" width="4.59765625" style="43" customWidth="1"/>
    <col min="3" max="3" width="17.59765625" style="43" customWidth="1"/>
    <col min="4" max="4" width="2.73046875" style="43" customWidth="1"/>
    <col min="5" max="5" width="1.73046875" style="43" customWidth="1"/>
    <col min="6" max="6" width="1.86328125" style="43" customWidth="1"/>
    <col min="7" max="7" width="18.3984375" style="43" customWidth="1"/>
    <col min="8" max="9" width="1.86328125" style="43" customWidth="1"/>
    <col min="10" max="10" width="18.3984375" style="43" customWidth="1"/>
    <col min="11" max="12" width="2.3984375" style="43" customWidth="1"/>
    <col min="13" max="13" width="18.3984375" style="43" customWidth="1"/>
    <col min="14" max="15" width="1.86328125" style="43" customWidth="1"/>
    <col min="16" max="16" width="18.3984375" style="43" customWidth="1"/>
    <col min="17" max="18" width="1.73046875" style="43" hidden="1" customWidth="1"/>
    <col min="19" max="19" width="16.86328125" style="43" hidden="1" customWidth="1"/>
    <col min="20" max="20" width="11" style="43" customWidth="1"/>
    <col min="21" max="16384" width="9.1328125" style="43"/>
  </cols>
  <sheetData>
    <row r="1" spans="1:19">
      <c r="A1" s="240" t="s">
        <v>200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19">
      <c r="A2" s="240" t="s">
        <v>242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</row>
    <row r="3" spans="1:19">
      <c r="A3" s="240" t="s">
        <v>239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</row>
    <row r="4" spans="1:19" ht="53.45" customHeight="1">
      <c r="A4" s="49"/>
      <c r="B4" s="49"/>
      <c r="C4" s="49"/>
      <c r="D4" s="49"/>
      <c r="E4" s="49"/>
      <c r="F4" s="196"/>
      <c r="G4" s="119" t="s">
        <v>252</v>
      </c>
      <c r="H4" s="49"/>
      <c r="I4" s="196"/>
      <c r="J4" s="119" t="s">
        <v>254</v>
      </c>
      <c r="K4" s="29"/>
      <c r="L4" s="230"/>
      <c r="M4" s="119" t="s">
        <v>253</v>
      </c>
      <c r="N4" s="49"/>
      <c r="O4" s="196"/>
      <c r="P4" s="119" t="s">
        <v>255</v>
      </c>
      <c r="Q4" s="119"/>
      <c r="R4" s="196"/>
      <c r="S4" s="119" t="s">
        <v>224</v>
      </c>
    </row>
    <row r="5" spans="1:19">
      <c r="A5" s="231"/>
      <c r="B5" s="231"/>
      <c r="C5" s="231"/>
      <c r="D5" s="231"/>
      <c r="E5" s="231"/>
      <c r="F5" s="228"/>
      <c r="G5" s="228"/>
      <c r="H5" s="231"/>
      <c r="I5" s="178"/>
      <c r="J5" s="178"/>
      <c r="K5" s="30"/>
      <c r="L5" s="30"/>
      <c r="M5" s="30"/>
      <c r="N5" s="30"/>
      <c r="O5" s="30"/>
      <c r="P5" s="49"/>
      <c r="Q5" s="49"/>
      <c r="R5" s="49"/>
    </row>
    <row r="6" spans="1:1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  <c r="N6" s="49"/>
      <c r="O6" s="49"/>
      <c r="P6" s="31"/>
      <c r="Q6" s="49"/>
      <c r="R6" s="49"/>
      <c r="S6" s="32"/>
    </row>
    <row r="7" spans="1:19">
      <c r="A7" s="30" t="s">
        <v>16</v>
      </c>
      <c r="B7" s="49"/>
      <c r="C7" s="30"/>
      <c r="D7" s="30"/>
      <c r="E7" s="30"/>
      <c r="F7" s="30" t="s">
        <v>206</v>
      </c>
      <c r="G7" s="94">
        <v>0</v>
      </c>
      <c r="H7" s="30"/>
      <c r="I7" s="30" t="s">
        <v>206</v>
      </c>
      <c r="J7" s="94">
        <v>0</v>
      </c>
      <c r="K7" s="33"/>
      <c r="L7" s="30" t="s">
        <v>206</v>
      </c>
      <c r="M7" s="94">
        <v>0</v>
      </c>
      <c r="N7" s="50"/>
      <c r="O7" s="49" t="s">
        <v>206</v>
      </c>
      <c r="P7" s="210">
        <v>0</v>
      </c>
      <c r="Q7" s="49"/>
      <c r="R7" s="49" t="s">
        <v>206</v>
      </c>
      <c r="S7" s="210">
        <v>0</v>
      </c>
    </row>
    <row r="8" spans="1:19">
      <c r="A8" s="30" t="s">
        <v>17</v>
      </c>
      <c r="B8" s="30"/>
      <c r="C8" s="35"/>
      <c r="D8" s="30"/>
      <c r="E8" s="30"/>
      <c r="F8" s="194"/>
      <c r="G8" s="53">
        <v>0</v>
      </c>
      <c r="H8" s="30"/>
      <c r="I8" s="194"/>
      <c r="J8" s="53">
        <v>0</v>
      </c>
      <c r="K8" s="49"/>
      <c r="L8" s="196"/>
      <c r="M8" s="38">
        <v>0</v>
      </c>
      <c r="N8" s="49"/>
      <c r="O8" s="196"/>
      <c r="P8" s="207">
        <v>0</v>
      </c>
      <c r="Q8" s="49"/>
      <c r="R8" s="196"/>
      <c r="S8" s="207">
        <v>0</v>
      </c>
    </row>
    <row r="9" spans="1:19">
      <c r="A9" s="30" t="s">
        <v>18</v>
      </c>
      <c r="B9" s="30"/>
      <c r="C9" s="35"/>
      <c r="D9" s="30"/>
      <c r="E9" s="30"/>
      <c r="F9" s="195"/>
      <c r="G9" s="132">
        <v>0</v>
      </c>
      <c r="H9" s="30"/>
      <c r="I9" s="195"/>
      <c r="J9" s="132">
        <v>0</v>
      </c>
      <c r="K9" s="49"/>
      <c r="L9" s="197"/>
      <c r="M9" s="132">
        <v>0</v>
      </c>
      <c r="N9" s="49"/>
      <c r="O9" s="197"/>
      <c r="P9" s="211">
        <v>0</v>
      </c>
      <c r="Q9" s="49"/>
      <c r="R9" s="197"/>
      <c r="S9" s="211">
        <v>0</v>
      </c>
    </row>
    <row r="10" spans="1:1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8"/>
      <c r="N10" s="30"/>
      <c r="O10" s="49"/>
      <c r="P10" s="210"/>
      <c r="Q10" s="49"/>
      <c r="R10" s="49"/>
      <c r="S10" s="210"/>
    </row>
    <row r="11" spans="1:19">
      <c r="A11" s="30" t="s">
        <v>134</v>
      </c>
      <c r="B11" s="30"/>
      <c r="C11" s="30"/>
      <c r="D11" s="30"/>
      <c r="E11" s="30"/>
      <c r="F11" s="194"/>
      <c r="G11" s="183">
        <f>11294.68-2382.68</f>
        <v>8912</v>
      </c>
      <c r="H11" s="30"/>
      <c r="I11" s="194"/>
      <c r="J11" s="183">
        <v>13276</v>
      </c>
      <c r="K11" s="30"/>
      <c r="L11" s="194"/>
      <c r="M11" s="53">
        <f>58081.31-6261.81</f>
        <v>51819.5</v>
      </c>
      <c r="N11" s="30"/>
      <c r="O11" s="196"/>
      <c r="P11" s="183">
        <v>36163</v>
      </c>
      <c r="Q11" s="49"/>
      <c r="R11" s="196"/>
      <c r="S11" s="207">
        <v>22621</v>
      </c>
    </row>
    <row r="12" spans="1:1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8"/>
      <c r="N12" s="30"/>
      <c r="O12" s="49"/>
      <c r="P12" s="30"/>
      <c r="Q12" s="49"/>
      <c r="R12" s="49"/>
      <c r="S12" s="210"/>
    </row>
    <row r="13" spans="1:19">
      <c r="A13" s="30" t="s">
        <v>246</v>
      </c>
      <c r="B13" s="30"/>
      <c r="C13" s="30"/>
      <c r="D13" s="30"/>
      <c r="E13" s="30"/>
      <c r="F13" s="30"/>
      <c r="G13" s="38">
        <f>G9-G11</f>
        <v>-8912</v>
      </c>
      <c r="H13" s="30"/>
      <c r="I13" s="30"/>
      <c r="J13" s="38">
        <f>J9-J11</f>
        <v>-13276</v>
      </c>
      <c r="K13" s="30"/>
      <c r="L13" s="30"/>
      <c r="M13" s="38">
        <f>M9-M11</f>
        <v>-51819.5</v>
      </c>
      <c r="N13" s="30"/>
      <c r="O13" s="49"/>
      <c r="P13" s="38">
        <f>P9-P11</f>
        <v>-36163</v>
      </c>
      <c r="Q13" s="49"/>
      <c r="R13" s="49"/>
      <c r="S13" s="38">
        <f>S9-S11</f>
        <v>-22621</v>
      </c>
    </row>
    <row r="14" spans="1:19">
      <c r="A14" s="30" t="s">
        <v>214</v>
      </c>
      <c r="B14" s="30"/>
      <c r="C14" s="30"/>
      <c r="D14" s="30"/>
      <c r="E14" s="30"/>
      <c r="F14" s="194"/>
      <c r="G14" s="207">
        <v>-2382.6799999999998</v>
      </c>
      <c r="H14" s="30"/>
      <c r="I14" s="194"/>
      <c r="J14" s="207">
        <v>-814</v>
      </c>
      <c r="K14" s="30"/>
      <c r="L14" s="194"/>
      <c r="M14" s="53">
        <v>-6261.81</v>
      </c>
      <c r="N14" s="30"/>
      <c r="O14" s="196"/>
      <c r="P14" s="207">
        <v>-1704</v>
      </c>
      <c r="Q14" s="49"/>
      <c r="R14" s="49"/>
      <c r="S14" s="38">
        <v>-124</v>
      </c>
    </row>
    <row r="15" spans="1:19">
      <c r="A15" s="30" t="s">
        <v>24</v>
      </c>
      <c r="B15" s="30"/>
      <c r="C15" s="30"/>
      <c r="D15" s="30"/>
      <c r="E15" s="30"/>
      <c r="F15" s="30"/>
      <c r="G15" s="210">
        <f>SUM(G13:G14)</f>
        <v>-11294.68</v>
      </c>
      <c r="H15" s="30"/>
      <c r="I15" s="30"/>
      <c r="J15" s="210">
        <f>SUM(J13:J14)</f>
        <v>-14090</v>
      </c>
      <c r="K15" s="30"/>
      <c r="L15" s="30"/>
      <c r="M15" s="210">
        <f>SUM(M13:M14)-1</f>
        <v>-58082.31</v>
      </c>
      <c r="N15" s="30"/>
      <c r="O15" s="49"/>
      <c r="P15" s="210">
        <f>SUM(P13:P14)</f>
        <v>-37867</v>
      </c>
      <c r="Q15" s="49"/>
      <c r="R15" s="49"/>
      <c r="S15" s="38"/>
    </row>
    <row r="16" spans="1:19">
      <c r="A16" s="30" t="s">
        <v>247</v>
      </c>
      <c r="B16" s="30"/>
      <c r="C16" s="30"/>
      <c r="D16" s="30"/>
      <c r="E16" s="30"/>
      <c r="F16" s="30"/>
      <c r="G16" s="210">
        <v>0</v>
      </c>
      <c r="H16" s="30"/>
      <c r="I16" s="30"/>
      <c r="J16" s="210">
        <v>0</v>
      </c>
      <c r="K16" s="30"/>
      <c r="L16" s="30"/>
      <c r="M16" s="38">
        <v>0</v>
      </c>
      <c r="N16" s="30"/>
      <c r="O16" s="49"/>
      <c r="P16" s="210">
        <v>0</v>
      </c>
      <c r="Q16" s="49"/>
      <c r="R16" s="49"/>
      <c r="S16" s="38"/>
    </row>
    <row r="17" spans="1:19" ht="13.5" thickBot="1">
      <c r="A17" s="30" t="s">
        <v>25</v>
      </c>
      <c r="B17" s="30"/>
      <c r="C17" s="30"/>
      <c r="D17" s="30"/>
      <c r="E17" s="30"/>
      <c r="F17" s="193" t="s">
        <v>206</v>
      </c>
      <c r="G17" s="190">
        <f>SUM(G15:G16)</f>
        <v>-11294.68</v>
      </c>
      <c r="H17" s="30"/>
      <c r="I17" s="193" t="s">
        <v>206</v>
      </c>
      <c r="J17" s="190">
        <f>SUM(J15:J16)</f>
        <v>-14090</v>
      </c>
      <c r="K17" s="30"/>
      <c r="L17" s="193" t="s">
        <v>206</v>
      </c>
      <c r="M17" s="190">
        <f>SUM(M15:M16)</f>
        <v>-58082.31</v>
      </c>
      <c r="N17" s="30"/>
      <c r="O17" s="192" t="s">
        <v>206</v>
      </c>
      <c r="P17" s="190">
        <f>SUM(P15:P16)</f>
        <v>-37867</v>
      </c>
      <c r="Q17" s="49"/>
      <c r="R17" s="192" t="s">
        <v>206</v>
      </c>
      <c r="S17" s="191">
        <f>SUM(S13:S14)</f>
        <v>-22745</v>
      </c>
    </row>
    <row r="18" spans="1:19" ht="13.5" thickTop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8"/>
      <c r="N18" s="30"/>
      <c r="O18" s="49"/>
      <c r="P18" s="30"/>
      <c r="Q18" s="49"/>
      <c r="R18" s="49"/>
      <c r="S18" s="210"/>
    </row>
    <row r="19" spans="1:19" ht="13.5" thickBot="1">
      <c r="A19" s="30" t="s">
        <v>26</v>
      </c>
      <c r="B19" s="30"/>
      <c r="C19" s="30"/>
      <c r="D19" s="30"/>
      <c r="E19" s="30"/>
      <c r="F19" s="198" t="s">
        <v>206</v>
      </c>
      <c r="G19" s="202">
        <f>+G17/G21</f>
        <v>-1.7336423637759018E-3</v>
      </c>
      <c r="H19" s="30"/>
      <c r="I19" s="198" t="s">
        <v>206</v>
      </c>
      <c r="J19" s="202">
        <f>+J17/J21</f>
        <v>-1.9803232607167954E-3</v>
      </c>
      <c r="K19" s="203"/>
      <c r="L19" s="204" t="s">
        <v>206</v>
      </c>
      <c r="M19" s="202">
        <f>+M17/M21</f>
        <v>-8.915166538756715E-3</v>
      </c>
      <c r="N19" s="203"/>
      <c r="O19" s="206" t="s">
        <v>206</v>
      </c>
      <c r="P19" s="202">
        <f>+P17/P21</f>
        <v>-5.3221363316936048E-3</v>
      </c>
      <c r="Q19" s="205"/>
      <c r="R19" s="206" t="s">
        <v>206</v>
      </c>
      <c r="S19" s="212">
        <f>+S17/S21</f>
        <v>-3.1967673928320448E-3</v>
      </c>
    </row>
    <row r="20" spans="1:19" ht="13.5" thickTop="1">
      <c r="A20" s="3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8"/>
      <c r="N20" s="30"/>
      <c r="O20" s="49"/>
      <c r="P20" s="30"/>
      <c r="Q20" s="49"/>
      <c r="R20" s="49"/>
      <c r="S20" s="210"/>
    </row>
    <row r="21" spans="1:19" ht="13.5" thickBot="1">
      <c r="A21" s="30" t="s">
        <v>27</v>
      </c>
      <c r="B21" s="30"/>
      <c r="C21" s="30"/>
      <c r="D21" s="30"/>
      <c r="E21" s="30"/>
      <c r="F21" s="199"/>
      <c r="G21" s="37">
        <v>6515000</v>
      </c>
      <c r="H21" s="34"/>
      <c r="I21" s="199"/>
      <c r="J21" s="37">
        <v>7115000</v>
      </c>
      <c r="K21" s="38"/>
      <c r="L21" s="37"/>
      <c r="M21" s="37">
        <v>6515000</v>
      </c>
      <c r="N21" s="38"/>
      <c r="O21" s="200"/>
      <c r="P21" s="37">
        <v>7115000</v>
      </c>
      <c r="Q21" s="49"/>
      <c r="R21" s="200"/>
      <c r="S21" s="182">
        <v>7115000</v>
      </c>
    </row>
    <row r="22" spans="1:19" ht="13.5" thickTop="1">
      <c r="A22" s="4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0"/>
      <c r="N22" s="30"/>
      <c r="O22" s="30"/>
      <c r="P22" s="10"/>
      <c r="Q22" s="49"/>
      <c r="R22" s="49"/>
      <c r="S22" s="39"/>
    </row>
    <row r="23" spans="1:19">
      <c r="A23" s="239" t="str">
        <f>BS!A38</f>
        <v>The accompanying notes are an integral part of these unaudited condensed financial statements.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</row>
    <row r="24" spans="1:19">
      <c r="A24" s="238"/>
      <c r="B24" s="238"/>
      <c r="C24" s="238"/>
      <c r="D24" s="238"/>
      <c r="E24" s="238"/>
      <c r="F24" s="238"/>
      <c r="G24" s="238"/>
      <c r="H24" s="238"/>
      <c r="I24" s="177"/>
      <c r="J24" s="177"/>
      <c r="K24" s="34"/>
      <c r="L24" s="34"/>
      <c r="M24" s="34"/>
      <c r="N24" s="34"/>
      <c r="O24" s="34"/>
    </row>
    <row r="25" spans="1:19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</sheetData>
  <mergeCells count="5">
    <mergeCell ref="A24:H24"/>
    <mergeCell ref="A23:S23"/>
    <mergeCell ref="A1:S1"/>
    <mergeCell ref="A2:S2"/>
    <mergeCell ref="A3:S3"/>
  </mergeCells>
  <pageMargins left="0.7" right="0.7" top="0.75" bottom="0.75" header="0.3" footer="0.3"/>
  <pageSetup paperSize="9" scale="76" orientation="portrait" r:id="rId1"/>
  <colBreaks count="1" manualBreakCount="1">
    <brk id="16" max="2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41"/>
  <sheetViews>
    <sheetView showGridLines="0" topLeftCell="A3" zoomScaleNormal="100" workbookViewId="0">
      <selection activeCell="O18" sqref="O18"/>
    </sheetView>
  </sheetViews>
  <sheetFormatPr defaultColWidth="9.1328125" defaultRowHeight="13.15"/>
  <cols>
    <col min="1" max="1" width="47.73046875" style="120" bestFit="1" customWidth="1"/>
    <col min="2" max="2" width="1.73046875" style="120" customWidth="1"/>
    <col min="3" max="3" width="11.265625" style="120" bestFit="1" customWidth="1"/>
    <col min="4" max="4" width="1.73046875" style="120" customWidth="1"/>
    <col min="5" max="5" width="9.265625" style="120" bestFit="1" customWidth="1"/>
    <col min="6" max="6" width="1.73046875" style="120" customWidth="1"/>
    <col min="7" max="7" width="12" style="120" bestFit="1" customWidth="1"/>
    <col min="8" max="8" width="1.73046875" style="120" customWidth="1"/>
    <col min="9" max="9" width="9.265625" style="120" bestFit="1" customWidth="1"/>
    <col min="10" max="10" width="1.73046875" style="120" customWidth="1"/>
    <col min="11" max="11" width="9.1328125" style="120" bestFit="1" customWidth="1"/>
    <col min="12" max="12" width="1.73046875" style="120" customWidth="1"/>
    <col min="13" max="13" width="10.265625" style="120" customWidth="1"/>
    <col min="14" max="14" width="1.73046875" style="120" customWidth="1"/>
    <col min="15" max="15" width="12.3984375" style="120" customWidth="1"/>
    <col min="16" max="16" width="1.73046875" style="120" customWidth="1"/>
    <col min="17" max="17" width="12.59765625" style="120" customWidth="1"/>
    <col min="18" max="16384" width="9.1328125" style="120"/>
  </cols>
  <sheetData>
    <row r="1" spans="1:17">
      <c r="A1" s="243" t="s">
        <v>200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17">
      <c r="A2" s="243" t="s">
        <v>243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17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</row>
    <row r="4" spans="1:17">
      <c r="A4" s="229" t="s">
        <v>253</v>
      </c>
    </row>
    <row r="5" spans="1:17">
      <c r="C5" s="242" t="s">
        <v>181</v>
      </c>
      <c r="D5" s="242"/>
      <c r="E5" s="242"/>
      <c r="G5" s="242" t="s">
        <v>41</v>
      </c>
      <c r="H5" s="242"/>
      <c r="I5" s="242"/>
    </row>
    <row r="6" spans="1:17" s="121" customFormat="1" ht="52.5">
      <c r="C6" s="122" t="s">
        <v>178</v>
      </c>
      <c r="E6" s="122" t="s">
        <v>166</v>
      </c>
      <c r="G6" s="122" t="s">
        <v>178</v>
      </c>
      <c r="I6" s="122" t="s">
        <v>166</v>
      </c>
      <c r="K6" s="123" t="s">
        <v>75</v>
      </c>
      <c r="M6" s="123" t="s">
        <v>122</v>
      </c>
      <c r="O6" s="123" t="s">
        <v>179</v>
      </c>
      <c r="Q6" s="123" t="s">
        <v>180</v>
      </c>
    </row>
    <row r="7" spans="1:17" s="121" customFormat="1" hidden="1">
      <c r="A7" s="213" t="s">
        <v>216</v>
      </c>
      <c r="C7" s="214">
        <v>0</v>
      </c>
      <c r="E7" s="215">
        <v>0</v>
      </c>
      <c r="G7" s="214">
        <v>0</v>
      </c>
      <c r="I7" s="215">
        <v>0</v>
      </c>
      <c r="K7" s="216">
        <v>0</v>
      </c>
      <c r="M7" s="219">
        <v>0</v>
      </c>
      <c r="O7" s="219">
        <v>0</v>
      </c>
      <c r="Q7" s="125">
        <f>+I7+K7+M7+O7</f>
        <v>0</v>
      </c>
    </row>
    <row r="8" spans="1:17" s="121" customFormat="1" hidden="1">
      <c r="A8" s="213" t="s">
        <v>217</v>
      </c>
      <c r="C8" s="217">
        <v>0</v>
      </c>
      <c r="D8" s="217"/>
      <c r="E8" s="217">
        <v>0</v>
      </c>
      <c r="F8" s="217"/>
      <c r="G8" s="217">
        <v>20000000</v>
      </c>
      <c r="H8" s="217"/>
      <c r="I8" s="217">
        <v>2000</v>
      </c>
      <c r="J8" s="217"/>
      <c r="K8" s="218">
        <v>-2000</v>
      </c>
      <c r="L8" s="217"/>
      <c r="M8" s="218">
        <v>0</v>
      </c>
      <c r="N8" s="217"/>
      <c r="O8" s="218">
        <v>0</v>
      </c>
      <c r="P8" s="217"/>
      <c r="Q8" s="217">
        <f t="shared" ref="Q8:Q13" si="0">+I8+K8+M8+O8</f>
        <v>0</v>
      </c>
    </row>
    <row r="9" spans="1:17" s="121" customFormat="1" hidden="1">
      <c r="A9" s="213" t="s">
        <v>218</v>
      </c>
      <c r="C9" s="217">
        <v>0</v>
      </c>
      <c r="D9" s="217"/>
      <c r="E9" s="217">
        <v>0</v>
      </c>
      <c r="F9" s="217"/>
      <c r="G9" s="217">
        <v>-19400000</v>
      </c>
      <c r="H9" s="217"/>
      <c r="I9" s="217">
        <v>-1940</v>
      </c>
      <c r="J9" s="217"/>
      <c r="K9" s="218">
        <v>1940</v>
      </c>
      <c r="L9" s="217"/>
      <c r="M9" s="218">
        <v>0</v>
      </c>
      <c r="N9" s="217"/>
      <c r="O9" s="218">
        <v>0</v>
      </c>
      <c r="P9" s="217"/>
      <c r="Q9" s="217">
        <f t="shared" si="0"/>
        <v>0</v>
      </c>
    </row>
    <row r="10" spans="1:17" s="121" customFormat="1" hidden="1">
      <c r="A10" s="213" t="s">
        <v>219</v>
      </c>
      <c r="C10" s="217">
        <v>0</v>
      </c>
      <c r="D10" s="217"/>
      <c r="E10" s="217">
        <v>0</v>
      </c>
      <c r="F10" s="217"/>
      <c r="G10" s="217">
        <v>6100000</v>
      </c>
      <c r="H10" s="217"/>
      <c r="I10" s="217">
        <v>610</v>
      </c>
      <c r="J10" s="217"/>
      <c r="K10" s="218">
        <v>-610</v>
      </c>
      <c r="L10" s="217"/>
      <c r="M10" s="218">
        <v>0</v>
      </c>
      <c r="N10" s="217"/>
      <c r="O10" s="218">
        <v>0</v>
      </c>
      <c r="P10" s="217"/>
      <c r="Q10" s="217">
        <f t="shared" si="0"/>
        <v>0</v>
      </c>
    </row>
    <row r="11" spans="1:17" s="121" customFormat="1" hidden="1">
      <c r="A11" s="213" t="s">
        <v>220</v>
      </c>
      <c r="C11" s="217">
        <v>0</v>
      </c>
      <c r="D11" s="217"/>
      <c r="E11" s="217">
        <v>0</v>
      </c>
      <c r="F11" s="217"/>
      <c r="G11" s="217">
        <v>415000</v>
      </c>
      <c r="H11" s="217"/>
      <c r="I11" s="217">
        <v>42</v>
      </c>
      <c r="J11" s="217"/>
      <c r="K11" s="218">
        <v>0</v>
      </c>
      <c r="L11" s="217"/>
      <c r="M11" s="218">
        <v>373</v>
      </c>
      <c r="N11" s="217"/>
      <c r="O11" s="218">
        <v>0</v>
      </c>
      <c r="P11" s="217"/>
      <c r="Q11" s="217">
        <f t="shared" si="0"/>
        <v>415</v>
      </c>
    </row>
    <row r="12" spans="1:17" s="121" customFormat="1" hidden="1">
      <c r="A12" s="213" t="s">
        <v>76</v>
      </c>
      <c r="C12" s="217">
        <v>0</v>
      </c>
      <c r="D12" s="217"/>
      <c r="E12" s="217">
        <v>0</v>
      </c>
      <c r="F12" s="217"/>
      <c r="G12" s="217">
        <v>0</v>
      </c>
      <c r="H12" s="217"/>
      <c r="I12" s="217">
        <v>0</v>
      </c>
      <c r="J12" s="217"/>
      <c r="K12" s="218">
        <v>0</v>
      </c>
      <c r="L12" s="217"/>
      <c r="M12" s="218">
        <v>1769</v>
      </c>
      <c r="N12" s="217"/>
      <c r="O12" s="218">
        <v>0</v>
      </c>
      <c r="P12" s="217"/>
      <c r="Q12" s="217">
        <f t="shared" si="0"/>
        <v>1769</v>
      </c>
    </row>
    <row r="13" spans="1:17" s="121" customFormat="1" hidden="1">
      <c r="A13" s="120" t="s">
        <v>25</v>
      </c>
      <c r="C13" s="232">
        <v>0</v>
      </c>
      <c r="D13" s="217"/>
      <c r="E13" s="232">
        <v>0</v>
      </c>
      <c r="F13" s="217"/>
      <c r="G13" s="232">
        <v>0</v>
      </c>
      <c r="H13" s="217"/>
      <c r="I13" s="232">
        <v>0</v>
      </c>
      <c r="J13" s="217"/>
      <c r="K13" s="233">
        <v>0</v>
      </c>
      <c r="L13" s="217"/>
      <c r="M13" s="233">
        <v>0</v>
      </c>
      <c r="N13" s="217"/>
      <c r="O13" s="233">
        <v>-6769</v>
      </c>
      <c r="P13" s="217"/>
      <c r="Q13" s="232">
        <f t="shared" si="0"/>
        <v>-6769</v>
      </c>
    </row>
    <row r="14" spans="1:17">
      <c r="A14" s="120" t="s">
        <v>225</v>
      </c>
      <c r="C14" s="234">
        <v>0</v>
      </c>
      <c r="D14" s="234"/>
      <c r="E14" s="234">
        <v>0</v>
      </c>
      <c r="F14" s="234"/>
      <c r="G14" s="234">
        <v>6515000</v>
      </c>
      <c r="H14" s="234"/>
      <c r="I14" s="235">
        <v>652</v>
      </c>
      <c r="J14" s="234"/>
      <c r="K14" s="235">
        <v>-670</v>
      </c>
      <c r="L14" s="234"/>
      <c r="M14" s="235">
        <v>2202</v>
      </c>
      <c r="N14" s="234"/>
      <c r="O14" s="235">
        <v>-117939</v>
      </c>
      <c r="P14" s="234"/>
      <c r="Q14" s="235">
        <f>+I14+K14+M14+O14</f>
        <v>-115755</v>
      </c>
    </row>
    <row r="15" spans="1:17">
      <c r="A15" s="120" t="s">
        <v>25</v>
      </c>
      <c r="C15" s="176">
        <v>0</v>
      </c>
      <c r="D15" s="124"/>
      <c r="E15" s="176">
        <v>0</v>
      </c>
      <c r="F15" s="124"/>
      <c r="G15" s="176">
        <v>0</v>
      </c>
      <c r="H15" s="124"/>
      <c r="I15" s="176">
        <v>0</v>
      </c>
      <c r="J15" s="124"/>
      <c r="K15" s="176">
        <v>0</v>
      </c>
      <c r="L15" s="124"/>
      <c r="M15" s="176">
        <v>0</v>
      </c>
      <c r="N15" s="124"/>
      <c r="O15" s="176">
        <v>-28914</v>
      </c>
      <c r="P15" s="124"/>
      <c r="Q15" s="176">
        <f t="shared" ref="Q15" si="1">ROUND(+I15+K15+M15+O15,2)</f>
        <v>-28914</v>
      </c>
    </row>
    <row r="16" spans="1:17">
      <c r="A16" s="120" t="s">
        <v>248</v>
      </c>
      <c r="C16" s="234">
        <v>0</v>
      </c>
      <c r="D16" s="124"/>
      <c r="E16" s="234">
        <v>0</v>
      </c>
      <c r="F16" s="124"/>
      <c r="G16" s="234">
        <f>SUM(G14:G15)</f>
        <v>6515000</v>
      </c>
      <c r="H16" s="124"/>
      <c r="I16" s="234">
        <f>SUM(I14:I15)</f>
        <v>652</v>
      </c>
      <c r="J16" s="124"/>
      <c r="K16" s="234">
        <f>SUM(K14:K15)</f>
        <v>-670</v>
      </c>
      <c r="L16" s="124"/>
      <c r="M16" s="234">
        <f>SUM(M14:M15)</f>
        <v>2202</v>
      </c>
      <c r="N16" s="124"/>
      <c r="O16" s="234">
        <f>SUM(O14:O15)</f>
        <v>-146853</v>
      </c>
      <c r="P16" s="124"/>
      <c r="Q16" s="234">
        <f>SUM(Q14:Q15)</f>
        <v>-144669</v>
      </c>
    </row>
    <row r="17" spans="1:17">
      <c r="A17" s="120" t="s">
        <v>25</v>
      </c>
      <c r="C17" s="176">
        <v>0</v>
      </c>
      <c r="D17" s="234"/>
      <c r="E17" s="176">
        <v>0</v>
      </c>
      <c r="F17" s="234"/>
      <c r="G17" s="176">
        <v>0</v>
      </c>
      <c r="H17" s="234"/>
      <c r="I17" s="176">
        <v>0</v>
      </c>
      <c r="J17" s="234"/>
      <c r="K17" s="176">
        <v>0</v>
      </c>
      <c r="L17" s="234"/>
      <c r="M17" s="176">
        <v>0</v>
      </c>
      <c r="N17" s="234"/>
      <c r="O17" s="176">
        <v>-17873</v>
      </c>
      <c r="P17" s="234"/>
      <c r="Q17" s="176">
        <f>ROUND(+I17+K17+M17+O17,2)</f>
        <v>-17873</v>
      </c>
    </row>
    <row r="18" spans="1:17">
      <c r="A18" s="120" t="s">
        <v>259</v>
      </c>
      <c r="C18" s="234">
        <f>SUM(C17:C17)</f>
        <v>0</v>
      </c>
      <c r="D18" s="124">
        <v>0</v>
      </c>
      <c r="E18" s="234">
        <f>SUM(E17:E17)</f>
        <v>0</v>
      </c>
      <c r="F18" s="124"/>
      <c r="G18" s="234">
        <f>SUM(G16:G17)</f>
        <v>6515000</v>
      </c>
      <c r="H18" s="124"/>
      <c r="I18" s="235">
        <f>SUM(I16:I17)</f>
        <v>652</v>
      </c>
      <c r="J18" s="124"/>
      <c r="K18" s="235">
        <f>SUM(K16:K17)</f>
        <v>-670</v>
      </c>
      <c r="L18" s="124"/>
      <c r="M18" s="235">
        <f>SUM(M16:M17)</f>
        <v>2202</v>
      </c>
      <c r="N18" s="124"/>
      <c r="O18" s="234">
        <f>SUM(O16:O17)</f>
        <v>-164726</v>
      </c>
      <c r="P18" s="124"/>
      <c r="Q18" s="234">
        <f>SUM(Q16:Q17)</f>
        <v>-162542</v>
      </c>
    </row>
    <row r="19" spans="1:17">
      <c r="A19" s="120" t="s">
        <v>25</v>
      </c>
      <c r="C19" s="176">
        <v>0</v>
      </c>
      <c r="D19" s="234"/>
      <c r="E19" s="176">
        <v>0</v>
      </c>
      <c r="F19" s="234"/>
      <c r="G19" s="176">
        <v>0</v>
      </c>
      <c r="H19" s="234"/>
      <c r="I19" s="176">
        <v>0</v>
      </c>
      <c r="J19" s="234"/>
      <c r="K19" s="176">
        <v>0</v>
      </c>
      <c r="L19" s="234"/>
      <c r="M19" s="176">
        <v>0</v>
      </c>
      <c r="N19" s="234"/>
      <c r="O19" s="176">
        <f>+IS!G17</f>
        <v>-11294.68</v>
      </c>
      <c r="P19" s="234"/>
      <c r="Q19" s="176">
        <f>ROUND(+I19+K19+M19+O19,2)</f>
        <v>-11294.68</v>
      </c>
    </row>
    <row r="20" spans="1:17">
      <c r="A20" s="120" t="s">
        <v>260</v>
      </c>
      <c r="C20" s="176">
        <f>SUM(C19:C19)</f>
        <v>0</v>
      </c>
      <c r="D20" s="124">
        <v>0</v>
      </c>
      <c r="E20" s="176">
        <f>SUM(E19:E19)</f>
        <v>0</v>
      </c>
      <c r="F20" s="124"/>
      <c r="G20" s="176">
        <f>SUM(G18:G19)</f>
        <v>6515000</v>
      </c>
      <c r="H20" s="124"/>
      <c r="I20" s="221">
        <f>SUM(I18:I19)</f>
        <v>652</v>
      </c>
      <c r="J20" s="124"/>
      <c r="K20" s="221">
        <f>SUM(K18:K19)</f>
        <v>-670</v>
      </c>
      <c r="L20" s="124"/>
      <c r="M20" s="221">
        <f>SUM(M18:M19)</f>
        <v>2202</v>
      </c>
      <c r="N20" s="124"/>
      <c r="O20" s="221">
        <f>SUM(O18:O19)</f>
        <v>-176020.68</v>
      </c>
      <c r="P20" s="124"/>
      <c r="Q20" s="221">
        <f>SUM(Q18:Q19)</f>
        <v>-173836.68</v>
      </c>
    </row>
    <row r="22" spans="1:17">
      <c r="A22" s="241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</row>
    <row r="23" spans="1:17">
      <c r="A23" s="229" t="s">
        <v>255</v>
      </c>
    </row>
    <row r="24" spans="1:17">
      <c r="C24" s="242" t="s">
        <v>181</v>
      </c>
      <c r="D24" s="242"/>
      <c r="E24" s="242"/>
      <c r="G24" s="242" t="s">
        <v>41</v>
      </c>
      <c r="H24" s="242"/>
      <c r="I24" s="242"/>
    </row>
    <row r="25" spans="1:17" ht="52.5">
      <c r="A25" s="121"/>
      <c r="B25" s="121"/>
      <c r="C25" s="122" t="s">
        <v>178</v>
      </c>
      <c r="D25" s="121"/>
      <c r="E25" s="122" t="s">
        <v>166</v>
      </c>
      <c r="F25" s="121"/>
      <c r="G25" s="122" t="s">
        <v>178</v>
      </c>
      <c r="H25" s="121"/>
      <c r="I25" s="122" t="s">
        <v>166</v>
      </c>
      <c r="J25" s="121"/>
      <c r="K25" s="123" t="s">
        <v>75</v>
      </c>
      <c r="L25" s="121"/>
      <c r="M25" s="123" t="s">
        <v>122</v>
      </c>
      <c r="N25" s="121"/>
      <c r="O25" s="123" t="s">
        <v>179</v>
      </c>
      <c r="P25" s="121"/>
      <c r="Q25" s="123" t="s">
        <v>180</v>
      </c>
    </row>
    <row r="26" spans="1:17" hidden="1">
      <c r="A26" s="213" t="s">
        <v>216</v>
      </c>
      <c r="B26" s="121"/>
      <c r="C26" s="214">
        <v>0</v>
      </c>
      <c r="D26" s="121"/>
      <c r="E26" s="215">
        <v>0</v>
      </c>
      <c r="F26" s="121"/>
      <c r="G26" s="214">
        <v>0</v>
      </c>
      <c r="H26" s="121"/>
      <c r="I26" s="215">
        <v>0</v>
      </c>
      <c r="J26" s="121"/>
      <c r="K26" s="216">
        <v>0</v>
      </c>
      <c r="L26" s="121"/>
      <c r="M26" s="219">
        <v>0</v>
      </c>
      <c r="N26" s="121"/>
      <c r="O26" s="219">
        <v>0</v>
      </c>
      <c r="P26" s="121"/>
      <c r="Q26" s="125">
        <f>+I26+K26+M26+O26</f>
        <v>0</v>
      </c>
    </row>
    <row r="27" spans="1:17" hidden="1">
      <c r="A27" s="213" t="s">
        <v>217</v>
      </c>
      <c r="B27" s="121"/>
      <c r="C27" s="217">
        <v>0</v>
      </c>
      <c r="D27" s="217"/>
      <c r="E27" s="217">
        <v>0</v>
      </c>
      <c r="F27" s="217"/>
      <c r="G27" s="217">
        <v>20000000</v>
      </c>
      <c r="H27" s="217"/>
      <c r="I27" s="217">
        <v>2000</v>
      </c>
      <c r="J27" s="217"/>
      <c r="K27" s="218">
        <v>-2000</v>
      </c>
      <c r="L27" s="217"/>
      <c r="M27" s="218">
        <v>0</v>
      </c>
      <c r="N27" s="217"/>
      <c r="O27" s="218">
        <v>0</v>
      </c>
      <c r="P27" s="217"/>
      <c r="Q27" s="217">
        <f t="shared" ref="Q27:Q32" si="2">+I27+K27+M27+O27</f>
        <v>0</v>
      </c>
    </row>
    <row r="28" spans="1:17" hidden="1">
      <c r="A28" s="213" t="s">
        <v>218</v>
      </c>
      <c r="B28" s="121"/>
      <c r="C28" s="217">
        <v>0</v>
      </c>
      <c r="D28" s="217"/>
      <c r="E28" s="217">
        <v>0</v>
      </c>
      <c r="F28" s="217"/>
      <c r="G28" s="217">
        <v>-19400000</v>
      </c>
      <c r="H28" s="217"/>
      <c r="I28" s="217">
        <v>-1940</v>
      </c>
      <c r="J28" s="217"/>
      <c r="K28" s="218">
        <v>1940</v>
      </c>
      <c r="L28" s="217"/>
      <c r="M28" s="218">
        <v>0</v>
      </c>
      <c r="N28" s="217"/>
      <c r="O28" s="218">
        <v>0</v>
      </c>
      <c r="P28" s="217"/>
      <c r="Q28" s="217">
        <f t="shared" si="2"/>
        <v>0</v>
      </c>
    </row>
    <row r="29" spans="1:17" hidden="1">
      <c r="A29" s="213" t="s">
        <v>219</v>
      </c>
      <c r="B29" s="121"/>
      <c r="C29" s="217">
        <v>0</v>
      </c>
      <c r="D29" s="217"/>
      <c r="E29" s="217">
        <v>0</v>
      </c>
      <c r="F29" s="217"/>
      <c r="G29" s="217">
        <v>6100000</v>
      </c>
      <c r="H29" s="217"/>
      <c r="I29" s="217">
        <v>610</v>
      </c>
      <c r="J29" s="217"/>
      <c r="K29" s="218">
        <v>-610</v>
      </c>
      <c r="L29" s="217"/>
      <c r="M29" s="218">
        <v>0</v>
      </c>
      <c r="N29" s="217"/>
      <c r="O29" s="218">
        <v>0</v>
      </c>
      <c r="P29" s="217"/>
      <c r="Q29" s="217">
        <f t="shared" si="2"/>
        <v>0</v>
      </c>
    </row>
    <row r="30" spans="1:17" hidden="1">
      <c r="A30" s="213" t="s">
        <v>220</v>
      </c>
      <c r="B30" s="121"/>
      <c r="C30" s="217">
        <v>0</v>
      </c>
      <c r="D30" s="217"/>
      <c r="E30" s="217">
        <v>0</v>
      </c>
      <c r="F30" s="217"/>
      <c r="G30" s="217">
        <v>415000</v>
      </c>
      <c r="H30" s="217"/>
      <c r="I30" s="217">
        <v>42</v>
      </c>
      <c r="J30" s="217"/>
      <c r="K30" s="218">
        <v>0</v>
      </c>
      <c r="L30" s="217"/>
      <c r="M30" s="218">
        <v>373</v>
      </c>
      <c r="N30" s="217"/>
      <c r="O30" s="218">
        <v>0</v>
      </c>
      <c r="P30" s="217"/>
      <c r="Q30" s="217">
        <f t="shared" si="2"/>
        <v>415</v>
      </c>
    </row>
    <row r="31" spans="1:17" hidden="1">
      <c r="A31" s="213" t="s">
        <v>76</v>
      </c>
      <c r="B31" s="121"/>
      <c r="C31" s="217">
        <v>0</v>
      </c>
      <c r="D31" s="217"/>
      <c r="E31" s="217">
        <v>0</v>
      </c>
      <c r="F31" s="217"/>
      <c r="G31" s="217">
        <v>0</v>
      </c>
      <c r="H31" s="217"/>
      <c r="I31" s="217">
        <v>0</v>
      </c>
      <c r="J31" s="217"/>
      <c r="K31" s="218">
        <v>0</v>
      </c>
      <c r="L31" s="217"/>
      <c r="M31" s="218">
        <v>1769</v>
      </c>
      <c r="N31" s="217"/>
      <c r="O31" s="218">
        <v>0</v>
      </c>
      <c r="P31" s="217"/>
      <c r="Q31" s="217">
        <f t="shared" si="2"/>
        <v>1769</v>
      </c>
    </row>
    <row r="32" spans="1:17" hidden="1">
      <c r="A32" s="120" t="s">
        <v>25</v>
      </c>
      <c r="B32" s="121"/>
      <c r="C32" s="232">
        <v>0</v>
      </c>
      <c r="D32" s="217"/>
      <c r="E32" s="232">
        <v>0</v>
      </c>
      <c r="F32" s="217"/>
      <c r="G32" s="232">
        <v>0</v>
      </c>
      <c r="H32" s="217"/>
      <c r="I32" s="232">
        <v>0</v>
      </c>
      <c r="J32" s="217"/>
      <c r="K32" s="233">
        <v>0</v>
      </c>
      <c r="L32" s="217"/>
      <c r="M32" s="233">
        <v>0</v>
      </c>
      <c r="N32" s="217"/>
      <c r="O32" s="233">
        <v>-6769</v>
      </c>
      <c r="P32" s="217"/>
      <c r="Q32" s="232">
        <f t="shared" si="2"/>
        <v>-6769</v>
      </c>
    </row>
    <row r="33" spans="1:17">
      <c r="A33" s="120" t="s">
        <v>215</v>
      </c>
      <c r="C33" s="234">
        <v>0</v>
      </c>
      <c r="D33" s="234"/>
      <c r="E33" s="234">
        <v>0</v>
      </c>
      <c r="F33" s="234"/>
      <c r="G33" s="234">
        <v>7115000</v>
      </c>
      <c r="H33" s="234"/>
      <c r="I33" s="235">
        <v>712</v>
      </c>
      <c r="J33" s="234"/>
      <c r="K33" s="235">
        <v>-670</v>
      </c>
      <c r="L33" s="234"/>
      <c r="M33" s="235">
        <v>2142</v>
      </c>
      <c r="N33" s="234"/>
      <c r="O33" s="235">
        <v>-44988</v>
      </c>
      <c r="P33" s="234"/>
      <c r="Q33" s="235">
        <f>+I33+K33+M33+O33</f>
        <v>-42804</v>
      </c>
    </row>
    <row r="34" spans="1:17">
      <c r="A34" s="120" t="s">
        <v>25</v>
      </c>
      <c r="C34" s="176">
        <v>0</v>
      </c>
      <c r="D34" s="124"/>
      <c r="E34" s="176">
        <v>0</v>
      </c>
      <c r="F34" s="124"/>
      <c r="G34" s="176">
        <v>0</v>
      </c>
      <c r="H34" s="124"/>
      <c r="I34" s="176">
        <v>0</v>
      </c>
      <c r="J34" s="124"/>
      <c r="K34" s="176">
        <v>0</v>
      </c>
      <c r="L34" s="124"/>
      <c r="M34" s="176">
        <v>0</v>
      </c>
      <c r="N34" s="124"/>
      <c r="O34" s="176">
        <v>-10585</v>
      </c>
      <c r="P34" s="124"/>
      <c r="Q34" s="176">
        <f>+I34+K34+M34+O34</f>
        <v>-10585</v>
      </c>
    </row>
    <row r="35" spans="1:17">
      <c r="A35" s="120" t="s">
        <v>249</v>
      </c>
      <c r="C35" s="234">
        <v>0</v>
      </c>
      <c r="D35" s="124"/>
      <c r="E35" s="234">
        <v>0</v>
      </c>
      <c r="F35" s="124"/>
      <c r="G35" s="234">
        <f>SUM(G33:G34)</f>
        <v>7115000</v>
      </c>
      <c r="H35" s="124"/>
      <c r="I35" s="234">
        <f>SUM(I33:I34)</f>
        <v>712</v>
      </c>
      <c r="J35" s="124"/>
      <c r="K35" s="234">
        <f>SUM(K33:K34)</f>
        <v>-670</v>
      </c>
      <c r="L35" s="124"/>
      <c r="M35" s="234">
        <f>SUM(M33:M34)</f>
        <v>2142</v>
      </c>
      <c r="N35" s="124"/>
      <c r="O35" s="234">
        <f>SUM(O33:O34)</f>
        <v>-55573</v>
      </c>
      <c r="P35" s="124"/>
      <c r="Q35" s="234">
        <f>SUM(Q33:Q34)</f>
        <v>-53389</v>
      </c>
    </row>
    <row r="36" spans="1:17">
      <c r="A36" s="120" t="s">
        <v>25</v>
      </c>
      <c r="C36" s="176">
        <v>0</v>
      </c>
      <c r="D36" s="234"/>
      <c r="E36" s="176">
        <v>0</v>
      </c>
      <c r="F36" s="234"/>
      <c r="G36" s="176">
        <v>0</v>
      </c>
      <c r="H36" s="234"/>
      <c r="I36" s="176">
        <v>0</v>
      </c>
      <c r="J36" s="234"/>
      <c r="K36" s="176">
        <v>0</v>
      </c>
      <c r="L36" s="234"/>
      <c r="M36" s="176">
        <v>0</v>
      </c>
      <c r="N36" s="234"/>
      <c r="O36" s="176">
        <v>-13192</v>
      </c>
      <c r="P36" s="234"/>
      <c r="Q36" s="176">
        <f>ROUND(+I36+K36+M36+O36,2)</f>
        <v>-13192</v>
      </c>
    </row>
    <row r="37" spans="1:17">
      <c r="A37" s="120" t="s">
        <v>262</v>
      </c>
      <c r="C37" s="234">
        <f>SUM(C36:C36)</f>
        <v>0</v>
      </c>
      <c r="D37" s="124">
        <v>0</v>
      </c>
      <c r="E37" s="234">
        <f>SUM(E36:E36)</f>
        <v>0</v>
      </c>
      <c r="F37" s="124"/>
      <c r="G37" s="234">
        <f>SUM(G35:G36)</f>
        <v>7115000</v>
      </c>
      <c r="H37" s="124"/>
      <c r="I37" s="235">
        <f>SUM(I35:I36)</f>
        <v>712</v>
      </c>
      <c r="J37" s="124"/>
      <c r="K37" s="235">
        <f>SUM(K35:K36)</f>
        <v>-670</v>
      </c>
      <c r="L37" s="124"/>
      <c r="M37" s="235">
        <f>SUM(M35:M36)</f>
        <v>2142</v>
      </c>
      <c r="N37" s="124"/>
      <c r="O37" s="234">
        <f>SUM(O35:O36)</f>
        <v>-68765</v>
      </c>
      <c r="P37" s="124"/>
      <c r="Q37" s="234">
        <f>SUM(Q35:Q36)</f>
        <v>-66581</v>
      </c>
    </row>
    <row r="38" spans="1:17">
      <c r="A38" s="120" t="s">
        <v>25</v>
      </c>
      <c r="C38" s="176">
        <v>0</v>
      </c>
      <c r="D38" s="234"/>
      <c r="E38" s="176">
        <v>0</v>
      </c>
      <c r="F38" s="234"/>
      <c r="G38" s="176">
        <v>0</v>
      </c>
      <c r="H38" s="234"/>
      <c r="I38" s="176">
        <v>0</v>
      </c>
      <c r="J38" s="234"/>
      <c r="K38" s="176">
        <v>0</v>
      </c>
      <c r="L38" s="234"/>
      <c r="M38" s="176">
        <v>0</v>
      </c>
      <c r="N38" s="234"/>
      <c r="O38" s="176">
        <v>-14090</v>
      </c>
      <c r="P38" s="234"/>
      <c r="Q38" s="176">
        <f>ROUND(+I38+K38+M38+O38,2)</f>
        <v>-14090</v>
      </c>
    </row>
    <row r="39" spans="1:17">
      <c r="A39" s="120" t="s">
        <v>261</v>
      </c>
      <c r="C39" s="176">
        <f>SUM(C38:C38)</f>
        <v>0</v>
      </c>
      <c r="D39" s="124">
        <v>0</v>
      </c>
      <c r="E39" s="176">
        <f>SUM(E38:E38)</f>
        <v>0</v>
      </c>
      <c r="F39" s="124"/>
      <c r="G39" s="176">
        <f>SUM(G37:G38)</f>
        <v>7115000</v>
      </c>
      <c r="H39" s="124"/>
      <c r="I39" s="221">
        <f>SUM(I37:I38)</f>
        <v>712</v>
      </c>
      <c r="J39" s="124"/>
      <c r="K39" s="221">
        <f>SUM(K37:K38)</f>
        <v>-670</v>
      </c>
      <c r="L39" s="124"/>
      <c r="M39" s="221">
        <f>SUM(M37:M38)</f>
        <v>2142</v>
      </c>
      <c r="N39" s="124"/>
      <c r="O39" s="221">
        <f>SUM(O37:O38)</f>
        <v>-82855</v>
      </c>
      <c r="P39" s="124"/>
      <c r="Q39" s="221">
        <f>SUM(Q37:Q38)</f>
        <v>-80671</v>
      </c>
    </row>
    <row r="41" spans="1:17">
      <c r="A41" s="241" t="str">
        <f>BS!A38</f>
        <v>The accompanying notes are an integral part of these unaudited condensed financial statements.</v>
      </c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</row>
  </sheetData>
  <mergeCells count="8">
    <mergeCell ref="A41:Q41"/>
    <mergeCell ref="G5:I5"/>
    <mergeCell ref="C5:E5"/>
    <mergeCell ref="A1:Q1"/>
    <mergeCell ref="A2:Q2"/>
    <mergeCell ref="A22:Q22"/>
    <mergeCell ref="C24:E24"/>
    <mergeCell ref="G24:I2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29"/>
  <sheetViews>
    <sheetView showGridLines="0" tabSelected="1" zoomScale="85" zoomScaleNormal="85" workbookViewId="0">
      <selection activeCell="E11" sqref="E11"/>
    </sheetView>
  </sheetViews>
  <sheetFormatPr defaultColWidth="9.1328125" defaultRowHeight="13.9"/>
  <cols>
    <col min="1" max="2" width="9.1328125" style="185"/>
    <col min="3" max="3" width="38.1328125" style="185" customWidth="1"/>
    <col min="4" max="4" width="1.86328125" style="185" customWidth="1"/>
    <col min="5" max="5" width="19.1328125" style="185" customWidth="1"/>
    <col min="6" max="6" width="1.73046875" style="185" customWidth="1"/>
    <col min="7" max="7" width="19.1328125" style="120" customWidth="1"/>
    <col min="8" max="16384" width="9.1328125" style="185"/>
  </cols>
  <sheetData>
    <row r="1" spans="1:7" ht="17.25">
      <c r="A1" s="245" t="s">
        <v>200</v>
      </c>
      <c r="B1" s="245"/>
      <c r="C1" s="245"/>
      <c r="D1" s="245"/>
      <c r="E1" s="245"/>
      <c r="F1" s="245"/>
      <c r="G1" s="245"/>
    </row>
    <row r="2" spans="1:7" ht="15">
      <c r="A2" s="246" t="s">
        <v>244</v>
      </c>
      <c r="B2" s="246"/>
      <c r="C2" s="246"/>
      <c r="D2" s="246"/>
      <c r="E2" s="246"/>
      <c r="F2" s="246"/>
      <c r="G2" s="246"/>
    </row>
    <row r="3" spans="1:7" ht="15">
      <c r="A3" s="246" t="s">
        <v>239</v>
      </c>
      <c r="B3" s="246"/>
      <c r="C3" s="246"/>
      <c r="D3" s="246"/>
      <c r="E3" s="246"/>
      <c r="F3" s="246"/>
      <c r="G3" s="246"/>
    </row>
    <row r="4" spans="1:7" ht="65.45" customHeight="1">
      <c r="A4" s="40"/>
      <c r="B4" s="40"/>
      <c r="C4" s="40"/>
      <c r="D4" s="40"/>
      <c r="E4" s="119" t="s">
        <v>253</v>
      </c>
      <c r="F4" s="184"/>
      <c r="G4" s="119" t="s">
        <v>255</v>
      </c>
    </row>
    <row r="5" spans="1:7">
      <c r="A5" s="30" t="s">
        <v>28</v>
      </c>
      <c r="B5" s="30"/>
      <c r="C5" s="30"/>
      <c r="D5" s="30"/>
      <c r="E5" s="30"/>
      <c r="F5" s="184"/>
    </row>
    <row r="6" spans="1:7">
      <c r="A6" s="30"/>
      <c r="B6" s="30" t="s">
        <v>25</v>
      </c>
      <c r="C6" s="30"/>
      <c r="D6" s="33"/>
      <c r="E6" s="41">
        <f>+'CF Worksheet'!E10</f>
        <v>-58083.31</v>
      </c>
      <c r="F6" s="184"/>
      <c r="G6" s="187">
        <v>-37867</v>
      </c>
    </row>
    <row r="7" spans="1:7">
      <c r="A7" s="30"/>
      <c r="B7" s="30"/>
      <c r="C7" s="30"/>
      <c r="D7" s="33"/>
      <c r="E7" s="41"/>
      <c r="F7" s="184"/>
      <c r="G7" s="186"/>
    </row>
    <row r="8" spans="1:7" ht="13.5" customHeight="1">
      <c r="A8" s="30"/>
      <c r="B8" s="30" t="s">
        <v>29</v>
      </c>
      <c r="C8" s="30"/>
      <c r="D8" s="30"/>
      <c r="E8" s="17"/>
      <c r="F8" s="184"/>
    </row>
    <row r="9" spans="1:7">
      <c r="A9" s="30"/>
      <c r="B9" s="30"/>
      <c r="C9" s="30" t="str">
        <f>+'CF Worksheet'!C19</f>
        <v>Accrued liabilities</v>
      </c>
      <c r="D9" s="30"/>
      <c r="E9" s="17">
        <f>+'CF Worksheet'!E19+1</f>
        <v>-3715.82</v>
      </c>
      <c r="F9" s="184"/>
      <c r="G9" s="124">
        <v>-5653</v>
      </c>
    </row>
    <row r="10" spans="1:7">
      <c r="A10" s="30"/>
      <c r="B10" s="184"/>
      <c r="C10" s="30" t="s">
        <v>31</v>
      </c>
      <c r="D10" s="30"/>
      <c r="E10" s="201">
        <f>SUM(E6:E9)</f>
        <v>-61799.13</v>
      </c>
      <c r="F10" s="184"/>
      <c r="G10" s="201">
        <f>SUM(G6:G9)</f>
        <v>-43520</v>
      </c>
    </row>
    <row r="11" spans="1:7">
      <c r="A11" s="30"/>
      <c r="B11" s="184"/>
      <c r="C11" s="30"/>
      <c r="D11" s="30"/>
      <c r="E11" s="17"/>
      <c r="F11" s="184"/>
      <c r="G11" s="124"/>
    </row>
    <row r="12" spans="1:7">
      <c r="A12" s="30" t="s">
        <v>32</v>
      </c>
      <c r="B12" s="184"/>
      <c r="C12" s="30"/>
      <c r="D12" s="30"/>
      <c r="E12" s="17"/>
      <c r="F12" s="184"/>
      <c r="G12" s="124"/>
    </row>
    <row r="13" spans="1:7">
      <c r="A13" s="30"/>
      <c r="B13" s="30"/>
      <c r="C13" s="34" t="s">
        <v>205</v>
      </c>
      <c r="D13" s="30"/>
      <c r="E13" s="16">
        <f>+'CF Worksheet'!$E$20</f>
        <v>61873.12999999999</v>
      </c>
      <c r="F13" s="184"/>
      <c r="G13" s="176">
        <v>43394</v>
      </c>
    </row>
    <row r="14" spans="1:7">
      <c r="A14" s="30"/>
      <c r="B14" s="30"/>
      <c r="C14" s="30" t="s">
        <v>227</v>
      </c>
      <c r="D14" s="30"/>
      <c r="E14" s="16">
        <f>SUM(E13:E13)</f>
        <v>61873.12999999999</v>
      </c>
      <c r="F14" s="184"/>
      <c r="G14" s="16">
        <f>SUM(G13:G13)</f>
        <v>43394</v>
      </c>
    </row>
    <row r="15" spans="1:7">
      <c r="A15" s="30"/>
      <c r="B15" s="30"/>
      <c r="C15" s="30"/>
      <c r="D15" s="30"/>
      <c r="E15" s="17"/>
      <c r="F15" s="184"/>
      <c r="G15" s="124"/>
    </row>
    <row r="16" spans="1:7" ht="15.4">
      <c r="A16" s="184"/>
      <c r="B16" s="30" t="s">
        <v>201</v>
      </c>
      <c r="C16" s="40"/>
      <c r="D16" s="30"/>
      <c r="E16" s="17">
        <f>E10+E14</f>
        <v>73.999999999992724</v>
      </c>
      <c r="F16" s="184"/>
      <c r="G16" s="17">
        <f>G10+G14</f>
        <v>-126</v>
      </c>
    </row>
    <row r="17" spans="1:7" ht="15.4">
      <c r="A17" s="184"/>
      <c r="B17" s="30" t="s">
        <v>34</v>
      </c>
      <c r="C17" s="40"/>
      <c r="D17" s="30"/>
      <c r="E17" s="16">
        <f>+'CF Worksheet'!E42</f>
        <v>104</v>
      </c>
      <c r="F17" s="184"/>
      <c r="G17" s="16">
        <v>272</v>
      </c>
    </row>
    <row r="18" spans="1:7" ht="6" customHeight="1">
      <c r="A18" s="184"/>
      <c r="B18" s="30"/>
      <c r="C18" s="40"/>
      <c r="D18" s="30"/>
      <c r="E18" s="17"/>
      <c r="F18" s="184"/>
      <c r="G18" s="17"/>
    </row>
    <row r="19" spans="1:7" ht="15.75" thickBot="1">
      <c r="A19" s="184"/>
      <c r="B19" s="30" t="s">
        <v>35</v>
      </c>
      <c r="C19" s="40"/>
      <c r="D19" s="30"/>
      <c r="E19" s="18">
        <f>E16+E17</f>
        <v>177.99999999999272</v>
      </c>
      <c r="F19" s="184"/>
      <c r="G19" s="18">
        <f>G16+G17</f>
        <v>146</v>
      </c>
    </row>
    <row r="20" spans="1:7" ht="15.75" thickTop="1">
      <c r="A20" s="184"/>
      <c r="B20" s="30"/>
      <c r="C20" s="40"/>
      <c r="D20" s="30"/>
      <c r="E20" s="10"/>
      <c r="F20" s="184"/>
      <c r="G20" s="10"/>
    </row>
    <row r="21" spans="1:7">
      <c r="A21" s="30" t="s">
        <v>36</v>
      </c>
      <c r="B21" s="184"/>
      <c r="C21" s="184"/>
      <c r="D21" s="184"/>
      <c r="E21" s="184"/>
      <c r="F21" s="184"/>
    </row>
    <row r="22" spans="1:7" ht="14.25" thickBot="1">
      <c r="A22" s="30"/>
      <c r="B22" s="30" t="s">
        <v>37</v>
      </c>
      <c r="C22" s="184"/>
      <c r="D22" s="30"/>
      <c r="E22" s="18">
        <v>0</v>
      </c>
      <c r="F22" s="184"/>
      <c r="G22" s="18">
        <v>0</v>
      </c>
    </row>
    <row r="23" spans="1:7" ht="14.65" thickTop="1" thickBot="1">
      <c r="A23" s="30"/>
      <c r="B23" s="30" t="s">
        <v>177</v>
      </c>
      <c r="C23" s="184"/>
      <c r="D23" s="30"/>
      <c r="E23" s="18">
        <v>0</v>
      </c>
      <c r="F23" s="184"/>
      <c r="G23" s="18">
        <v>0</v>
      </c>
    </row>
    <row r="24" spans="1:7" ht="14.25" hidden="1" thickTop="1">
      <c r="A24" s="30"/>
      <c r="B24" s="30"/>
      <c r="C24" s="184"/>
      <c r="D24" s="30"/>
      <c r="E24" s="10"/>
      <c r="F24" s="184"/>
      <c r="G24" s="10"/>
    </row>
    <row r="25" spans="1:7" hidden="1">
      <c r="A25" s="30" t="s">
        <v>221</v>
      </c>
      <c r="B25" s="30"/>
      <c r="C25" s="184"/>
      <c r="D25" s="30"/>
      <c r="E25" s="10"/>
      <c r="F25" s="184"/>
      <c r="G25" s="10"/>
    </row>
    <row r="26" spans="1:7" ht="14.25" hidden="1" thickBot="1">
      <c r="A26" s="30"/>
      <c r="B26" s="30" t="s">
        <v>222</v>
      </c>
      <c r="C26" s="184"/>
      <c r="D26" s="30"/>
      <c r="E26" s="18">
        <v>0</v>
      </c>
      <c r="F26" s="184"/>
      <c r="G26" s="18">
        <v>60</v>
      </c>
    </row>
    <row r="27" spans="1:7" ht="14.65" hidden="1" thickTop="1" thickBot="1">
      <c r="A27" s="30"/>
      <c r="B27" s="30" t="s">
        <v>223</v>
      </c>
      <c r="C27" s="184"/>
      <c r="D27" s="30"/>
      <c r="E27" s="220">
        <v>0</v>
      </c>
      <c r="F27" s="184"/>
      <c r="G27" s="220">
        <v>610</v>
      </c>
    </row>
    <row r="28" spans="1:7" ht="14.25" thickTop="1">
      <c r="A28" s="184"/>
      <c r="C28" s="184"/>
      <c r="D28" s="184"/>
      <c r="E28" s="184"/>
      <c r="F28" s="184"/>
    </row>
    <row r="29" spans="1:7">
      <c r="A29" s="244" t="str">
        <f>BS!A38</f>
        <v>The accompanying notes are an integral part of these unaudited condensed financial statements.</v>
      </c>
      <c r="B29" s="244"/>
      <c r="C29" s="244"/>
      <c r="D29" s="244"/>
      <c r="E29" s="244"/>
      <c r="F29" s="244"/>
      <c r="G29" s="244"/>
    </row>
  </sheetData>
  <mergeCells count="4">
    <mergeCell ref="A29:G29"/>
    <mergeCell ref="A1:G1"/>
    <mergeCell ref="A2:G2"/>
    <mergeCell ref="A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showGridLines="0" workbookViewId="0">
      <selection activeCell="H1" sqref="H1"/>
    </sheetView>
  </sheetViews>
  <sheetFormatPr defaultColWidth="11.3984375" defaultRowHeight="13.15"/>
  <cols>
    <col min="1" max="3" width="2.59765625" style="57" customWidth="1"/>
    <col min="4" max="4" width="39" style="57" customWidth="1"/>
    <col min="5" max="5" width="17.3984375" style="70" customWidth="1"/>
    <col min="6" max="6" width="11.73046875" style="70" customWidth="1"/>
    <col min="7" max="7" width="10.73046875" style="60" bestFit="1" customWidth="1"/>
    <col min="8" max="8" width="11.59765625" style="61" customWidth="1"/>
    <col min="9" max="9" width="9" style="61" customWidth="1"/>
    <col min="10" max="10" width="9.73046875" style="61" bestFit="1" customWidth="1"/>
    <col min="11" max="11" width="9.59765625" style="61" customWidth="1"/>
    <col min="12" max="12" width="12.73046875" style="61" bestFit="1" customWidth="1"/>
    <col min="13" max="14" width="12.59765625" style="61" customWidth="1"/>
    <col min="15" max="15" width="10.86328125" style="61" bestFit="1" customWidth="1"/>
    <col min="16" max="16" width="10.59765625" style="61" bestFit="1" customWidth="1"/>
    <col min="17" max="16384" width="11.3984375" style="57"/>
  </cols>
  <sheetData>
    <row r="1" spans="1:16">
      <c r="D1" s="58" t="s">
        <v>73</v>
      </c>
      <c r="E1" s="59"/>
      <c r="F1" s="59"/>
      <c r="O1" s="62"/>
    </row>
    <row r="2" spans="1:16">
      <c r="D2" s="58" t="s">
        <v>39</v>
      </c>
      <c r="E2" s="59"/>
      <c r="F2" s="59"/>
    </row>
    <row r="3" spans="1:16">
      <c r="D3" s="63">
        <v>43738</v>
      </c>
      <c r="E3" s="64"/>
      <c r="F3" s="64"/>
      <c r="G3" s="126"/>
    </row>
    <row r="4" spans="1:16" s="65" customFormat="1" ht="56.25" customHeight="1" thickBot="1">
      <c r="E4" s="66" t="s">
        <v>40</v>
      </c>
      <c r="F4" s="66" t="s">
        <v>105</v>
      </c>
      <c r="G4" s="67" t="s">
        <v>203</v>
      </c>
      <c r="H4" s="68" t="s">
        <v>205</v>
      </c>
      <c r="I4" s="68"/>
      <c r="J4" s="67"/>
      <c r="K4" s="67" t="s">
        <v>74</v>
      </c>
      <c r="L4" s="68" t="s">
        <v>41</v>
      </c>
      <c r="M4" s="68" t="s">
        <v>75</v>
      </c>
      <c r="N4" s="68" t="s">
        <v>76</v>
      </c>
      <c r="O4" s="68" t="s">
        <v>77</v>
      </c>
    </row>
    <row r="5" spans="1:16">
      <c r="D5" s="69" t="s">
        <v>256</v>
      </c>
      <c r="E5" s="87">
        <f>+BS!D10</f>
        <v>178</v>
      </c>
      <c r="F5" s="87">
        <f>-BS!D18</f>
        <v>0</v>
      </c>
      <c r="G5" s="88">
        <v>0</v>
      </c>
      <c r="H5" s="88">
        <f>-BS!D19</f>
        <v>-174015.62</v>
      </c>
      <c r="I5" s="88">
        <v>0</v>
      </c>
      <c r="J5" s="88">
        <v>0</v>
      </c>
      <c r="K5" s="88">
        <v>0</v>
      </c>
      <c r="L5" s="88">
        <f>-BS!D27</f>
        <v>-652</v>
      </c>
      <c r="M5" s="88">
        <f>-BS!D30</f>
        <v>670</v>
      </c>
      <c r="N5" s="88">
        <f>-BS!D31</f>
        <v>-2202</v>
      </c>
      <c r="O5" s="88">
        <f>-BS!D32</f>
        <v>176022.62</v>
      </c>
      <c r="P5" s="70">
        <f>ROUND(SUM(E5:O5),0)</f>
        <v>1</v>
      </c>
    </row>
    <row r="6" spans="1:16">
      <c r="D6" s="69" t="s">
        <v>226</v>
      </c>
      <c r="E6" s="87">
        <f>+BS!F10</f>
        <v>104</v>
      </c>
      <c r="F6" s="87">
        <f>-BS!F18</f>
        <v>-3716.82</v>
      </c>
      <c r="G6" s="88">
        <v>0</v>
      </c>
      <c r="H6" s="88">
        <f>-BS!F19</f>
        <v>-112142.49</v>
      </c>
      <c r="I6" s="88">
        <v>0</v>
      </c>
      <c r="J6" s="88">
        <v>0</v>
      </c>
      <c r="K6" s="88">
        <v>0</v>
      </c>
      <c r="L6" s="88">
        <f>-BS!F27</f>
        <v>-652</v>
      </c>
      <c r="M6" s="88">
        <f>-BS!F30</f>
        <v>670</v>
      </c>
      <c r="N6" s="88">
        <f>-BS!F31</f>
        <v>-2202</v>
      </c>
      <c r="O6" s="88">
        <f>-BS!F32</f>
        <v>117939.31</v>
      </c>
      <c r="P6" s="70">
        <f>ROUND(SUM(E6:O6),0)</f>
        <v>0</v>
      </c>
    </row>
    <row r="7" spans="1:16" ht="12" customHeight="1">
      <c r="D7" s="69" t="s">
        <v>42</v>
      </c>
      <c r="E7" s="89">
        <f>E5-E6</f>
        <v>74</v>
      </c>
      <c r="F7" s="90">
        <f t="shared" ref="F7:O7" si="0">F5-F6</f>
        <v>3716.82</v>
      </c>
      <c r="G7" s="90">
        <f t="shared" si="0"/>
        <v>0</v>
      </c>
      <c r="H7" s="90">
        <f t="shared" si="0"/>
        <v>-61873.12999999999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si="0"/>
        <v>0</v>
      </c>
      <c r="N7" s="90">
        <f t="shared" si="0"/>
        <v>0</v>
      </c>
      <c r="O7" s="90">
        <f t="shared" si="0"/>
        <v>58083.31</v>
      </c>
      <c r="P7" s="57"/>
    </row>
    <row r="8" spans="1:16" s="71" customFormat="1">
      <c r="E8" s="72"/>
      <c r="F8" s="72"/>
      <c r="G8" s="73"/>
      <c r="H8" s="73"/>
      <c r="I8" s="73"/>
      <c r="J8" s="73"/>
      <c r="K8" s="73"/>
      <c r="L8" s="73"/>
      <c r="M8" s="73"/>
      <c r="N8" s="73"/>
      <c r="O8" s="73"/>
      <c r="P8" s="74"/>
    </row>
    <row r="9" spans="1:16" s="71" customFormat="1">
      <c r="A9" s="75" t="s">
        <v>43</v>
      </c>
      <c r="B9" s="76"/>
      <c r="C9" s="76"/>
      <c r="D9" s="76"/>
      <c r="E9" s="77"/>
      <c r="F9" s="77"/>
      <c r="G9" s="73"/>
      <c r="H9" s="73"/>
      <c r="I9" s="73"/>
      <c r="J9" s="73"/>
      <c r="K9" s="73"/>
      <c r="L9" s="73"/>
      <c r="M9" s="73"/>
      <c r="N9" s="73"/>
      <c r="O9" s="73"/>
      <c r="P9" s="78"/>
    </row>
    <row r="10" spans="1:16" s="71" customFormat="1">
      <c r="A10" s="76"/>
      <c r="B10" s="76" t="s">
        <v>25</v>
      </c>
      <c r="C10" s="76"/>
      <c r="D10" s="76"/>
      <c r="E10" s="115">
        <f>SUM(F10:O10)</f>
        <v>-58083.31</v>
      </c>
      <c r="F10" s="73"/>
      <c r="G10" s="73"/>
      <c r="H10" s="73"/>
      <c r="I10" s="73"/>
      <c r="J10" s="73"/>
      <c r="K10" s="73"/>
      <c r="L10" s="73"/>
      <c r="M10" s="73"/>
      <c r="N10" s="73"/>
      <c r="O10" s="73">
        <f>-O7</f>
        <v>-58083.31</v>
      </c>
    </row>
    <row r="11" spans="1:16" s="71" customFormat="1">
      <c r="A11" s="76"/>
      <c r="B11" s="79" t="s">
        <v>44</v>
      </c>
      <c r="C11" s="79"/>
      <c r="D11" s="79"/>
      <c r="E11" s="91"/>
      <c r="F11" s="91"/>
      <c r="G11" s="73"/>
      <c r="H11" s="73"/>
      <c r="I11" s="73"/>
      <c r="J11" s="73"/>
      <c r="K11" s="73"/>
      <c r="L11" s="73"/>
      <c r="M11" s="73"/>
      <c r="N11" s="73"/>
      <c r="O11" s="73"/>
      <c r="P11" s="78"/>
    </row>
    <row r="12" spans="1:16" s="71" customFormat="1">
      <c r="A12" s="76"/>
      <c r="B12" s="79" t="s">
        <v>45</v>
      </c>
      <c r="C12" s="79"/>
      <c r="D12" s="79"/>
      <c r="E12" s="91"/>
      <c r="F12" s="91"/>
      <c r="G12" s="73"/>
      <c r="H12" s="73"/>
      <c r="I12" s="73"/>
      <c r="J12" s="73"/>
      <c r="K12" s="73"/>
      <c r="L12" s="73"/>
      <c r="M12" s="73"/>
      <c r="N12" s="73"/>
      <c r="O12" s="73"/>
      <c r="P12" s="78"/>
    </row>
    <row r="13" spans="1:16" s="71" customFormat="1">
      <c r="A13" s="76"/>
      <c r="B13" s="76"/>
      <c r="C13" s="127"/>
      <c r="D13" s="127"/>
      <c r="E13" s="115">
        <f>SUM(F13:O13)</f>
        <v>0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78"/>
    </row>
    <row r="14" spans="1:16" s="71" customFormat="1">
      <c r="A14" s="76"/>
      <c r="B14" s="76"/>
      <c r="C14" s="127"/>
      <c r="D14" s="127"/>
      <c r="E14" s="115">
        <f>SUM(F14:O14)</f>
        <v>0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78"/>
    </row>
    <row r="15" spans="1:16" s="71" customFormat="1">
      <c r="A15" s="76"/>
      <c r="B15" s="76"/>
      <c r="C15" s="127"/>
      <c r="D15" s="127"/>
      <c r="E15" s="115">
        <f t="shared" ref="E15:E22" si="1">SUM(F15:O15)</f>
        <v>0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78"/>
    </row>
    <row r="16" spans="1:16" s="71" customFormat="1">
      <c r="A16" s="76"/>
      <c r="B16" s="76"/>
      <c r="C16" s="127"/>
      <c r="D16" s="127"/>
      <c r="E16" s="115">
        <f t="shared" si="1"/>
        <v>0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78"/>
    </row>
    <row r="17" spans="1:16" s="71" customFormat="1">
      <c r="A17" s="76"/>
      <c r="B17" s="76"/>
      <c r="C17" s="127"/>
      <c r="D17" s="127"/>
      <c r="E17" s="115">
        <f t="shared" si="1"/>
        <v>0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78"/>
    </row>
    <row r="18" spans="1:16" s="71" customFormat="1">
      <c r="A18" s="76"/>
      <c r="B18" s="76"/>
      <c r="C18" s="127" t="s">
        <v>204</v>
      </c>
      <c r="D18" s="127"/>
      <c r="E18" s="115">
        <f t="shared" si="1"/>
        <v>0</v>
      </c>
      <c r="F18" s="115"/>
      <c r="G18" s="115">
        <f>-G7</f>
        <v>0</v>
      </c>
      <c r="H18" s="115"/>
      <c r="I18" s="115"/>
      <c r="J18" s="115"/>
      <c r="K18" s="115"/>
      <c r="L18" s="115"/>
      <c r="M18" s="115"/>
      <c r="N18" s="115"/>
      <c r="O18" s="115"/>
      <c r="P18" s="78"/>
    </row>
    <row r="19" spans="1:16" s="71" customFormat="1">
      <c r="A19" s="76"/>
      <c r="B19" s="76"/>
      <c r="C19" s="127" t="s">
        <v>30</v>
      </c>
      <c r="D19" s="127"/>
      <c r="E19" s="115">
        <f>SUM(F19:O19)</f>
        <v>-3716.82</v>
      </c>
      <c r="F19" s="115">
        <f>-F7</f>
        <v>-3716.82</v>
      </c>
      <c r="G19" s="115"/>
      <c r="H19" s="115"/>
      <c r="I19" s="115"/>
      <c r="J19" s="115"/>
      <c r="K19" s="115"/>
      <c r="L19" s="115"/>
      <c r="M19" s="115"/>
      <c r="N19" s="115"/>
      <c r="O19" s="115"/>
      <c r="P19" s="78"/>
    </row>
    <row r="20" spans="1:16" s="71" customFormat="1">
      <c r="A20" s="76"/>
      <c r="B20" s="76"/>
      <c r="C20" s="127" t="s">
        <v>205</v>
      </c>
      <c r="D20" s="127"/>
      <c r="E20" s="115">
        <f t="shared" si="1"/>
        <v>61873.12999999999</v>
      </c>
      <c r="F20" s="115"/>
      <c r="G20" s="115"/>
      <c r="H20" s="115">
        <f>-H7</f>
        <v>61873.12999999999</v>
      </c>
      <c r="I20" s="115">
        <f>-I7</f>
        <v>0</v>
      </c>
      <c r="J20" s="115"/>
      <c r="K20" s="115"/>
      <c r="L20" s="115"/>
      <c r="M20" s="115"/>
      <c r="N20" s="115"/>
      <c r="O20" s="115"/>
      <c r="P20" s="78"/>
    </row>
    <row r="21" spans="1:16" s="71" customFormat="1">
      <c r="A21" s="76"/>
      <c r="B21" s="76"/>
      <c r="C21" s="76"/>
      <c r="D21" s="76"/>
      <c r="E21" s="73">
        <f t="shared" si="1"/>
        <v>0</v>
      </c>
      <c r="F21" s="73"/>
      <c r="G21" s="73"/>
      <c r="H21" s="73"/>
      <c r="I21" s="73"/>
      <c r="J21" s="73">
        <f>-J7</f>
        <v>0</v>
      </c>
      <c r="K21" s="73"/>
      <c r="L21" s="73"/>
      <c r="M21" s="73"/>
      <c r="N21" s="73"/>
      <c r="O21" s="73"/>
      <c r="P21" s="78"/>
    </row>
    <row r="22" spans="1:16" s="71" customFormat="1">
      <c r="A22" s="76"/>
      <c r="B22" s="76"/>
      <c r="C22" s="76"/>
      <c r="E22" s="92">
        <f t="shared" si="1"/>
        <v>0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8"/>
    </row>
    <row r="23" spans="1:16" s="71" customFormat="1">
      <c r="A23" s="80" t="s">
        <v>46</v>
      </c>
      <c r="B23" s="76"/>
      <c r="D23" s="76"/>
      <c r="E23" s="73">
        <f>SUM(E10:E22)</f>
        <v>72.999999999992724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8"/>
    </row>
    <row r="24" spans="1:16" s="71" customFormat="1">
      <c r="A24" s="76"/>
      <c r="B24" s="76"/>
      <c r="C24" s="76"/>
      <c r="D24" s="76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8"/>
    </row>
    <row r="25" spans="1:16" s="71" customFormat="1">
      <c r="A25" s="76" t="s">
        <v>47</v>
      </c>
      <c r="B25" s="76"/>
      <c r="C25" s="76"/>
      <c r="D25" s="76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8"/>
    </row>
    <row r="26" spans="1:16" s="71" customFormat="1">
      <c r="A26" s="76"/>
      <c r="B26" s="76" t="s">
        <v>48</v>
      </c>
      <c r="C26" s="76"/>
      <c r="D26" s="76"/>
      <c r="E26" s="73">
        <f>SUM(G26:P26)</f>
        <v>0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8"/>
    </row>
    <row r="27" spans="1:16" s="71" customFormat="1">
      <c r="A27" s="76"/>
      <c r="B27" s="76"/>
      <c r="C27" s="76"/>
      <c r="D27" s="76"/>
      <c r="E27" s="92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8"/>
    </row>
    <row r="28" spans="1:16" s="71" customFormat="1">
      <c r="A28" s="81" t="s">
        <v>49</v>
      </c>
      <c r="B28" s="76"/>
      <c r="D28" s="76"/>
      <c r="E28" s="73">
        <f>SUM(E25:E27)</f>
        <v>0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8"/>
    </row>
    <row r="29" spans="1:16" s="71" customFormat="1">
      <c r="A29" s="76"/>
      <c r="B29" s="76"/>
      <c r="C29" s="76"/>
      <c r="D29" s="76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8"/>
    </row>
    <row r="30" spans="1:16" s="71" customFormat="1">
      <c r="A30" s="76" t="s">
        <v>32</v>
      </c>
      <c r="B30" s="76"/>
      <c r="C30" s="76"/>
      <c r="D30" s="76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8"/>
    </row>
    <row r="31" spans="1:16" s="71" customFormat="1">
      <c r="A31" s="76"/>
      <c r="B31" s="76"/>
      <c r="C31" s="76"/>
      <c r="D31" s="76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8"/>
    </row>
    <row r="32" spans="1:16" s="71" customFormat="1">
      <c r="A32" s="76"/>
      <c r="B32" s="76" t="s">
        <v>33</v>
      </c>
      <c r="C32" s="76"/>
      <c r="D32" s="76"/>
      <c r="E32" s="73">
        <f>SUM(G32:P32)</f>
        <v>0</v>
      </c>
      <c r="F32" s="73"/>
      <c r="G32" s="73"/>
      <c r="H32" s="73"/>
      <c r="I32" s="73"/>
      <c r="J32" s="73"/>
      <c r="K32" s="73"/>
      <c r="L32" s="73">
        <f>-L7</f>
        <v>0</v>
      </c>
      <c r="M32" s="73"/>
      <c r="N32" s="73">
        <f>-N7</f>
        <v>0</v>
      </c>
      <c r="O32" s="73"/>
      <c r="P32" s="78"/>
    </row>
    <row r="33" spans="1:17" s="71" customFormat="1">
      <c r="A33" s="76"/>
      <c r="B33" s="76" t="s">
        <v>50</v>
      </c>
      <c r="C33" s="76"/>
      <c r="D33" s="76"/>
      <c r="E33" s="73">
        <f>SUM(G33:P33)</f>
        <v>0</v>
      </c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8"/>
    </row>
    <row r="34" spans="1:17" s="71" customFormat="1">
      <c r="A34" s="76"/>
      <c r="B34" s="76" t="s">
        <v>51</v>
      </c>
      <c r="C34" s="76"/>
      <c r="D34" s="76"/>
      <c r="E34" s="73">
        <f t="shared" ref="E34:E39" si="2">SUM(G34:P34)</f>
        <v>0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8"/>
    </row>
    <row r="35" spans="1:17" s="71" customFormat="1">
      <c r="A35" s="76"/>
      <c r="B35" s="76" t="s">
        <v>52</v>
      </c>
      <c r="C35" s="76"/>
      <c r="D35" s="76"/>
      <c r="E35" s="73">
        <f t="shared" si="2"/>
        <v>0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8"/>
    </row>
    <row r="36" spans="1:17" s="71" customFormat="1">
      <c r="A36" s="76"/>
      <c r="B36" s="76" t="s">
        <v>53</v>
      </c>
      <c r="C36" s="76"/>
      <c r="D36" s="76"/>
      <c r="E36" s="73">
        <f t="shared" si="2"/>
        <v>0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8"/>
    </row>
    <row r="37" spans="1:17" s="71" customFormat="1">
      <c r="A37" s="76"/>
      <c r="B37" s="76" t="s">
        <v>54</v>
      </c>
      <c r="C37" s="76"/>
      <c r="D37" s="76"/>
      <c r="E37" s="73">
        <f t="shared" si="2"/>
        <v>0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82"/>
      <c r="Q37" s="82"/>
    </row>
    <row r="38" spans="1:17" s="71" customFormat="1">
      <c r="A38" s="76"/>
      <c r="B38" s="76" t="s">
        <v>55</v>
      </c>
      <c r="C38" s="76"/>
      <c r="D38" s="76"/>
      <c r="E38" s="73">
        <f t="shared" si="2"/>
        <v>0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82"/>
      <c r="Q38" s="82"/>
    </row>
    <row r="39" spans="1:17" s="71" customFormat="1">
      <c r="A39" s="76"/>
      <c r="B39" s="76"/>
      <c r="C39" s="76"/>
      <c r="D39" s="76"/>
      <c r="E39" s="73">
        <f t="shared" si="2"/>
        <v>0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82"/>
      <c r="Q39" s="82"/>
    </row>
    <row r="40" spans="1:17" s="71" customFormat="1">
      <c r="A40" s="81" t="s">
        <v>56</v>
      </c>
      <c r="B40" s="76"/>
      <c r="D40" s="76"/>
      <c r="E40" s="93">
        <f>SUM(E31:E39)</f>
        <v>0</v>
      </c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82"/>
      <c r="Q40" s="82"/>
    </row>
    <row r="41" spans="1:17" s="71" customFormat="1">
      <c r="A41" s="76" t="s">
        <v>57</v>
      </c>
      <c r="B41" s="76"/>
      <c r="C41" s="76"/>
      <c r="D41" s="76"/>
      <c r="E41" s="73">
        <f>E23+E28+E40</f>
        <v>72.999999999992724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82"/>
      <c r="Q41" s="82"/>
    </row>
    <row r="42" spans="1:17" s="71" customFormat="1">
      <c r="A42" s="76" t="s">
        <v>58</v>
      </c>
      <c r="B42" s="76"/>
      <c r="C42" s="76"/>
      <c r="D42" s="76"/>
      <c r="E42" s="73">
        <f>E6</f>
        <v>104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82"/>
      <c r="Q42" s="82"/>
    </row>
    <row r="43" spans="1:17" s="71" customFormat="1" ht="13.5" thickBot="1">
      <c r="A43" s="76" t="s">
        <v>59</v>
      </c>
      <c r="B43" s="76"/>
      <c r="C43" s="76"/>
      <c r="D43" s="76"/>
      <c r="E43" s="83">
        <f>E41+E42</f>
        <v>176.99999999999272</v>
      </c>
      <c r="F43" s="83">
        <f t="shared" ref="F43:O43" si="3">SUM(F7:F42)</f>
        <v>0</v>
      </c>
      <c r="G43" s="83">
        <f t="shared" si="3"/>
        <v>0</v>
      </c>
      <c r="H43" s="83">
        <f t="shared" si="3"/>
        <v>0</v>
      </c>
      <c r="I43" s="83">
        <f t="shared" si="3"/>
        <v>0</v>
      </c>
      <c r="J43" s="83">
        <f t="shared" si="3"/>
        <v>0</v>
      </c>
      <c r="K43" s="83">
        <f t="shared" si="3"/>
        <v>0</v>
      </c>
      <c r="L43" s="83">
        <f t="shared" si="3"/>
        <v>0</v>
      </c>
      <c r="M43" s="83">
        <f t="shared" si="3"/>
        <v>0</v>
      </c>
      <c r="N43" s="83">
        <f t="shared" si="3"/>
        <v>0</v>
      </c>
      <c r="O43" s="83">
        <f t="shared" si="3"/>
        <v>0</v>
      </c>
      <c r="P43" s="82"/>
      <c r="Q43" s="82"/>
    </row>
    <row r="44" spans="1:17" s="71" customFormat="1" ht="13.5" thickTop="1">
      <c r="A44" s="76"/>
      <c r="B44" s="76"/>
      <c r="C44" s="76"/>
      <c r="D44" s="76"/>
      <c r="E44" s="73">
        <f>E5-E43</f>
        <v>1.000000000007276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82"/>
      <c r="Q44" s="82"/>
    </row>
    <row r="45" spans="1:17" s="71" customFormat="1">
      <c r="A45" s="76" t="s">
        <v>60</v>
      </c>
      <c r="B45" s="76"/>
      <c r="C45" s="76"/>
      <c r="D45" s="76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82"/>
      <c r="Q45" s="82"/>
    </row>
    <row r="46" spans="1:17" s="71" customFormat="1">
      <c r="A46" s="76" t="s">
        <v>61</v>
      </c>
      <c r="B46" s="76" t="s">
        <v>62</v>
      </c>
      <c r="C46" s="76"/>
      <c r="D46" s="76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82"/>
      <c r="Q46" s="82"/>
    </row>
    <row r="47" spans="1:17" s="71" customFormat="1">
      <c r="A47" s="76"/>
      <c r="B47" s="76"/>
      <c r="C47" s="76"/>
      <c r="D47" s="7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82"/>
      <c r="Q47" s="82"/>
    </row>
    <row r="48" spans="1:17" s="71" customFormat="1">
      <c r="A48" s="76"/>
      <c r="B48" s="76" t="s">
        <v>63</v>
      </c>
      <c r="C48" s="76"/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82"/>
      <c r="Q48" s="82"/>
    </row>
    <row r="49" spans="1:17" s="71" customFormat="1">
      <c r="A49" s="76"/>
      <c r="B49" s="76"/>
      <c r="C49" s="76" t="s">
        <v>64</v>
      </c>
      <c r="D49" s="76"/>
      <c r="E49" s="77">
        <f>SUM(G49:P49)</f>
        <v>0</v>
      </c>
      <c r="F49" s="77"/>
      <c r="G49" s="73"/>
      <c r="H49" s="73"/>
      <c r="I49" s="73"/>
      <c r="J49" s="73"/>
      <c r="K49" s="73"/>
      <c r="L49" s="73"/>
      <c r="M49" s="73"/>
      <c r="N49" s="73"/>
      <c r="O49" s="73"/>
      <c r="P49" s="82"/>
      <c r="Q49" s="82"/>
    </row>
    <row r="50" spans="1:17" s="71" customFormat="1" ht="13.5" customHeight="1">
      <c r="A50" s="76"/>
      <c r="B50" s="76"/>
      <c r="C50" s="76" t="s">
        <v>65</v>
      </c>
      <c r="D50" s="76"/>
      <c r="E50" s="77">
        <f>SUM(G50:P50)</f>
        <v>0</v>
      </c>
      <c r="F50" s="77"/>
      <c r="G50" s="73"/>
      <c r="H50" s="73"/>
      <c r="I50" s="73"/>
      <c r="J50" s="73"/>
      <c r="K50" s="73"/>
      <c r="L50" s="73"/>
      <c r="M50" s="73"/>
      <c r="N50" s="73"/>
      <c r="O50" s="73"/>
      <c r="P50" s="82"/>
      <c r="Q50" s="82"/>
    </row>
    <row r="51" spans="1:17" s="71" customFormat="1">
      <c r="A51" s="76"/>
      <c r="B51" s="76"/>
      <c r="C51" s="76"/>
      <c r="D51" s="76"/>
      <c r="E51" s="77"/>
      <c r="F51" s="77"/>
      <c r="G51" s="73"/>
      <c r="H51" s="73"/>
      <c r="I51" s="73"/>
      <c r="J51" s="73"/>
      <c r="K51" s="73"/>
      <c r="L51" s="73"/>
      <c r="M51" s="73"/>
      <c r="N51" s="73"/>
      <c r="O51" s="73"/>
      <c r="P51" s="82"/>
      <c r="Q51" s="82"/>
    </row>
    <row r="52" spans="1:17" s="71" customFormat="1">
      <c r="A52" s="76" t="s">
        <v>66</v>
      </c>
      <c r="C52" s="76"/>
      <c r="D52" s="76"/>
      <c r="E52" s="77"/>
      <c r="F52" s="77"/>
      <c r="G52" s="73"/>
      <c r="H52" s="73"/>
      <c r="I52" s="73"/>
      <c r="J52" s="73"/>
      <c r="K52" s="73"/>
      <c r="L52" s="73"/>
      <c r="M52" s="73"/>
      <c r="N52" s="73"/>
      <c r="O52" s="73"/>
      <c r="P52" s="82"/>
      <c r="Q52" s="82"/>
    </row>
    <row r="53" spans="1:17" s="71" customFormat="1">
      <c r="A53" s="76"/>
      <c r="B53" s="76"/>
      <c r="C53" s="76" t="s">
        <v>67</v>
      </c>
      <c r="D53" s="76"/>
      <c r="E53" s="77">
        <f t="shared" ref="E53:E57" si="4">SUM(G53:P53)</f>
        <v>0</v>
      </c>
      <c r="F53" s="77"/>
      <c r="G53" s="73"/>
      <c r="H53" s="73"/>
      <c r="I53" s="73"/>
      <c r="J53" s="73"/>
      <c r="K53" s="73"/>
      <c r="L53" s="73"/>
      <c r="M53" s="73"/>
      <c r="N53" s="73"/>
      <c r="O53" s="73"/>
      <c r="P53" s="82"/>
      <c r="Q53" s="82"/>
    </row>
    <row r="54" spans="1:17" s="71" customFormat="1">
      <c r="A54" s="76"/>
      <c r="B54" s="76"/>
      <c r="C54" s="76" t="s">
        <v>68</v>
      </c>
      <c r="D54" s="76"/>
      <c r="E54" s="77">
        <f t="shared" si="4"/>
        <v>0</v>
      </c>
      <c r="F54" s="77"/>
      <c r="G54" s="73"/>
      <c r="H54" s="73"/>
      <c r="I54" s="73"/>
      <c r="J54" s="73"/>
      <c r="K54" s="73"/>
      <c r="L54" s="73"/>
      <c r="M54" s="73"/>
      <c r="N54" s="73"/>
      <c r="O54" s="73"/>
      <c r="P54" s="82"/>
      <c r="Q54" s="82"/>
    </row>
    <row r="55" spans="1:17" s="71" customFormat="1" ht="13.5" customHeight="1">
      <c r="A55" s="76"/>
      <c r="B55" s="76"/>
      <c r="C55" s="76" t="s">
        <v>69</v>
      </c>
      <c r="D55" s="76"/>
      <c r="E55" s="77">
        <f t="shared" si="4"/>
        <v>0</v>
      </c>
      <c r="F55" s="77"/>
      <c r="G55" s="73"/>
      <c r="H55" s="73"/>
      <c r="I55" s="73"/>
      <c r="J55" s="73"/>
      <c r="K55" s="73"/>
      <c r="L55" s="73"/>
      <c r="M55" s="73"/>
      <c r="N55" s="73"/>
      <c r="O55" s="73"/>
      <c r="P55" s="82"/>
      <c r="Q55" s="82"/>
    </row>
    <row r="56" spans="1:17" s="71" customFormat="1">
      <c r="A56" s="76"/>
      <c r="B56" s="76"/>
      <c r="C56" s="76" t="s">
        <v>70</v>
      </c>
      <c r="D56" s="76"/>
      <c r="E56" s="77">
        <v>0</v>
      </c>
      <c r="F56" s="77"/>
      <c r="G56" s="73">
        <f>50000+250000</f>
        <v>300000</v>
      </c>
      <c r="H56" s="73"/>
      <c r="I56" s="77"/>
      <c r="J56" s="73"/>
      <c r="K56" s="73"/>
      <c r="L56" s="73"/>
      <c r="M56" s="73"/>
      <c r="N56" s="73"/>
      <c r="O56" s="73"/>
      <c r="P56" s="82"/>
      <c r="Q56" s="82"/>
    </row>
    <row r="57" spans="1:17" s="71" customFormat="1" ht="13.5" customHeight="1">
      <c r="A57" s="76"/>
      <c r="B57" s="76"/>
      <c r="C57" s="76" t="s">
        <v>71</v>
      </c>
      <c r="D57" s="76"/>
      <c r="E57" s="77">
        <f t="shared" si="4"/>
        <v>0</v>
      </c>
      <c r="F57" s="77"/>
      <c r="G57" s="73"/>
      <c r="H57" s="73"/>
      <c r="I57" s="73"/>
      <c r="J57" s="73"/>
      <c r="K57" s="73"/>
      <c r="L57" s="73"/>
      <c r="M57" s="73"/>
      <c r="N57" s="73"/>
      <c r="O57" s="73"/>
      <c r="P57" s="82"/>
      <c r="Q57" s="82"/>
    </row>
    <row r="58" spans="1:17" s="71" customFormat="1">
      <c r="A58" s="76"/>
      <c r="B58" s="76"/>
      <c r="C58" s="76" t="s">
        <v>72</v>
      </c>
      <c r="D58" s="76"/>
      <c r="E58" s="77">
        <f>SUM(G58:P58)</f>
        <v>0</v>
      </c>
      <c r="F58" s="77"/>
      <c r="G58" s="73"/>
      <c r="H58" s="73"/>
      <c r="I58" s="73"/>
      <c r="J58" s="73"/>
      <c r="K58" s="73"/>
      <c r="L58" s="73">
        <f>-J58</f>
        <v>0</v>
      </c>
      <c r="M58" s="73"/>
      <c r="N58" s="73"/>
      <c r="O58" s="73"/>
      <c r="P58" s="82"/>
      <c r="Q58" s="82"/>
    </row>
    <row r="59" spans="1:17" s="71" customFormat="1" ht="13.5" thickBot="1">
      <c r="E59" s="84">
        <f>E5-E43</f>
        <v>1.000000000007276</v>
      </c>
      <c r="F59" s="84"/>
      <c r="G59" s="83">
        <f>SUM(G44:G58)-G43</f>
        <v>300000</v>
      </c>
      <c r="H59" s="83">
        <f>SUM(H7:H42,H44:H58)</f>
        <v>0</v>
      </c>
      <c r="I59" s="83">
        <f>SUM(I7:I42,I44:I58)</f>
        <v>0</v>
      </c>
      <c r="J59" s="83">
        <f>SUM(J7:J42,J44:J58)</f>
        <v>0</v>
      </c>
      <c r="K59" s="83">
        <f>SUM(K7:K42,K44:K58)</f>
        <v>0</v>
      </c>
      <c r="L59" s="83">
        <f>SUM(L7:L42,L44:L58)</f>
        <v>0</v>
      </c>
      <c r="M59" s="83"/>
      <c r="N59" s="83"/>
      <c r="O59" s="83">
        <f>SUM(O7:O42,O44:O58)</f>
        <v>0</v>
      </c>
      <c r="P59" s="82"/>
      <c r="Q59" s="82"/>
    </row>
    <row r="60" spans="1:17" s="71" customFormat="1" ht="13.5" thickTop="1">
      <c r="E60" s="72"/>
      <c r="F60" s="72"/>
      <c r="G60" s="77"/>
      <c r="H60" s="77"/>
      <c r="I60" s="77"/>
      <c r="J60" s="77"/>
      <c r="K60" s="77"/>
      <c r="L60" s="77"/>
      <c r="M60" s="77"/>
      <c r="N60" s="77"/>
      <c r="O60" s="77"/>
      <c r="P60" s="82"/>
      <c r="Q60" s="82"/>
    </row>
    <row r="61" spans="1:17" s="71" customFormat="1">
      <c r="E61" s="72"/>
      <c r="F61" s="72"/>
      <c r="G61" s="77"/>
      <c r="H61" s="77"/>
      <c r="I61" s="77"/>
      <c r="J61" s="77"/>
      <c r="K61" s="77"/>
      <c r="L61" s="77"/>
      <c r="M61" s="77"/>
      <c r="N61" s="77"/>
      <c r="O61" s="77"/>
      <c r="P61" s="82"/>
      <c r="Q61" s="82"/>
    </row>
    <row r="62" spans="1:17" s="71" customFormat="1">
      <c r="E62" s="72"/>
      <c r="F62" s="72"/>
      <c r="G62" s="77"/>
      <c r="H62" s="77"/>
      <c r="I62" s="77"/>
      <c r="J62" s="77"/>
      <c r="K62" s="77"/>
      <c r="L62" s="77"/>
      <c r="M62" s="77"/>
      <c r="N62" s="77"/>
      <c r="O62" s="77"/>
      <c r="P62" s="82"/>
      <c r="Q62" s="82"/>
    </row>
    <row r="63" spans="1:17" s="71" customFormat="1">
      <c r="E63" s="72"/>
      <c r="F63" s="72"/>
      <c r="G63" s="77"/>
      <c r="H63" s="77"/>
      <c r="I63" s="77"/>
      <c r="J63" s="77"/>
      <c r="K63" s="77"/>
      <c r="L63" s="77"/>
      <c r="M63" s="77"/>
      <c r="N63" s="77"/>
      <c r="O63" s="77"/>
      <c r="P63" s="82"/>
      <c r="Q63" s="82"/>
    </row>
    <row r="64" spans="1:17" s="71" customFormat="1">
      <c r="E64" s="72"/>
      <c r="F64" s="72"/>
      <c r="G64" s="77"/>
      <c r="H64" s="77"/>
      <c r="I64" s="77"/>
      <c r="J64" s="77"/>
      <c r="K64" s="77"/>
      <c r="L64" s="77"/>
      <c r="M64" s="77"/>
      <c r="N64" s="77"/>
      <c r="O64" s="77"/>
      <c r="P64" s="82"/>
      <c r="Q64" s="82"/>
    </row>
    <row r="65" spans="5:17" s="71" customFormat="1">
      <c r="E65" s="72"/>
      <c r="F65" s="72"/>
      <c r="G65" s="73"/>
      <c r="H65" s="77"/>
      <c r="I65" s="77"/>
      <c r="J65" s="77"/>
      <c r="K65" s="77"/>
      <c r="L65" s="77"/>
      <c r="M65" s="77"/>
      <c r="N65" s="77"/>
      <c r="O65" s="77"/>
      <c r="P65" s="82"/>
      <c r="Q65" s="82"/>
    </row>
    <row r="66" spans="5:17" s="71" customFormat="1">
      <c r="E66" s="72"/>
      <c r="F66" s="72"/>
      <c r="G66" s="73"/>
      <c r="H66" s="77"/>
      <c r="I66" s="77"/>
      <c r="J66" s="77"/>
      <c r="K66" s="77"/>
      <c r="L66" s="77"/>
      <c r="M66" s="77"/>
      <c r="N66" s="77"/>
      <c r="O66" s="77"/>
      <c r="P66" s="82"/>
      <c r="Q66" s="82"/>
    </row>
    <row r="67" spans="5:17" s="71" customFormat="1">
      <c r="E67" s="72"/>
      <c r="F67" s="72"/>
      <c r="G67" s="73"/>
      <c r="H67" s="77"/>
      <c r="I67" s="77"/>
      <c r="J67" s="77"/>
      <c r="K67" s="77"/>
      <c r="L67" s="77"/>
      <c r="M67" s="77"/>
      <c r="N67" s="77"/>
      <c r="O67" s="77"/>
      <c r="P67" s="82"/>
      <c r="Q67" s="82"/>
    </row>
    <row r="68" spans="5:17" s="71" customFormat="1">
      <c r="E68" s="72"/>
      <c r="F68" s="72"/>
      <c r="G68" s="73"/>
      <c r="H68" s="77"/>
      <c r="I68" s="77"/>
      <c r="J68" s="77"/>
      <c r="K68" s="77"/>
      <c r="L68" s="77"/>
      <c r="M68" s="77"/>
      <c r="N68" s="77"/>
      <c r="O68" s="77"/>
      <c r="P68" s="82"/>
      <c r="Q68" s="82"/>
    </row>
    <row r="69" spans="5:17" s="71" customFormat="1">
      <c r="E69" s="72"/>
      <c r="F69" s="72"/>
      <c r="G69" s="77"/>
      <c r="H69" s="77"/>
      <c r="I69" s="77"/>
      <c r="J69" s="77"/>
      <c r="K69" s="77"/>
      <c r="L69" s="77"/>
      <c r="M69" s="77"/>
      <c r="N69" s="77"/>
      <c r="O69" s="77"/>
      <c r="P69" s="82"/>
      <c r="Q69" s="82"/>
    </row>
    <row r="70" spans="5:17" s="71" customFormat="1">
      <c r="E70" s="72"/>
      <c r="F70" s="72"/>
      <c r="G70" s="77"/>
      <c r="H70" s="77"/>
      <c r="I70" s="77"/>
      <c r="J70" s="77"/>
      <c r="K70" s="77"/>
      <c r="L70" s="77"/>
      <c r="M70" s="77"/>
      <c r="N70" s="77"/>
      <c r="O70" s="77"/>
      <c r="P70" s="82"/>
      <c r="Q70" s="82"/>
    </row>
    <row r="71" spans="5:17" s="71" customFormat="1">
      <c r="E71" s="72"/>
      <c r="F71" s="72"/>
      <c r="G71" s="85"/>
      <c r="H71" s="86"/>
      <c r="I71" s="86"/>
      <c r="J71" s="86"/>
      <c r="K71" s="86"/>
      <c r="L71" s="86"/>
      <c r="M71" s="86"/>
      <c r="N71" s="86"/>
      <c r="O71" s="86"/>
      <c r="P71" s="82"/>
      <c r="Q71" s="82"/>
    </row>
    <row r="72" spans="5:17" s="71" customFormat="1">
      <c r="E72" s="72"/>
      <c r="F72" s="72"/>
      <c r="G72" s="85"/>
      <c r="H72" s="86"/>
      <c r="I72" s="86"/>
      <c r="J72" s="86"/>
      <c r="K72" s="86"/>
      <c r="L72" s="86"/>
      <c r="M72" s="86"/>
      <c r="N72" s="86"/>
      <c r="O72" s="86"/>
      <c r="P72" s="82"/>
      <c r="Q72" s="82"/>
    </row>
    <row r="73" spans="5:17" s="71" customFormat="1">
      <c r="E73" s="72"/>
      <c r="F73" s="72"/>
      <c r="G73" s="85"/>
      <c r="H73" s="86"/>
      <c r="I73" s="86"/>
      <c r="J73" s="86"/>
      <c r="K73" s="86"/>
      <c r="L73" s="86"/>
      <c r="M73" s="86"/>
      <c r="N73" s="86"/>
      <c r="O73" s="86"/>
      <c r="P73" s="82"/>
      <c r="Q73" s="82"/>
    </row>
    <row r="74" spans="5:17" s="71" customFormat="1">
      <c r="E74" s="72"/>
      <c r="F74" s="72"/>
      <c r="G74" s="85"/>
      <c r="H74" s="86"/>
      <c r="I74" s="86"/>
      <c r="J74" s="86"/>
      <c r="K74" s="86"/>
      <c r="L74" s="86"/>
      <c r="M74" s="86"/>
      <c r="N74" s="86"/>
      <c r="O74" s="86"/>
      <c r="P74" s="82"/>
      <c r="Q74" s="8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5:AS55"/>
  <sheetViews>
    <sheetView topLeftCell="A4" zoomScaleNormal="100" workbookViewId="0">
      <pane xSplit="1" topLeftCell="Z1" activePane="topRight" state="frozen"/>
      <selection activeCell="A2" sqref="A2"/>
      <selection pane="topRight" activeCell="AQ11" sqref="AQ11"/>
    </sheetView>
  </sheetViews>
  <sheetFormatPr defaultRowHeight="14.25"/>
  <cols>
    <col min="1" max="1" width="27.1328125" customWidth="1"/>
    <col min="2" max="2" width="1.73046875" customWidth="1"/>
    <col min="3" max="3" width="17.86328125" hidden="1" customWidth="1"/>
    <col min="4" max="4" width="1.73046875" hidden="1" customWidth="1"/>
    <col min="5" max="5" width="10.59765625" hidden="1" customWidth="1"/>
    <col min="6" max="6" width="1.73046875" hidden="1" customWidth="1"/>
    <col min="7" max="7" width="11.265625" hidden="1" customWidth="1"/>
    <col min="8" max="8" width="1.73046875" hidden="1" customWidth="1"/>
    <col min="9" max="9" width="14" hidden="1" customWidth="1"/>
    <col min="10" max="10" width="1.73046875" hidden="1" customWidth="1"/>
    <col min="11" max="11" width="11.265625" style="113" hidden="1" customWidth="1"/>
    <col min="12" max="12" width="1.73046875" style="113" hidden="1" customWidth="1"/>
    <col min="13" max="13" width="11.265625" style="113" hidden="1" customWidth="1"/>
    <col min="14" max="14" width="1.73046875" style="113" hidden="1" customWidth="1"/>
    <col min="15" max="15" width="14" style="113" hidden="1" customWidth="1"/>
    <col min="16" max="16" width="1.73046875" style="113" hidden="1" customWidth="1"/>
    <col min="17" max="17" width="10.59765625" style="113" hidden="1" customWidth="1"/>
    <col min="18" max="18" width="1.73046875" style="113" hidden="1" customWidth="1"/>
    <col min="19" max="19" width="11.265625" style="113" hidden="1" customWidth="1"/>
    <col min="20" max="20" width="1.73046875" customWidth="1"/>
    <col min="21" max="21" width="18.59765625" bestFit="1" customWidth="1"/>
    <col min="22" max="22" width="1.73046875" customWidth="1"/>
    <col min="23" max="23" width="10.59765625" bestFit="1" customWidth="1"/>
    <col min="24" max="24" width="1.73046875" customWidth="1"/>
    <col min="25" max="25" width="11.265625" bestFit="1" customWidth="1"/>
    <col min="26" max="26" width="1.73046875" customWidth="1"/>
    <col min="27" max="27" width="18.59765625" bestFit="1" customWidth="1"/>
    <col min="28" max="28" width="1.73046875" customWidth="1"/>
    <col min="29" max="29" width="10.59765625" bestFit="1" customWidth="1"/>
    <col min="30" max="30" width="1.73046875" customWidth="1"/>
    <col min="31" max="31" width="11.265625" bestFit="1" customWidth="1"/>
    <col min="32" max="32" width="1.73046875" customWidth="1"/>
    <col min="33" max="33" width="17.86328125" bestFit="1" customWidth="1"/>
    <col min="34" max="34" width="1.73046875" customWidth="1"/>
    <col min="35" max="35" width="10.59765625" bestFit="1" customWidth="1"/>
    <col min="36" max="36" width="1.73046875" customWidth="1"/>
    <col min="37" max="37" width="11.265625" bestFit="1" customWidth="1"/>
    <col min="38" max="38" width="1.73046875" customWidth="1"/>
    <col min="39" max="39" width="17.86328125" bestFit="1" customWidth="1"/>
    <col min="40" max="40" width="1.73046875" customWidth="1"/>
    <col min="41" max="41" width="10.59765625" bestFit="1" customWidth="1"/>
    <col min="42" max="42" width="1.73046875" customWidth="1"/>
    <col min="43" max="43" width="11.265625" bestFit="1" customWidth="1"/>
    <col min="44" max="44" width="1.73046875" customWidth="1"/>
    <col min="45" max="45" width="18.59765625" bestFit="1" customWidth="1"/>
  </cols>
  <sheetData>
    <row r="5" spans="1:45" s="101" customFormat="1">
      <c r="C5" s="130">
        <v>42735</v>
      </c>
      <c r="D5" s="128"/>
      <c r="E5" s="131" t="s">
        <v>184</v>
      </c>
      <c r="G5" s="131" t="s">
        <v>185</v>
      </c>
      <c r="I5" s="130">
        <v>42825</v>
      </c>
      <c r="K5" s="179" t="s">
        <v>184</v>
      </c>
      <c r="L5" s="180"/>
      <c r="M5" s="179" t="s">
        <v>185</v>
      </c>
      <c r="N5" s="180"/>
      <c r="O5" s="130">
        <v>42916</v>
      </c>
      <c r="P5" s="180"/>
      <c r="Q5" s="179" t="s">
        <v>184</v>
      </c>
      <c r="R5" s="180"/>
      <c r="S5" s="179" t="s">
        <v>185</v>
      </c>
      <c r="T5" s="180"/>
      <c r="U5" s="130">
        <v>43008</v>
      </c>
      <c r="W5" s="179" t="s">
        <v>184</v>
      </c>
      <c r="X5" s="180"/>
      <c r="Y5" s="179" t="s">
        <v>185</v>
      </c>
      <c r="Z5" s="180"/>
      <c r="AA5" s="130">
        <v>43100</v>
      </c>
      <c r="AC5" s="179" t="s">
        <v>184</v>
      </c>
      <c r="AD5" s="180"/>
      <c r="AE5" s="179" t="s">
        <v>185</v>
      </c>
      <c r="AF5" s="180"/>
      <c r="AG5" s="130">
        <v>43190</v>
      </c>
      <c r="AI5" s="179" t="s">
        <v>184</v>
      </c>
      <c r="AJ5" s="180"/>
      <c r="AK5" s="179" t="s">
        <v>185</v>
      </c>
      <c r="AL5" s="180"/>
      <c r="AM5" s="130">
        <v>43281</v>
      </c>
      <c r="AO5" s="179" t="s">
        <v>184</v>
      </c>
      <c r="AP5" s="180"/>
      <c r="AQ5" s="179" t="s">
        <v>185</v>
      </c>
      <c r="AR5" s="180"/>
      <c r="AS5" s="130">
        <v>43373</v>
      </c>
    </row>
    <row r="6" spans="1:45" s="101" customFormat="1">
      <c r="C6" s="128"/>
      <c r="D6" s="128"/>
      <c r="I6" s="128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W6" s="180"/>
      <c r="X6" s="180"/>
      <c r="Y6" s="180"/>
      <c r="Z6" s="180"/>
      <c r="AA6" s="180"/>
      <c r="AC6" s="180"/>
      <c r="AD6" s="180"/>
      <c r="AE6" s="180"/>
      <c r="AF6" s="180"/>
      <c r="AG6" s="180"/>
      <c r="AI6" s="180"/>
      <c r="AJ6" s="180"/>
      <c r="AK6" s="180"/>
      <c r="AL6" s="180"/>
      <c r="AM6" s="180"/>
      <c r="AO6" s="180"/>
      <c r="AP6" s="180"/>
      <c r="AQ6" s="180"/>
      <c r="AR6" s="180"/>
      <c r="AS6" s="180"/>
    </row>
    <row r="7" spans="1:45">
      <c r="A7" t="s">
        <v>40</v>
      </c>
      <c r="C7" s="113">
        <v>415</v>
      </c>
      <c r="D7" s="113"/>
      <c r="E7" s="113"/>
      <c r="F7" s="113"/>
      <c r="G7" s="113">
        <v>-17</v>
      </c>
      <c r="H7" s="113"/>
      <c r="I7" s="113">
        <f>+C7-E7+G7</f>
        <v>398</v>
      </c>
      <c r="M7" s="113">
        <v>-42</v>
      </c>
      <c r="O7" s="113">
        <f>+I7-K7+M7</f>
        <v>356</v>
      </c>
      <c r="S7" s="113">
        <f>-14*3</f>
        <v>-42</v>
      </c>
      <c r="T7" s="113"/>
      <c r="U7" s="113">
        <f>+O7-Q7+S7</f>
        <v>314</v>
      </c>
      <c r="W7" s="113"/>
      <c r="Y7" s="113">
        <f>-14*3</f>
        <v>-42</v>
      </c>
      <c r="Z7" s="113"/>
      <c r="AA7" s="113">
        <f>+U7-W7+Y7</f>
        <v>272</v>
      </c>
      <c r="AC7" s="113"/>
      <c r="AE7" s="113">
        <f>-14-14-14</f>
        <v>-42</v>
      </c>
      <c r="AF7" s="113"/>
      <c r="AG7" s="113">
        <f>+AA7-AC7+AE7</f>
        <v>230</v>
      </c>
      <c r="AI7" s="113"/>
      <c r="AK7" s="113">
        <f>-14-14-14</f>
        <v>-42</v>
      </c>
      <c r="AL7" s="113"/>
      <c r="AM7" s="113">
        <f>+AG7-AI7+AK7</f>
        <v>188</v>
      </c>
      <c r="AO7" s="113"/>
      <c r="AQ7" s="113">
        <f>-14-14-14</f>
        <v>-42</v>
      </c>
      <c r="AR7" s="113"/>
      <c r="AS7" s="113">
        <f>+AM7-AO7+AQ7</f>
        <v>146</v>
      </c>
    </row>
    <row r="8" spans="1:45">
      <c r="A8" t="s">
        <v>103</v>
      </c>
      <c r="C8" s="113">
        <v>0</v>
      </c>
      <c r="D8" s="113"/>
      <c r="E8" s="113"/>
      <c r="F8" s="113"/>
      <c r="G8" s="113"/>
      <c r="H8" s="113"/>
      <c r="I8" s="113">
        <f>+C8-E8+G8</f>
        <v>0</v>
      </c>
      <c r="M8" s="113">
        <v>0</v>
      </c>
      <c r="O8" s="113">
        <f>+I8+K8+M8</f>
        <v>0</v>
      </c>
      <c r="T8" s="113"/>
      <c r="U8" s="113">
        <f>+O8+Q8+S8</f>
        <v>0</v>
      </c>
      <c r="W8" s="113"/>
      <c r="X8" s="113"/>
      <c r="Y8" s="113"/>
      <c r="Z8" s="113"/>
      <c r="AA8" s="113">
        <f>+U8+W8+Y8</f>
        <v>0</v>
      </c>
      <c r="AC8" s="113"/>
      <c r="AD8" s="113"/>
      <c r="AE8" s="113"/>
      <c r="AF8" s="113"/>
      <c r="AG8" s="113">
        <f>+AA8+AC8+AE8</f>
        <v>0</v>
      </c>
      <c r="AI8" s="113"/>
      <c r="AJ8" s="113"/>
      <c r="AK8" s="113"/>
      <c r="AL8" s="113"/>
      <c r="AM8" s="113">
        <f>+AG8+AI8+AK8</f>
        <v>0</v>
      </c>
      <c r="AO8" s="113"/>
      <c r="AP8" s="113"/>
      <c r="AQ8" s="113"/>
      <c r="AR8" s="113"/>
      <c r="AS8" s="113">
        <f>+AM8+AO8+AQ8</f>
        <v>0</v>
      </c>
    </row>
    <row r="9" spans="1:45">
      <c r="A9" t="s">
        <v>105</v>
      </c>
      <c r="C9" s="113">
        <v>-5000</v>
      </c>
      <c r="D9" s="113"/>
      <c r="E9" s="113"/>
      <c r="F9" s="113"/>
      <c r="G9" s="113">
        <f>-1500-8500</f>
        <v>-10000</v>
      </c>
      <c r="H9" s="113"/>
      <c r="I9" s="113">
        <f>+C9-E9+G9</f>
        <v>-15000</v>
      </c>
      <c r="K9" s="113">
        <v>8257.5</v>
      </c>
      <c r="M9" s="113">
        <f>-8320-200+1000</f>
        <v>-7520</v>
      </c>
      <c r="O9" s="113">
        <f>+I9+K9+M9</f>
        <v>-14262.5</v>
      </c>
      <c r="Q9" s="113">
        <f>11139.5-42</f>
        <v>11097.5</v>
      </c>
      <c r="S9" s="113">
        <f>-1500-1000-2500</f>
        <v>-5000</v>
      </c>
      <c r="T9" s="113"/>
      <c r="U9" s="113">
        <f>+O9+Q9+S9</f>
        <v>-8165</v>
      </c>
      <c r="W9" s="113">
        <f>100+780+900+1265+1500+780+100</f>
        <v>5425</v>
      </c>
      <c r="X9" s="113"/>
      <c r="Y9" s="113">
        <f>-5000-5000-780-100-1265-2995-300</f>
        <v>-15440</v>
      </c>
      <c r="Z9" s="113"/>
      <c r="AA9" s="113">
        <f>+U9+W9+Y9</f>
        <v>-18180</v>
      </c>
      <c r="AC9" s="113">
        <v>9225</v>
      </c>
      <c r="AD9" s="113"/>
      <c r="AE9" s="113">
        <f>-8320-1500-350</f>
        <v>-10170</v>
      </c>
      <c r="AF9" s="113"/>
      <c r="AG9" s="113">
        <f>+AA9+AC9+AE9</f>
        <v>-19125</v>
      </c>
      <c r="AI9" s="113">
        <f>19748.5-4600</f>
        <v>15148.5</v>
      </c>
      <c r="AJ9" s="113"/>
      <c r="AK9" s="113">
        <f>-2500-1500-2050-1000-1500</f>
        <v>-8550</v>
      </c>
      <c r="AL9" s="113"/>
      <c r="AM9" s="113">
        <f>+AG9+AI9+AK9</f>
        <v>-12526.5</v>
      </c>
      <c r="AO9" s="113"/>
      <c r="AP9" s="113"/>
      <c r="AQ9" s="113"/>
      <c r="AR9" s="113"/>
      <c r="AS9" s="113">
        <f>+AM9+AO9+AQ9</f>
        <v>-12526.5</v>
      </c>
    </row>
    <row r="10" spans="1:45">
      <c r="A10" t="s">
        <v>202</v>
      </c>
      <c r="C10" s="113">
        <v>0</v>
      </c>
      <c r="D10" s="113"/>
      <c r="E10" s="113"/>
      <c r="F10" s="113"/>
      <c r="G10" s="113"/>
      <c r="H10" s="113"/>
      <c r="I10" s="113">
        <f>+C10-E10+G10</f>
        <v>0</v>
      </c>
      <c r="M10" s="113">
        <v>-8257.5</v>
      </c>
      <c r="O10" s="113">
        <f>+I10-K10+M10</f>
        <v>-8257.5</v>
      </c>
      <c r="S10" s="113" t="e">
        <f>-11139.5+42-'Interest Expense'!#REF!</f>
        <v>#REF!</v>
      </c>
      <c r="T10" s="113"/>
      <c r="U10" s="113" t="e">
        <f>+O10-Q10+S10</f>
        <v>#REF!</v>
      </c>
      <c r="W10" s="113"/>
      <c r="X10" s="113"/>
      <c r="Y10" s="113">
        <f>-5425-'Interest Expense'!D7+472-3</f>
        <v>-4956</v>
      </c>
      <c r="Z10" s="113"/>
      <c r="AA10" s="113" t="e">
        <f>+U10-W10+Y10</f>
        <v>#REF!</v>
      </c>
      <c r="AC10" s="113"/>
      <c r="AD10" s="113"/>
      <c r="AE10" s="113">
        <f>-9225-373.44</f>
        <v>-9598.44</v>
      </c>
      <c r="AF10" s="113"/>
      <c r="AG10" s="113" t="e">
        <f>+AA10-AC10+AE10</f>
        <v>#REF!</v>
      </c>
      <c r="AI10" s="113"/>
      <c r="AJ10" s="113"/>
      <c r="AK10" s="113">
        <f>-19706.5-42</f>
        <v>-19748.5</v>
      </c>
      <c r="AL10" s="113"/>
      <c r="AM10" s="113" t="e">
        <f>+AG10-AI10+AK10</f>
        <v>#REF!</v>
      </c>
      <c r="AO10" s="113"/>
      <c r="AP10" s="113"/>
      <c r="AQ10" s="113">
        <f>-13234-813.22</f>
        <v>-14047.22</v>
      </c>
      <c r="AR10" s="113"/>
      <c r="AS10" s="113" t="e">
        <f>+AM10-AO10+AQ10</f>
        <v>#REF!</v>
      </c>
    </row>
    <row r="11" spans="1:45">
      <c r="A11" t="s">
        <v>181</v>
      </c>
      <c r="C11" s="113">
        <v>0</v>
      </c>
      <c r="D11" s="113"/>
      <c r="E11" s="113"/>
      <c r="F11" s="113"/>
      <c r="G11" s="113"/>
      <c r="H11" s="113"/>
      <c r="I11" s="113">
        <f t="shared" ref="I11:I14" si="0">+C11-E11+G11</f>
        <v>0</v>
      </c>
      <c r="O11" s="113">
        <f t="shared" ref="O11:O17" si="1">+I11-K11+M11</f>
        <v>0</v>
      </c>
      <c r="T11" s="113"/>
      <c r="U11" s="113">
        <f t="shared" ref="U11:U17" si="2">+O11-Q11+S11</f>
        <v>0</v>
      </c>
      <c r="W11" s="113"/>
      <c r="X11" s="113"/>
      <c r="Y11" s="113"/>
      <c r="Z11" s="113"/>
      <c r="AA11" s="113">
        <f t="shared" ref="AA11:AA17" si="3">+U11-W11+Y11</f>
        <v>0</v>
      </c>
      <c r="AC11" s="113"/>
      <c r="AD11" s="113"/>
      <c r="AE11" s="113"/>
      <c r="AF11" s="113"/>
      <c r="AG11" s="113">
        <f t="shared" ref="AG11:AG17" si="4">+AA11-AC11+AE11</f>
        <v>0</v>
      </c>
      <c r="AI11" s="113"/>
      <c r="AJ11" s="113"/>
      <c r="AK11" s="113"/>
      <c r="AL11" s="113"/>
      <c r="AM11" s="113">
        <f t="shared" ref="AM11:AM14" si="5">+AG11-AI11+AK11</f>
        <v>0</v>
      </c>
      <c r="AO11" s="113"/>
      <c r="AP11" s="113"/>
      <c r="AQ11" s="113"/>
      <c r="AR11" s="113"/>
      <c r="AS11" s="113">
        <f t="shared" ref="AS11:AS14" si="6">+AM11-AO11+AQ11</f>
        <v>0</v>
      </c>
    </row>
    <row r="12" spans="1:45">
      <c r="A12" t="s">
        <v>41</v>
      </c>
      <c r="C12" s="113">
        <v>-712</v>
      </c>
      <c r="D12" s="113"/>
      <c r="E12" s="113"/>
      <c r="F12" s="113"/>
      <c r="G12" s="113"/>
      <c r="H12" s="113"/>
      <c r="I12" s="113">
        <f t="shared" si="0"/>
        <v>-712</v>
      </c>
      <c r="O12" s="113">
        <f t="shared" si="1"/>
        <v>-712</v>
      </c>
      <c r="T12" s="113"/>
      <c r="U12" s="113">
        <f t="shared" si="2"/>
        <v>-712</v>
      </c>
      <c r="W12" s="113"/>
      <c r="X12" s="113"/>
      <c r="Y12" s="113"/>
      <c r="Z12" s="113"/>
      <c r="AA12" s="113">
        <f t="shared" si="3"/>
        <v>-712</v>
      </c>
      <c r="AC12" s="113"/>
      <c r="AD12" s="113"/>
      <c r="AE12" s="113"/>
      <c r="AF12" s="113"/>
      <c r="AG12" s="113">
        <f t="shared" si="4"/>
        <v>-712</v>
      </c>
      <c r="AI12" s="113"/>
      <c r="AJ12" s="113"/>
      <c r="AK12" s="113"/>
      <c r="AL12" s="113"/>
      <c r="AM12" s="113">
        <f t="shared" si="5"/>
        <v>-712</v>
      </c>
      <c r="AO12" s="113"/>
      <c r="AP12" s="113"/>
      <c r="AQ12" s="113"/>
      <c r="AR12" s="113"/>
      <c r="AS12" s="113">
        <f t="shared" si="6"/>
        <v>-712</v>
      </c>
    </row>
    <row r="13" spans="1:45">
      <c r="A13" t="s">
        <v>75</v>
      </c>
      <c r="C13" s="113">
        <v>670</v>
      </c>
      <c r="D13" s="113"/>
      <c r="E13" s="113"/>
      <c r="F13" s="113"/>
      <c r="G13" s="113"/>
      <c r="H13" s="113"/>
      <c r="I13" s="113">
        <f t="shared" si="0"/>
        <v>670</v>
      </c>
      <c r="O13" s="113">
        <f t="shared" si="1"/>
        <v>670</v>
      </c>
      <c r="T13" s="113"/>
      <c r="U13" s="113">
        <f t="shared" si="2"/>
        <v>670</v>
      </c>
      <c r="W13" s="113"/>
      <c r="X13" s="113"/>
      <c r="Y13" s="113"/>
      <c r="Z13" s="113"/>
      <c r="AA13" s="113">
        <f t="shared" si="3"/>
        <v>670</v>
      </c>
      <c r="AC13" s="113"/>
      <c r="AD13" s="113"/>
      <c r="AE13" s="113"/>
      <c r="AF13" s="113"/>
      <c r="AG13" s="113">
        <f t="shared" si="4"/>
        <v>670</v>
      </c>
      <c r="AI13" s="113"/>
      <c r="AJ13" s="113"/>
      <c r="AK13" s="113"/>
      <c r="AL13" s="113"/>
      <c r="AM13" s="113">
        <f t="shared" si="5"/>
        <v>670</v>
      </c>
      <c r="AO13" s="113"/>
      <c r="AP13" s="113"/>
      <c r="AQ13" s="113"/>
      <c r="AR13" s="113"/>
      <c r="AS13" s="113">
        <f t="shared" si="6"/>
        <v>670</v>
      </c>
    </row>
    <row r="14" spans="1:45">
      <c r="A14" t="s">
        <v>122</v>
      </c>
      <c r="C14" s="113">
        <v>-2142</v>
      </c>
      <c r="D14" s="113"/>
      <c r="E14" s="113"/>
      <c r="F14" s="113"/>
      <c r="G14" s="113"/>
      <c r="H14" s="113"/>
      <c r="I14" s="113">
        <f t="shared" si="0"/>
        <v>-2142</v>
      </c>
      <c r="O14" s="113">
        <f t="shared" si="1"/>
        <v>-2142</v>
      </c>
      <c r="T14" s="113"/>
      <c r="U14" s="113">
        <f t="shared" si="2"/>
        <v>-2142</v>
      </c>
      <c r="W14" s="113"/>
      <c r="X14" s="113"/>
      <c r="Y14" s="113"/>
      <c r="Z14" s="113"/>
      <c r="AA14" s="113">
        <f t="shared" si="3"/>
        <v>-2142</v>
      </c>
      <c r="AC14" s="113"/>
      <c r="AD14" s="113"/>
      <c r="AE14" s="113"/>
      <c r="AF14" s="113"/>
      <c r="AG14" s="113">
        <f t="shared" si="4"/>
        <v>-2142</v>
      </c>
      <c r="AI14" s="113"/>
      <c r="AJ14" s="113"/>
      <c r="AK14" s="113"/>
      <c r="AL14" s="113"/>
      <c r="AM14" s="113">
        <f t="shared" si="5"/>
        <v>-2142</v>
      </c>
      <c r="AO14" s="113"/>
      <c r="AP14" s="113"/>
      <c r="AQ14" s="113"/>
      <c r="AR14" s="113"/>
      <c r="AS14" s="113">
        <f t="shared" si="6"/>
        <v>-2142</v>
      </c>
    </row>
    <row r="15" spans="1:45">
      <c r="A15" t="s">
        <v>182</v>
      </c>
      <c r="C15" s="113">
        <v>0</v>
      </c>
      <c r="D15" s="113"/>
      <c r="E15" s="113"/>
      <c r="F15" s="113"/>
      <c r="G15" s="113"/>
      <c r="H15" s="113"/>
      <c r="I15" s="113">
        <v>6769</v>
      </c>
      <c r="O15" s="113">
        <f t="shared" si="1"/>
        <v>6769</v>
      </c>
      <c r="T15" s="113"/>
      <c r="U15" s="113">
        <f t="shared" si="2"/>
        <v>6769</v>
      </c>
      <c r="W15" s="113"/>
      <c r="X15" s="113"/>
      <c r="Y15" s="113"/>
      <c r="Z15" s="113"/>
      <c r="AA15" s="113">
        <f t="shared" si="3"/>
        <v>6769</v>
      </c>
      <c r="AC15" s="113"/>
      <c r="AD15" s="113"/>
      <c r="AE15" s="113"/>
      <c r="AF15" s="113"/>
      <c r="AG15" s="113">
        <v>44988</v>
      </c>
      <c r="AI15" s="113"/>
      <c r="AJ15" s="113"/>
      <c r="AK15" s="113"/>
      <c r="AL15" s="113"/>
      <c r="AM15" s="113">
        <v>44988</v>
      </c>
      <c r="AO15" s="113"/>
      <c r="AP15" s="113"/>
      <c r="AQ15" s="113"/>
      <c r="AR15" s="113"/>
      <c r="AS15" s="113">
        <v>44988</v>
      </c>
    </row>
    <row r="16" spans="1:45">
      <c r="A16" t="s">
        <v>16</v>
      </c>
      <c r="C16" s="113">
        <v>0</v>
      </c>
      <c r="D16" s="113"/>
      <c r="E16" s="113"/>
      <c r="F16" s="113"/>
      <c r="G16" s="113"/>
      <c r="H16" s="113"/>
      <c r="I16" s="113">
        <f>+E16+G16</f>
        <v>0</v>
      </c>
      <c r="O16" s="113">
        <f t="shared" si="1"/>
        <v>0</v>
      </c>
      <c r="T16" s="113"/>
      <c r="U16" s="113">
        <f t="shared" si="2"/>
        <v>0</v>
      </c>
      <c r="W16" s="113"/>
      <c r="X16" s="113"/>
      <c r="Y16" s="113"/>
      <c r="Z16" s="113"/>
      <c r="AA16" s="113">
        <f t="shared" si="3"/>
        <v>0</v>
      </c>
      <c r="AC16" s="113"/>
      <c r="AD16" s="113"/>
      <c r="AE16" s="113"/>
      <c r="AF16" s="113"/>
      <c r="AG16" s="113">
        <f t="shared" si="4"/>
        <v>0</v>
      </c>
      <c r="AI16" s="113"/>
      <c r="AJ16" s="113"/>
      <c r="AK16" s="113"/>
      <c r="AL16" s="113"/>
      <c r="AM16" s="113">
        <f t="shared" ref="AM16:AM17" si="7">+AG16-AI16+AK16</f>
        <v>0</v>
      </c>
      <c r="AO16" s="113"/>
      <c r="AP16" s="113"/>
      <c r="AQ16" s="113"/>
      <c r="AR16" s="113"/>
      <c r="AS16" s="113">
        <f t="shared" ref="AS16:AS17" si="8">+AM16-AO16+AQ16</f>
        <v>0</v>
      </c>
    </row>
    <row r="17" spans="1:45">
      <c r="A17" t="s">
        <v>183</v>
      </c>
      <c r="C17" s="113">
        <v>0</v>
      </c>
      <c r="D17" s="113"/>
      <c r="E17" s="113"/>
      <c r="F17" s="113"/>
      <c r="G17" s="113"/>
      <c r="H17" s="113"/>
      <c r="I17" s="113">
        <f t="shared" ref="I17:I18" si="9">+E17+G17</f>
        <v>0</v>
      </c>
      <c r="O17" s="113">
        <f t="shared" si="1"/>
        <v>0</v>
      </c>
      <c r="T17" s="113"/>
      <c r="U17" s="113">
        <f t="shared" si="2"/>
        <v>0</v>
      </c>
      <c r="W17" s="113"/>
      <c r="X17" s="113"/>
      <c r="Y17" s="113"/>
      <c r="Z17" s="113"/>
      <c r="AA17" s="113">
        <f t="shared" si="3"/>
        <v>0</v>
      </c>
      <c r="AC17" s="113"/>
      <c r="AD17" s="113"/>
      <c r="AE17" s="113"/>
      <c r="AF17" s="113"/>
      <c r="AG17" s="113">
        <f t="shared" si="4"/>
        <v>0</v>
      </c>
      <c r="AI17" s="113"/>
      <c r="AJ17" s="113"/>
      <c r="AK17" s="113"/>
      <c r="AL17" s="113"/>
      <c r="AM17" s="113">
        <f t="shared" si="7"/>
        <v>0</v>
      </c>
      <c r="AO17" s="113"/>
      <c r="AP17" s="113"/>
      <c r="AQ17" s="113"/>
      <c r="AR17" s="113"/>
      <c r="AS17" s="113">
        <f t="shared" si="8"/>
        <v>0</v>
      </c>
    </row>
    <row r="18" spans="1:45">
      <c r="A18" t="s">
        <v>134</v>
      </c>
      <c r="C18" s="113">
        <v>6769</v>
      </c>
      <c r="D18" s="113"/>
      <c r="E18" s="113">
        <f>17+1500+8500</f>
        <v>10017</v>
      </c>
      <c r="F18" s="113"/>
      <c r="G18" s="113"/>
      <c r="H18" s="113"/>
      <c r="I18" s="113">
        <f t="shared" si="9"/>
        <v>10017</v>
      </c>
      <c r="K18" s="113">
        <f>42+200+8320-1000</f>
        <v>7562</v>
      </c>
      <c r="O18" s="113">
        <f>+I18+K18-M18</f>
        <v>17579</v>
      </c>
      <c r="Q18" s="113">
        <f>42+6000-1000</f>
        <v>5042</v>
      </c>
      <c r="T18" s="113"/>
      <c r="U18" s="113">
        <f>+O18+Q18-S18</f>
        <v>22621</v>
      </c>
      <c r="W18" s="113">
        <f>42+12145+2995</f>
        <v>15182</v>
      </c>
      <c r="X18" s="113"/>
      <c r="Y18" s="113"/>
      <c r="Z18" s="113"/>
      <c r="AA18" s="113">
        <f>+U18+W18-Y18</f>
        <v>37803</v>
      </c>
      <c r="AC18" s="113">
        <f>42+9820+350</f>
        <v>10212</v>
      </c>
      <c r="AD18" s="113"/>
      <c r="AE18" s="113"/>
      <c r="AF18" s="113"/>
      <c r="AG18" s="113">
        <f>+AC18-AE18</f>
        <v>10212</v>
      </c>
      <c r="AI18" s="113">
        <f>6575+4600+1500</f>
        <v>12675</v>
      </c>
      <c r="AJ18" s="113"/>
      <c r="AK18" s="113"/>
      <c r="AL18" s="113"/>
      <c r="AM18" s="113">
        <f>+AG18+AI18+AK18</f>
        <v>22887</v>
      </c>
      <c r="AO18" s="113">
        <f>13234+42</f>
        <v>13276</v>
      </c>
      <c r="AP18" s="113"/>
      <c r="AQ18" s="113"/>
      <c r="AR18" s="113"/>
      <c r="AS18" s="113">
        <f>+AM18+AO18+AQ18</f>
        <v>36163</v>
      </c>
    </row>
    <row r="19" spans="1:45">
      <c r="A19" t="s">
        <v>214</v>
      </c>
      <c r="C19" s="113"/>
      <c r="D19" s="113"/>
      <c r="E19" s="113"/>
      <c r="F19" s="113"/>
      <c r="G19" s="113"/>
      <c r="H19" s="113"/>
      <c r="I19" s="113"/>
      <c r="Q19" s="113" t="e">
        <f>+'Interest Expense'!#REF!</f>
        <v>#REF!</v>
      </c>
      <c r="T19" s="113"/>
      <c r="U19" s="113" t="e">
        <f>+O19+Q19-S19</f>
        <v>#REF!</v>
      </c>
      <c r="W19" s="113">
        <f>+'Interest Expense'!D7-172+3</f>
        <v>-169</v>
      </c>
      <c r="X19" s="113"/>
      <c r="Y19" s="113"/>
      <c r="Z19" s="113"/>
      <c r="AA19" s="113" t="e">
        <f>+U19+W19-Y19</f>
        <v>#REF!</v>
      </c>
      <c r="AC19" s="113">
        <f>+'Interest Expense'!D9</f>
        <v>0</v>
      </c>
      <c r="AD19" s="113"/>
      <c r="AE19" s="113"/>
      <c r="AF19" s="113"/>
      <c r="AG19" s="113">
        <f>+AC19-AE19</f>
        <v>0</v>
      </c>
      <c r="AI19" s="113">
        <f>+'Interest Expense'!$D$10</f>
        <v>813.22410000000002</v>
      </c>
      <c r="AJ19" s="113"/>
      <c r="AK19" s="113"/>
      <c r="AL19" s="113"/>
      <c r="AM19" s="113">
        <f>+AG19+AI19+AK19</f>
        <v>813.22410000000002</v>
      </c>
      <c r="AO19" s="113">
        <f>+'Interest Expense'!$D$11</f>
        <v>1012.15</v>
      </c>
      <c r="AP19" s="113"/>
      <c r="AQ19" s="113"/>
      <c r="AR19" s="113"/>
      <c r="AS19" s="113">
        <f>+AM19+AO19+AQ19</f>
        <v>1825.3741</v>
      </c>
    </row>
    <row r="20" spans="1:45">
      <c r="C20" s="113"/>
      <c r="D20" s="113"/>
      <c r="E20" s="113"/>
      <c r="F20" s="113"/>
      <c r="G20" s="113"/>
      <c r="H20" s="113"/>
      <c r="I20" s="113"/>
      <c r="T20" s="113"/>
      <c r="U20" s="113"/>
      <c r="W20" s="113"/>
      <c r="X20" s="113"/>
      <c r="Y20" s="113"/>
      <c r="Z20" s="113"/>
      <c r="AA20" s="113"/>
      <c r="AC20" s="113"/>
      <c r="AD20" s="113"/>
      <c r="AE20" s="113"/>
      <c r="AF20" s="113"/>
      <c r="AG20" s="113"/>
      <c r="AI20" s="113"/>
      <c r="AJ20" s="113"/>
      <c r="AK20" s="113"/>
      <c r="AL20" s="113"/>
      <c r="AM20" s="113"/>
      <c r="AO20" s="113"/>
      <c r="AP20" s="113"/>
      <c r="AQ20" s="113"/>
      <c r="AR20" s="113"/>
      <c r="AS20" s="113"/>
    </row>
    <row r="21" spans="1:45">
      <c r="C21" s="113"/>
      <c r="D21" s="113"/>
      <c r="E21" s="113"/>
      <c r="F21" s="113"/>
      <c r="G21" s="113"/>
      <c r="H21" s="113"/>
      <c r="I21" s="113"/>
      <c r="T21" s="113"/>
      <c r="U21" s="113"/>
      <c r="W21" s="113"/>
      <c r="X21" s="113"/>
      <c r="Y21" s="113"/>
      <c r="Z21" s="113"/>
      <c r="AA21" s="113"/>
      <c r="AC21" s="113"/>
      <c r="AD21" s="113"/>
      <c r="AE21" s="113"/>
      <c r="AF21" s="113"/>
      <c r="AG21" s="113"/>
      <c r="AI21" s="113"/>
      <c r="AJ21" s="113"/>
      <c r="AK21" s="113"/>
      <c r="AL21" s="113"/>
      <c r="AM21" s="113"/>
      <c r="AO21" s="113"/>
      <c r="AP21" s="113"/>
      <c r="AQ21" s="113"/>
      <c r="AR21" s="113"/>
      <c r="AS21" s="113"/>
    </row>
    <row r="22" spans="1:45">
      <c r="C22" s="129"/>
      <c r="D22" s="113"/>
      <c r="E22" s="129"/>
      <c r="F22" s="113"/>
      <c r="G22" s="129"/>
      <c r="H22" s="113"/>
      <c r="I22" s="129"/>
      <c r="K22" s="129"/>
      <c r="M22" s="129"/>
      <c r="O22" s="129"/>
      <c r="Q22" s="129"/>
      <c r="S22" s="129"/>
      <c r="T22" s="113"/>
      <c r="U22" s="129"/>
      <c r="W22" s="129"/>
      <c r="X22" s="113"/>
      <c r="Y22" s="129"/>
      <c r="Z22" s="113"/>
      <c r="AA22" s="129"/>
      <c r="AC22" s="129"/>
      <c r="AD22" s="113"/>
      <c r="AE22" s="129"/>
      <c r="AF22" s="113"/>
      <c r="AG22" s="129"/>
      <c r="AI22" s="129"/>
      <c r="AJ22" s="113"/>
      <c r="AK22" s="129"/>
      <c r="AL22" s="113"/>
      <c r="AM22" s="129"/>
      <c r="AO22" s="129"/>
      <c r="AP22" s="113"/>
      <c r="AQ22" s="129"/>
      <c r="AR22" s="113"/>
      <c r="AS22" s="129"/>
    </row>
    <row r="23" spans="1:45">
      <c r="C23" s="113">
        <f>SUM(C7:C22)</f>
        <v>0</v>
      </c>
      <c r="D23" s="113"/>
      <c r="E23" s="113">
        <f>SUM(E7:E22)</f>
        <v>10017</v>
      </c>
      <c r="F23" s="113"/>
      <c r="G23" s="113">
        <f>SUM(G7:G22)</f>
        <v>-10017</v>
      </c>
      <c r="H23" s="113"/>
      <c r="I23" s="113">
        <f>SUM(I7:I22)</f>
        <v>0</v>
      </c>
      <c r="K23" s="113">
        <f>SUM(K7:K22)</f>
        <v>15819.5</v>
      </c>
      <c r="M23" s="113">
        <f>SUM(M7:M22)</f>
        <v>-15819.5</v>
      </c>
      <c r="O23" s="113">
        <f>SUM(O7:O22)</f>
        <v>0</v>
      </c>
      <c r="Q23" s="113" t="e">
        <f>SUM(Q7:Q22)</f>
        <v>#REF!</v>
      </c>
      <c r="S23" s="113" t="e">
        <f>SUM(S7:S22)</f>
        <v>#REF!</v>
      </c>
      <c r="T23" s="113"/>
      <c r="U23" s="113" t="e">
        <f>ROUND(SUM(U7:U22),0)</f>
        <v>#REF!</v>
      </c>
      <c r="W23" s="113">
        <f>SUM(W7:W22)</f>
        <v>20438</v>
      </c>
      <c r="X23" s="113"/>
      <c r="Y23" s="113">
        <f>SUM(Y7:Y22)</f>
        <v>-20438</v>
      </c>
      <c r="Z23" s="113"/>
      <c r="AA23" s="113" t="e">
        <f>ROUND(SUM(AA7:AA22),0)</f>
        <v>#REF!</v>
      </c>
      <c r="AC23" s="113">
        <f>SUM(AC7:AC22)</f>
        <v>19437</v>
      </c>
      <c r="AD23" s="113"/>
      <c r="AE23" s="113">
        <f>SUM(AE7:AE22)</f>
        <v>-19810.440000000002</v>
      </c>
      <c r="AF23" s="113"/>
      <c r="AG23" s="113" t="e">
        <f>ROUND(SUM(AG7:AG22),0)</f>
        <v>#REF!</v>
      </c>
      <c r="AI23" s="113">
        <f>SUM(AI7:AI22)</f>
        <v>28636.724099999999</v>
      </c>
      <c r="AJ23" s="113"/>
      <c r="AK23" s="113">
        <f>SUM(AK7:AK22)</f>
        <v>-28340.5</v>
      </c>
      <c r="AL23" s="113"/>
      <c r="AM23" s="113" t="e">
        <f>ROUND(SUM(AM7:AM22),0)</f>
        <v>#REF!</v>
      </c>
      <c r="AO23" s="113">
        <f>SUM(AO7:AO22)</f>
        <v>14288.15</v>
      </c>
      <c r="AP23" s="113"/>
      <c r="AQ23" s="113">
        <f>SUM(AQ7:AQ22)</f>
        <v>-14089.22</v>
      </c>
      <c r="AR23" s="113"/>
      <c r="AS23" s="113" t="e">
        <f>ROUND(SUM(AS7:AS22),0)</f>
        <v>#REF!</v>
      </c>
    </row>
    <row r="24" spans="1:45">
      <c r="C24" s="113"/>
      <c r="D24" s="113"/>
      <c r="E24" s="113"/>
      <c r="F24" s="113"/>
      <c r="G24" s="113"/>
      <c r="H24" s="113"/>
      <c r="I24" s="113"/>
    </row>
    <row r="25" spans="1:45">
      <c r="C25" s="113"/>
      <c r="D25" s="113"/>
      <c r="E25" s="113"/>
      <c r="F25" s="113"/>
      <c r="G25" s="113"/>
      <c r="H25" s="113"/>
      <c r="I25" s="113"/>
    </row>
    <row r="26" spans="1:45">
      <c r="C26" s="113"/>
      <c r="D26" s="113"/>
      <c r="E26" s="113"/>
      <c r="F26" s="113"/>
      <c r="G26" s="113"/>
      <c r="H26" s="113"/>
      <c r="I26" s="113"/>
    </row>
    <row r="27" spans="1:45">
      <c r="C27" s="113"/>
      <c r="D27" s="113"/>
      <c r="E27" s="113"/>
      <c r="F27" s="113"/>
      <c r="G27" s="113"/>
      <c r="H27" s="113"/>
      <c r="I27" s="113"/>
    </row>
    <row r="28" spans="1:45">
      <c r="C28" s="113"/>
      <c r="D28" s="113"/>
      <c r="E28" s="113"/>
      <c r="F28" s="113"/>
      <c r="G28" s="113"/>
      <c r="H28" s="113"/>
      <c r="I28" s="113"/>
    </row>
    <row r="29" spans="1:45">
      <c r="C29" s="113"/>
      <c r="D29" s="113"/>
      <c r="E29" s="113"/>
      <c r="F29" s="113"/>
      <c r="G29" s="113"/>
      <c r="H29" s="113"/>
      <c r="I29" s="113"/>
    </row>
    <row r="30" spans="1:45">
      <c r="C30" s="113"/>
      <c r="D30" s="113"/>
      <c r="E30" s="113"/>
      <c r="F30" s="113"/>
      <c r="G30" s="113"/>
      <c r="H30" s="113"/>
      <c r="I30" s="113"/>
    </row>
    <row r="31" spans="1:45">
      <c r="C31" s="113"/>
      <c r="D31" s="113"/>
      <c r="E31" s="113"/>
      <c r="F31" s="113"/>
      <c r="G31" s="113"/>
      <c r="H31" s="113"/>
      <c r="I31" s="113"/>
    </row>
    <row r="32" spans="1:45">
      <c r="C32" s="113"/>
      <c r="D32" s="113"/>
      <c r="E32" s="113"/>
      <c r="F32" s="113"/>
      <c r="G32" s="113"/>
      <c r="H32" s="113"/>
      <c r="I32" s="113"/>
    </row>
    <row r="33" spans="3:9">
      <c r="C33" s="113"/>
      <c r="D33" s="113"/>
      <c r="E33" s="113"/>
      <c r="F33" s="113"/>
      <c r="G33" s="113"/>
      <c r="H33" s="113"/>
      <c r="I33" s="113"/>
    </row>
    <row r="34" spans="3:9">
      <c r="C34" s="113"/>
      <c r="D34" s="113"/>
      <c r="E34" s="113"/>
      <c r="F34" s="113"/>
      <c r="G34" s="113"/>
      <c r="H34" s="113"/>
      <c r="I34" s="113"/>
    </row>
    <row r="35" spans="3:9">
      <c r="C35" s="113"/>
      <c r="D35" s="113"/>
      <c r="E35" s="113"/>
      <c r="F35" s="113"/>
      <c r="G35" s="113"/>
      <c r="H35" s="113"/>
      <c r="I35" s="113"/>
    </row>
    <row r="36" spans="3:9">
      <c r="C36" s="113"/>
      <c r="D36" s="113"/>
      <c r="E36" s="113"/>
      <c r="F36" s="113"/>
      <c r="G36" s="113"/>
      <c r="H36" s="113"/>
      <c r="I36" s="113"/>
    </row>
    <row r="37" spans="3:9">
      <c r="C37" s="113"/>
      <c r="D37" s="113"/>
      <c r="E37" s="113"/>
      <c r="F37" s="113"/>
      <c r="G37" s="113"/>
      <c r="H37" s="113"/>
      <c r="I37" s="113"/>
    </row>
    <row r="38" spans="3:9">
      <c r="C38" s="113"/>
      <c r="D38" s="113"/>
      <c r="E38" s="113"/>
      <c r="F38" s="113"/>
      <c r="G38" s="113"/>
      <c r="H38" s="113"/>
      <c r="I38" s="113"/>
    </row>
    <row r="39" spans="3:9">
      <c r="C39" s="113"/>
      <c r="D39" s="113"/>
      <c r="E39" s="113"/>
      <c r="F39" s="113"/>
      <c r="G39" s="113"/>
      <c r="H39" s="113"/>
      <c r="I39" s="113"/>
    </row>
    <row r="40" spans="3:9">
      <c r="C40" s="113"/>
      <c r="D40" s="113"/>
      <c r="E40" s="113"/>
      <c r="F40" s="113"/>
      <c r="G40" s="113"/>
      <c r="H40" s="113"/>
      <c r="I40" s="113"/>
    </row>
    <row r="41" spans="3:9">
      <c r="C41" s="113"/>
      <c r="D41" s="113"/>
      <c r="E41" s="113"/>
      <c r="F41" s="113"/>
      <c r="G41" s="113"/>
      <c r="H41" s="113"/>
      <c r="I41" s="113"/>
    </row>
    <row r="42" spans="3:9">
      <c r="C42" s="113"/>
      <c r="D42" s="113"/>
      <c r="E42" s="113"/>
      <c r="F42" s="113"/>
      <c r="G42" s="113"/>
      <c r="H42" s="113"/>
      <c r="I42" s="113"/>
    </row>
    <row r="43" spans="3:9">
      <c r="C43" s="113"/>
      <c r="D43" s="113"/>
      <c r="E43" s="113"/>
      <c r="F43" s="113"/>
      <c r="G43" s="113"/>
      <c r="H43" s="113"/>
      <c r="I43" s="113"/>
    </row>
    <row r="44" spans="3:9">
      <c r="C44" s="113"/>
      <c r="D44" s="113"/>
      <c r="E44" s="113"/>
      <c r="F44" s="113"/>
      <c r="G44" s="113"/>
      <c r="H44" s="113"/>
      <c r="I44" s="113"/>
    </row>
    <row r="45" spans="3:9">
      <c r="C45" s="113"/>
      <c r="D45" s="113"/>
      <c r="E45" s="113"/>
      <c r="F45" s="113"/>
      <c r="G45" s="113"/>
      <c r="H45" s="113"/>
      <c r="I45" s="113"/>
    </row>
    <row r="46" spans="3:9">
      <c r="C46" s="113"/>
      <c r="D46" s="113"/>
      <c r="E46" s="113"/>
      <c r="F46" s="113"/>
      <c r="G46" s="113"/>
      <c r="H46" s="113"/>
      <c r="I46" s="113"/>
    </row>
    <row r="47" spans="3:9">
      <c r="C47" s="113"/>
      <c r="D47" s="113"/>
      <c r="E47" s="113"/>
      <c r="F47" s="113"/>
      <c r="G47" s="113"/>
      <c r="H47" s="113"/>
      <c r="I47" s="113"/>
    </row>
    <row r="48" spans="3:9">
      <c r="C48" s="113"/>
      <c r="D48" s="113"/>
      <c r="E48" s="113"/>
      <c r="F48" s="113"/>
      <c r="G48" s="113"/>
      <c r="H48" s="113"/>
      <c r="I48" s="113"/>
    </row>
    <row r="49" spans="3:9">
      <c r="C49" s="113"/>
      <c r="D49" s="113"/>
      <c r="E49" s="113"/>
      <c r="F49" s="113"/>
      <c r="G49" s="113"/>
      <c r="H49" s="113"/>
      <c r="I49" s="113"/>
    </row>
    <row r="50" spans="3:9">
      <c r="C50" s="113"/>
      <c r="D50" s="113"/>
      <c r="E50" s="113"/>
      <c r="F50" s="113"/>
      <c r="G50" s="113"/>
      <c r="H50" s="113"/>
      <c r="I50" s="113"/>
    </row>
    <row r="51" spans="3:9">
      <c r="C51" s="113"/>
      <c r="D51" s="113"/>
      <c r="E51" s="113"/>
      <c r="F51" s="113"/>
      <c r="G51" s="113"/>
      <c r="H51" s="113"/>
      <c r="I51" s="113"/>
    </row>
    <row r="52" spans="3:9">
      <c r="C52" s="113"/>
      <c r="D52" s="113"/>
      <c r="E52" s="113"/>
      <c r="F52" s="113"/>
      <c r="G52" s="113"/>
      <c r="H52" s="113"/>
      <c r="I52" s="113"/>
    </row>
    <row r="53" spans="3:9">
      <c r="C53" s="113"/>
      <c r="D53" s="113"/>
      <c r="E53" s="113"/>
      <c r="F53" s="113"/>
      <c r="G53" s="113"/>
      <c r="H53" s="113"/>
      <c r="I53" s="113"/>
    </row>
    <row r="54" spans="3:9">
      <c r="C54" s="113"/>
      <c r="D54" s="113"/>
      <c r="E54" s="113"/>
      <c r="F54" s="113"/>
      <c r="G54" s="113"/>
      <c r="H54" s="113"/>
      <c r="I54" s="113"/>
    </row>
    <row r="55" spans="3:9">
      <c r="C55" s="113"/>
      <c r="D55" s="113"/>
      <c r="E55" s="113"/>
      <c r="F55" s="113"/>
      <c r="G55" s="113"/>
      <c r="H55" s="113"/>
      <c r="I55" s="1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57"/>
  <sheetViews>
    <sheetView showGridLines="0" topLeftCell="A29" zoomScale="85" zoomScaleNormal="85" workbookViewId="0">
      <selection activeCell="E8" sqref="E8"/>
    </sheetView>
  </sheetViews>
  <sheetFormatPr defaultColWidth="9.1328125" defaultRowHeight="12.75"/>
  <cols>
    <col min="1" max="1" width="13.73046875" style="135" customWidth="1"/>
    <col min="2" max="2" width="59" style="135" customWidth="1"/>
    <col min="3" max="3" width="14.265625" style="135" customWidth="1"/>
    <col min="4" max="4" width="19.86328125" style="135" customWidth="1"/>
    <col min="5" max="5" width="19.3984375" style="135" bestFit="1" customWidth="1"/>
    <col min="6" max="6" width="18.59765625" style="135" customWidth="1"/>
    <col min="7" max="7" width="15" style="135" customWidth="1"/>
    <col min="8" max="8" width="14.59765625" style="135" customWidth="1"/>
    <col min="9" max="9" width="17.59765625" style="135" customWidth="1"/>
    <col min="10" max="10" width="9.1328125" style="135"/>
    <col min="11" max="11" width="11.59765625" style="135" customWidth="1"/>
    <col min="12" max="16384" width="9.1328125" style="135"/>
  </cols>
  <sheetData>
    <row r="1" spans="1:8" ht="13.15">
      <c r="A1" s="133" t="s">
        <v>250</v>
      </c>
      <c r="B1" s="134"/>
      <c r="C1" s="134"/>
      <c r="D1" s="134"/>
      <c r="E1" s="134"/>
    </row>
    <row r="2" spans="1:8" ht="13.15">
      <c r="A2" s="136" t="s">
        <v>186</v>
      </c>
      <c r="B2" s="136"/>
      <c r="G2" s="137"/>
      <c r="H2" s="138"/>
    </row>
    <row r="3" spans="1:8" ht="13.15">
      <c r="A3" s="247" t="s">
        <v>251</v>
      </c>
      <c r="B3" s="247"/>
      <c r="F3" s="139"/>
      <c r="G3" s="140"/>
      <c r="H3" s="141"/>
    </row>
    <row r="4" spans="1:8">
      <c r="A4" s="142"/>
      <c r="B4" s="143"/>
      <c r="F4" s="139"/>
    </row>
    <row r="5" spans="1:8">
      <c r="A5" s="142"/>
      <c r="B5" s="143"/>
      <c r="F5" s="139"/>
    </row>
    <row r="6" spans="1:8">
      <c r="A6" s="144"/>
      <c r="B6" s="145"/>
      <c r="C6" s="145"/>
      <c r="D6" s="145"/>
      <c r="E6" s="145"/>
      <c r="F6" s="145"/>
    </row>
    <row r="7" spans="1:8" ht="13.15">
      <c r="A7" s="146"/>
      <c r="B7" s="146"/>
      <c r="C7" s="146"/>
      <c r="D7" s="146"/>
      <c r="E7" s="146">
        <v>43738</v>
      </c>
      <c r="F7" s="146"/>
      <c r="G7" s="146"/>
      <c r="H7" s="146"/>
    </row>
    <row r="8" spans="1:8" ht="13.15">
      <c r="A8" s="147"/>
      <c r="B8" s="147"/>
      <c r="C8" s="147"/>
      <c r="D8" s="147"/>
      <c r="E8" s="148">
        <f>E7-A13+1</f>
        <v>1369</v>
      </c>
      <c r="F8" s="148"/>
      <c r="G8" s="147"/>
      <c r="H8" s="147"/>
    </row>
    <row r="9" spans="1:8" ht="13.15">
      <c r="A9" s="147"/>
      <c r="B9" s="147"/>
      <c r="C9" s="147"/>
      <c r="D9" s="147"/>
      <c r="E9" s="147"/>
      <c r="F9" s="147"/>
      <c r="G9" s="147"/>
      <c r="H9" s="147"/>
    </row>
    <row r="10" spans="1:8" ht="13.15">
      <c r="A10" s="149"/>
      <c r="B10" s="150"/>
      <c r="C10" s="151"/>
      <c r="D10" s="151"/>
      <c r="E10" s="152"/>
      <c r="F10" s="153"/>
      <c r="G10" s="154" t="s">
        <v>187</v>
      </c>
      <c r="H10" s="151"/>
    </row>
    <row r="11" spans="1:8" ht="13.15">
      <c r="A11" s="149"/>
      <c r="B11" s="155"/>
      <c r="C11" s="154" t="s">
        <v>188</v>
      </c>
      <c r="D11" s="156"/>
      <c r="E11" s="154" t="s">
        <v>189</v>
      </c>
      <c r="F11" s="157"/>
      <c r="G11" s="154" t="s">
        <v>188</v>
      </c>
      <c r="H11" s="154" t="s">
        <v>187</v>
      </c>
    </row>
    <row r="12" spans="1:8" ht="13.5" thickBot="1">
      <c r="A12" s="158" t="s">
        <v>190</v>
      </c>
      <c r="B12" s="159" t="s">
        <v>191</v>
      </c>
      <c r="C12" s="159" t="s">
        <v>192</v>
      </c>
      <c r="D12" s="159" t="s">
        <v>193</v>
      </c>
      <c r="E12" s="159" t="s">
        <v>194</v>
      </c>
      <c r="F12" s="159" t="s">
        <v>195</v>
      </c>
      <c r="G12" s="159" t="s">
        <v>192</v>
      </c>
      <c r="H12" s="159" t="s">
        <v>193</v>
      </c>
    </row>
    <row r="13" spans="1:8" ht="13.15">
      <c r="A13" s="149">
        <v>42370</v>
      </c>
      <c r="B13" s="160"/>
      <c r="C13" s="154"/>
      <c r="D13" s="154"/>
      <c r="E13" s="154"/>
      <c r="F13" s="154"/>
      <c r="G13" s="154"/>
      <c r="H13" s="154"/>
    </row>
    <row r="14" spans="1:8">
      <c r="A14" s="161">
        <v>42464</v>
      </c>
      <c r="B14" s="160" t="s">
        <v>196</v>
      </c>
      <c r="C14" s="162">
        <v>0</v>
      </c>
      <c r="D14" s="163">
        <f>+C14</f>
        <v>0</v>
      </c>
      <c r="E14" s="164">
        <f t="shared" ref="E14:E54" si="0">$E$7-A14+1</f>
        <v>1275</v>
      </c>
      <c r="F14" s="165">
        <f t="shared" ref="F14:F54" si="1">E14/$E$8</f>
        <v>0.93133674214755291</v>
      </c>
      <c r="G14" s="166">
        <f t="shared" ref="G14" si="2">F14*C14</f>
        <v>0</v>
      </c>
      <c r="H14" s="166">
        <f>G14</f>
        <v>0</v>
      </c>
    </row>
    <row r="15" spans="1:8" ht="14.25">
      <c r="A15" s="167">
        <v>42659</v>
      </c>
      <c r="B15" s="168" t="s">
        <v>198</v>
      </c>
      <c r="C15" s="169">
        <v>10000</v>
      </c>
      <c r="D15" s="170">
        <f>+D14+C15</f>
        <v>10000</v>
      </c>
      <c r="E15" s="164">
        <f t="shared" si="0"/>
        <v>1080</v>
      </c>
      <c r="F15" s="165">
        <f t="shared" si="1"/>
        <v>0.78889700511322136</v>
      </c>
      <c r="G15" s="166">
        <f t="shared" ref="G15:G54" si="3">F15*C15</f>
        <v>7888.9700511322135</v>
      </c>
      <c r="H15" s="166">
        <f>G15+H14</f>
        <v>7888.9700511322135</v>
      </c>
    </row>
    <row r="16" spans="1:8" ht="14.25">
      <c r="A16" s="167">
        <v>42675</v>
      </c>
      <c r="B16" s="168" t="s">
        <v>198</v>
      </c>
      <c r="C16" s="169">
        <v>300000</v>
      </c>
      <c r="D16" s="170">
        <f t="shared" ref="D16:D54" si="4">C16+D15</f>
        <v>310000</v>
      </c>
      <c r="E16" s="164">
        <f t="shared" si="0"/>
        <v>1064</v>
      </c>
      <c r="F16" s="165">
        <f t="shared" si="1"/>
        <v>0.77720964207450693</v>
      </c>
      <c r="G16" s="166">
        <f t="shared" si="3"/>
        <v>233162.89262235208</v>
      </c>
      <c r="H16" s="166">
        <f t="shared" ref="H16:H54" si="5">G16+H15</f>
        <v>241051.86267348428</v>
      </c>
    </row>
    <row r="17" spans="1:8" ht="14.25">
      <c r="A17" s="167">
        <v>42675</v>
      </c>
      <c r="B17" s="168" t="s">
        <v>198</v>
      </c>
      <c r="C17" s="169">
        <v>300000</v>
      </c>
      <c r="D17" s="170">
        <f t="shared" si="4"/>
        <v>610000</v>
      </c>
      <c r="E17" s="164">
        <f t="shared" si="0"/>
        <v>1064</v>
      </c>
      <c r="F17" s="165">
        <f t="shared" si="1"/>
        <v>0.77720964207450693</v>
      </c>
      <c r="G17" s="166">
        <f t="shared" si="3"/>
        <v>233162.89262235208</v>
      </c>
      <c r="H17" s="166">
        <f t="shared" si="5"/>
        <v>474214.75529583637</v>
      </c>
    </row>
    <row r="18" spans="1:8" ht="14.25">
      <c r="A18" s="167">
        <v>42684</v>
      </c>
      <c r="B18" s="168" t="s">
        <v>198</v>
      </c>
      <c r="C18" s="169">
        <v>10000</v>
      </c>
      <c r="D18" s="170">
        <f t="shared" si="4"/>
        <v>620000</v>
      </c>
      <c r="E18" s="164">
        <f t="shared" si="0"/>
        <v>1055</v>
      </c>
      <c r="F18" s="165">
        <f t="shared" si="1"/>
        <v>0.7706355003652301</v>
      </c>
      <c r="G18" s="166">
        <f t="shared" si="3"/>
        <v>7706.3550036523011</v>
      </c>
      <c r="H18" s="166">
        <f t="shared" si="5"/>
        <v>481921.11029948865</v>
      </c>
    </row>
    <row r="19" spans="1:8" ht="14.25">
      <c r="A19" s="167">
        <v>42684</v>
      </c>
      <c r="B19" s="168" t="s">
        <v>198</v>
      </c>
      <c r="C19" s="169">
        <v>10000</v>
      </c>
      <c r="D19" s="170">
        <f t="shared" si="4"/>
        <v>630000</v>
      </c>
      <c r="E19" s="164">
        <f t="shared" si="0"/>
        <v>1055</v>
      </c>
      <c r="F19" s="165">
        <f t="shared" si="1"/>
        <v>0.7706355003652301</v>
      </c>
      <c r="G19" s="166">
        <f t="shared" si="3"/>
        <v>7706.3550036523011</v>
      </c>
      <c r="H19" s="166">
        <f t="shared" si="5"/>
        <v>489627.46530314093</v>
      </c>
    </row>
    <row r="20" spans="1:8" ht="14.25">
      <c r="A20" s="167">
        <v>42685</v>
      </c>
      <c r="B20" s="168" t="s">
        <v>198</v>
      </c>
      <c r="C20" s="169">
        <v>10000</v>
      </c>
      <c r="D20" s="170">
        <f t="shared" si="4"/>
        <v>640000</v>
      </c>
      <c r="E20" s="164">
        <f t="shared" si="0"/>
        <v>1054</v>
      </c>
      <c r="F20" s="165">
        <f t="shared" si="1"/>
        <v>0.76990504017531047</v>
      </c>
      <c r="G20" s="166">
        <f t="shared" si="3"/>
        <v>7699.0504017531048</v>
      </c>
      <c r="H20" s="166">
        <f t="shared" si="5"/>
        <v>497326.51570489403</v>
      </c>
    </row>
    <row r="21" spans="1:8" ht="14.25">
      <c r="A21" s="167">
        <v>42685</v>
      </c>
      <c r="B21" s="168" t="s">
        <v>198</v>
      </c>
      <c r="C21" s="169">
        <v>10000</v>
      </c>
      <c r="D21" s="170">
        <f t="shared" si="4"/>
        <v>650000</v>
      </c>
      <c r="E21" s="164">
        <f t="shared" si="0"/>
        <v>1054</v>
      </c>
      <c r="F21" s="165">
        <f t="shared" si="1"/>
        <v>0.76990504017531047</v>
      </c>
      <c r="G21" s="166">
        <f t="shared" si="3"/>
        <v>7699.0504017531048</v>
      </c>
      <c r="H21" s="166">
        <f t="shared" si="5"/>
        <v>505025.56610664714</v>
      </c>
    </row>
    <row r="22" spans="1:8" ht="14.25">
      <c r="A22" s="167">
        <v>42685</v>
      </c>
      <c r="B22" s="168" t="s">
        <v>198</v>
      </c>
      <c r="C22" s="169">
        <v>10000</v>
      </c>
      <c r="D22" s="170">
        <f t="shared" si="4"/>
        <v>660000</v>
      </c>
      <c r="E22" s="164">
        <f t="shared" si="0"/>
        <v>1054</v>
      </c>
      <c r="F22" s="165">
        <f t="shared" si="1"/>
        <v>0.76990504017531047</v>
      </c>
      <c r="G22" s="166">
        <f t="shared" si="3"/>
        <v>7699.0504017531048</v>
      </c>
      <c r="H22" s="166">
        <f t="shared" si="5"/>
        <v>512724.61650840024</v>
      </c>
    </row>
    <row r="23" spans="1:8" ht="14.25">
      <c r="A23" s="167">
        <v>42688</v>
      </c>
      <c r="B23" s="168" t="s">
        <v>198</v>
      </c>
      <c r="C23" s="169">
        <v>10000</v>
      </c>
      <c r="D23" s="170">
        <f t="shared" si="4"/>
        <v>670000</v>
      </c>
      <c r="E23" s="164">
        <f t="shared" si="0"/>
        <v>1051</v>
      </c>
      <c r="F23" s="165">
        <f t="shared" si="1"/>
        <v>0.76771365960555149</v>
      </c>
      <c r="G23" s="166">
        <f t="shared" si="3"/>
        <v>7677.1365960555149</v>
      </c>
      <c r="H23" s="166">
        <f t="shared" si="5"/>
        <v>520401.75310445577</v>
      </c>
    </row>
    <row r="24" spans="1:8" ht="14.25">
      <c r="A24" s="167">
        <v>42688</v>
      </c>
      <c r="B24" s="168" t="s">
        <v>198</v>
      </c>
      <c r="C24" s="169">
        <v>20000</v>
      </c>
      <c r="D24" s="170">
        <f t="shared" si="4"/>
        <v>690000</v>
      </c>
      <c r="E24" s="164">
        <f t="shared" si="0"/>
        <v>1051</v>
      </c>
      <c r="F24" s="165">
        <f t="shared" si="1"/>
        <v>0.76771365960555149</v>
      </c>
      <c r="G24" s="166">
        <f t="shared" si="3"/>
        <v>15354.27319211103</v>
      </c>
      <c r="H24" s="166">
        <f t="shared" si="5"/>
        <v>535756.02629656682</v>
      </c>
    </row>
    <row r="25" spans="1:8" ht="14.25">
      <c r="A25" s="167">
        <v>42688</v>
      </c>
      <c r="B25" s="168" t="s">
        <v>198</v>
      </c>
      <c r="C25" s="169">
        <v>20000</v>
      </c>
      <c r="D25" s="170">
        <f t="shared" si="4"/>
        <v>710000</v>
      </c>
      <c r="E25" s="164">
        <f t="shared" si="0"/>
        <v>1051</v>
      </c>
      <c r="F25" s="165">
        <f t="shared" si="1"/>
        <v>0.76771365960555149</v>
      </c>
      <c r="G25" s="166">
        <f t="shared" si="3"/>
        <v>15354.27319211103</v>
      </c>
      <c r="H25" s="166">
        <f t="shared" si="5"/>
        <v>551110.29948867788</v>
      </c>
    </row>
    <row r="26" spans="1:8" ht="14.25">
      <c r="A26" s="167">
        <v>42688</v>
      </c>
      <c r="B26" s="168" t="s">
        <v>198</v>
      </c>
      <c r="C26" s="169">
        <v>10000</v>
      </c>
      <c r="D26" s="170">
        <f t="shared" si="4"/>
        <v>720000</v>
      </c>
      <c r="E26" s="164">
        <f t="shared" si="0"/>
        <v>1051</v>
      </c>
      <c r="F26" s="165">
        <f t="shared" si="1"/>
        <v>0.76771365960555149</v>
      </c>
      <c r="G26" s="166">
        <f t="shared" si="3"/>
        <v>7677.1365960555149</v>
      </c>
      <c r="H26" s="166">
        <f t="shared" si="5"/>
        <v>558787.43608473334</v>
      </c>
    </row>
    <row r="27" spans="1:8" ht="14.25">
      <c r="A27" s="167">
        <v>42689</v>
      </c>
      <c r="B27" s="168" t="s">
        <v>198</v>
      </c>
      <c r="C27" s="169">
        <v>10000</v>
      </c>
      <c r="D27" s="170">
        <f t="shared" si="4"/>
        <v>730000</v>
      </c>
      <c r="E27" s="164">
        <f t="shared" si="0"/>
        <v>1050</v>
      </c>
      <c r="F27" s="165">
        <f t="shared" si="1"/>
        <v>0.76698319941563187</v>
      </c>
      <c r="G27" s="166">
        <f t="shared" si="3"/>
        <v>7669.8319941563186</v>
      </c>
      <c r="H27" s="166">
        <f t="shared" si="5"/>
        <v>566457.2680788897</v>
      </c>
    </row>
    <row r="28" spans="1:8" ht="14.25">
      <c r="A28" s="167">
        <v>42689</v>
      </c>
      <c r="B28" s="168" t="s">
        <v>198</v>
      </c>
      <c r="C28" s="169">
        <v>20000</v>
      </c>
      <c r="D28" s="170">
        <f t="shared" si="4"/>
        <v>750000</v>
      </c>
      <c r="E28" s="164">
        <f t="shared" si="0"/>
        <v>1050</v>
      </c>
      <c r="F28" s="165">
        <f t="shared" si="1"/>
        <v>0.76698319941563187</v>
      </c>
      <c r="G28" s="166">
        <f t="shared" si="3"/>
        <v>15339.663988312637</v>
      </c>
      <c r="H28" s="166">
        <f t="shared" si="5"/>
        <v>581796.93206720229</v>
      </c>
    </row>
    <row r="29" spans="1:8" ht="14.25">
      <c r="A29" s="167">
        <v>42689</v>
      </c>
      <c r="B29" s="168" t="s">
        <v>198</v>
      </c>
      <c r="C29" s="169">
        <v>10000</v>
      </c>
      <c r="D29" s="170">
        <f t="shared" si="4"/>
        <v>760000</v>
      </c>
      <c r="E29" s="164">
        <f t="shared" si="0"/>
        <v>1050</v>
      </c>
      <c r="F29" s="165">
        <f t="shared" si="1"/>
        <v>0.76698319941563187</v>
      </c>
      <c r="G29" s="166">
        <f t="shared" si="3"/>
        <v>7669.8319941563186</v>
      </c>
      <c r="H29" s="166">
        <f t="shared" si="5"/>
        <v>589466.76406135864</v>
      </c>
    </row>
    <row r="30" spans="1:8" ht="14.25">
      <c r="A30" s="167">
        <v>42689</v>
      </c>
      <c r="B30" s="168" t="s">
        <v>198</v>
      </c>
      <c r="C30" s="169">
        <v>10000</v>
      </c>
      <c r="D30" s="170">
        <f t="shared" si="4"/>
        <v>770000</v>
      </c>
      <c r="E30" s="164">
        <f t="shared" si="0"/>
        <v>1050</v>
      </c>
      <c r="F30" s="165">
        <f t="shared" si="1"/>
        <v>0.76698319941563187</v>
      </c>
      <c r="G30" s="166">
        <f t="shared" si="3"/>
        <v>7669.8319941563186</v>
      </c>
      <c r="H30" s="166">
        <f t="shared" si="5"/>
        <v>597136.59605551499</v>
      </c>
    </row>
    <row r="31" spans="1:8" ht="14.25">
      <c r="A31" s="167">
        <v>42689</v>
      </c>
      <c r="B31" s="168" t="s">
        <v>198</v>
      </c>
      <c r="C31" s="169">
        <v>10000</v>
      </c>
      <c r="D31" s="170">
        <f t="shared" si="4"/>
        <v>780000</v>
      </c>
      <c r="E31" s="164">
        <f t="shared" si="0"/>
        <v>1050</v>
      </c>
      <c r="F31" s="165">
        <f t="shared" si="1"/>
        <v>0.76698319941563187</v>
      </c>
      <c r="G31" s="166">
        <f t="shared" si="3"/>
        <v>7669.8319941563186</v>
      </c>
      <c r="H31" s="166">
        <f t="shared" si="5"/>
        <v>604806.42804967135</v>
      </c>
    </row>
    <row r="32" spans="1:8" ht="14.25">
      <c r="A32" s="167">
        <v>42689</v>
      </c>
      <c r="B32" s="168" t="s">
        <v>198</v>
      </c>
      <c r="C32" s="169">
        <v>10000</v>
      </c>
      <c r="D32" s="170">
        <f t="shared" si="4"/>
        <v>790000</v>
      </c>
      <c r="E32" s="164">
        <f t="shared" si="0"/>
        <v>1050</v>
      </c>
      <c r="F32" s="165">
        <f t="shared" si="1"/>
        <v>0.76698319941563187</v>
      </c>
      <c r="G32" s="166">
        <f t="shared" si="3"/>
        <v>7669.8319941563186</v>
      </c>
      <c r="H32" s="166">
        <f t="shared" si="5"/>
        <v>612476.2600438277</v>
      </c>
    </row>
    <row r="33" spans="1:8" ht="14.25">
      <c r="A33" s="167">
        <v>42689</v>
      </c>
      <c r="B33" s="168" t="s">
        <v>198</v>
      </c>
      <c r="C33" s="169">
        <v>10000</v>
      </c>
      <c r="D33" s="170">
        <f t="shared" si="4"/>
        <v>800000</v>
      </c>
      <c r="E33" s="164">
        <f t="shared" si="0"/>
        <v>1050</v>
      </c>
      <c r="F33" s="165">
        <f t="shared" si="1"/>
        <v>0.76698319941563187</v>
      </c>
      <c r="G33" s="166">
        <f t="shared" si="3"/>
        <v>7669.8319941563186</v>
      </c>
      <c r="H33" s="166">
        <f t="shared" si="5"/>
        <v>620146.09203798405</v>
      </c>
    </row>
    <row r="34" spans="1:8" ht="14.25">
      <c r="A34" s="167">
        <v>42690</v>
      </c>
      <c r="B34" s="168" t="s">
        <v>198</v>
      </c>
      <c r="C34" s="169">
        <v>10000</v>
      </c>
      <c r="D34" s="170">
        <f t="shared" si="4"/>
        <v>810000</v>
      </c>
      <c r="E34" s="164">
        <f t="shared" si="0"/>
        <v>1049</v>
      </c>
      <c r="F34" s="165">
        <f t="shared" si="1"/>
        <v>0.76625273922571224</v>
      </c>
      <c r="G34" s="166">
        <f t="shared" si="3"/>
        <v>7662.5273922571223</v>
      </c>
      <c r="H34" s="166">
        <f t="shared" si="5"/>
        <v>627808.61943024117</v>
      </c>
    </row>
    <row r="35" spans="1:8" ht="14.25">
      <c r="A35" s="167">
        <v>42690</v>
      </c>
      <c r="B35" s="168" t="s">
        <v>198</v>
      </c>
      <c r="C35" s="169">
        <v>10000</v>
      </c>
      <c r="D35" s="170">
        <f t="shared" si="4"/>
        <v>820000</v>
      </c>
      <c r="E35" s="164">
        <f t="shared" si="0"/>
        <v>1049</v>
      </c>
      <c r="F35" s="165">
        <f t="shared" si="1"/>
        <v>0.76625273922571224</v>
      </c>
      <c r="G35" s="166">
        <f t="shared" si="3"/>
        <v>7662.5273922571223</v>
      </c>
      <c r="H35" s="166">
        <f t="shared" si="5"/>
        <v>635471.1468224983</v>
      </c>
    </row>
    <row r="36" spans="1:8" ht="14.25">
      <c r="A36" s="167">
        <v>42691</v>
      </c>
      <c r="B36" s="168" t="s">
        <v>198</v>
      </c>
      <c r="C36" s="169">
        <v>10000</v>
      </c>
      <c r="D36" s="170">
        <f t="shared" si="4"/>
        <v>830000</v>
      </c>
      <c r="E36" s="164">
        <f t="shared" si="0"/>
        <v>1048</v>
      </c>
      <c r="F36" s="165">
        <f t="shared" si="1"/>
        <v>0.76552227903579251</v>
      </c>
      <c r="G36" s="166">
        <f t="shared" si="3"/>
        <v>7655.2227903579251</v>
      </c>
      <c r="H36" s="166">
        <f t="shared" si="5"/>
        <v>643126.36961285619</v>
      </c>
    </row>
    <row r="37" spans="1:8" ht="14.25">
      <c r="A37" s="167">
        <v>42695</v>
      </c>
      <c r="B37" s="168" t="s">
        <v>198</v>
      </c>
      <c r="C37" s="169">
        <v>10000</v>
      </c>
      <c r="D37" s="170">
        <f t="shared" si="4"/>
        <v>840000</v>
      </c>
      <c r="E37" s="164">
        <f t="shared" si="0"/>
        <v>1044</v>
      </c>
      <c r="F37" s="165">
        <f t="shared" si="1"/>
        <v>0.7626004382761139</v>
      </c>
      <c r="G37" s="166">
        <f t="shared" si="3"/>
        <v>7626.0043827611389</v>
      </c>
      <c r="H37" s="166">
        <f t="shared" si="5"/>
        <v>650752.37399561738</v>
      </c>
    </row>
    <row r="38" spans="1:8" ht="14.25">
      <c r="A38" s="167">
        <v>42695</v>
      </c>
      <c r="B38" s="168" t="s">
        <v>198</v>
      </c>
      <c r="C38" s="169">
        <v>10000</v>
      </c>
      <c r="D38" s="170">
        <f t="shared" si="4"/>
        <v>850000</v>
      </c>
      <c r="E38" s="164">
        <f t="shared" si="0"/>
        <v>1044</v>
      </c>
      <c r="F38" s="165">
        <f t="shared" si="1"/>
        <v>0.7626004382761139</v>
      </c>
      <c r="G38" s="166">
        <f t="shared" si="3"/>
        <v>7626.0043827611389</v>
      </c>
      <c r="H38" s="166">
        <f t="shared" si="5"/>
        <v>658378.37837837858</v>
      </c>
    </row>
    <row r="39" spans="1:8" ht="14.25">
      <c r="A39" s="167">
        <v>42695</v>
      </c>
      <c r="B39" s="168" t="s">
        <v>198</v>
      </c>
      <c r="C39" s="169">
        <v>15000</v>
      </c>
      <c r="D39" s="170">
        <f t="shared" si="4"/>
        <v>865000</v>
      </c>
      <c r="E39" s="164">
        <f t="shared" si="0"/>
        <v>1044</v>
      </c>
      <c r="F39" s="165">
        <f t="shared" si="1"/>
        <v>0.7626004382761139</v>
      </c>
      <c r="G39" s="166">
        <f t="shared" si="3"/>
        <v>11439.006574141709</v>
      </c>
      <c r="H39" s="166">
        <f t="shared" si="5"/>
        <v>669817.38495252025</v>
      </c>
    </row>
    <row r="40" spans="1:8" ht="14.25">
      <c r="A40" s="167">
        <v>42696</v>
      </c>
      <c r="B40" s="168" t="s">
        <v>198</v>
      </c>
      <c r="C40" s="169">
        <v>10000</v>
      </c>
      <c r="D40" s="170">
        <f t="shared" si="4"/>
        <v>875000</v>
      </c>
      <c r="E40" s="164">
        <f t="shared" si="0"/>
        <v>1043</v>
      </c>
      <c r="F40" s="165">
        <f t="shared" si="1"/>
        <v>0.76186997808619428</v>
      </c>
      <c r="G40" s="166">
        <f t="shared" si="3"/>
        <v>7618.6997808619426</v>
      </c>
      <c r="H40" s="166">
        <f t="shared" si="5"/>
        <v>677436.08473338222</v>
      </c>
    </row>
    <row r="41" spans="1:8" ht="14.25">
      <c r="A41" s="167">
        <v>42697</v>
      </c>
      <c r="B41" s="168" t="s">
        <v>198</v>
      </c>
      <c r="C41" s="169">
        <v>10000</v>
      </c>
      <c r="D41" s="170">
        <f t="shared" si="4"/>
        <v>885000</v>
      </c>
      <c r="E41" s="164">
        <f t="shared" si="0"/>
        <v>1042</v>
      </c>
      <c r="F41" s="165">
        <f t="shared" si="1"/>
        <v>0.76113951789627465</v>
      </c>
      <c r="G41" s="166">
        <f t="shared" si="3"/>
        <v>7611.3951789627463</v>
      </c>
      <c r="H41" s="166">
        <f t="shared" si="5"/>
        <v>685047.47991234495</v>
      </c>
    </row>
    <row r="42" spans="1:8" ht="14.25">
      <c r="A42" s="167">
        <v>42698</v>
      </c>
      <c r="B42" s="168" t="s">
        <v>198</v>
      </c>
      <c r="C42" s="169">
        <v>20000</v>
      </c>
      <c r="D42" s="170">
        <f t="shared" si="4"/>
        <v>905000</v>
      </c>
      <c r="E42" s="164">
        <f t="shared" si="0"/>
        <v>1041</v>
      </c>
      <c r="F42" s="165">
        <f t="shared" si="1"/>
        <v>0.76040905770635503</v>
      </c>
      <c r="G42" s="166">
        <f t="shared" si="3"/>
        <v>15208.1811541271</v>
      </c>
      <c r="H42" s="166">
        <f t="shared" si="5"/>
        <v>700255.66106647206</v>
      </c>
    </row>
    <row r="43" spans="1:8" ht="14.25">
      <c r="A43" s="167">
        <v>42700</v>
      </c>
      <c r="B43" s="168" t="s">
        <v>198</v>
      </c>
      <c r="C43" s="169">
        <v>10000</v>
      </c>
      <c r="D43" s="170">
        <f t="shared" si="4"/>
        <v>915000</v>
      </c>
      <c r="E43" s="164">
        <f t="shared" si="0"/>
        <v>1039</v>
      </c>
      <c r="F43" s="165">
        <f t="shared" si="1"/>
        <v>0.75894813732651567</v>
      </c>
      <c r="G43" s="166">
        <f t="shared" si="3"/>
        <v>7589.4813732651564</v>
      </c>
      <c r="H43" s="166">
        <f t="shared" si="5"/>
        <v>707845.14243973722</v>
      </c>
    </row>
    <row r="44" spans="1:8" ht="14.25">
      <c r="A44" s="167">
        <v>42700</v>
      </c>
      <c r="B44" s="168" t="s">
        <v>198</v>
      </c>
      <c r="C44" s="169">
        <v>10000</v>
      </c>
      <c r="D44" s="170">
        <f t="shared" si="4"/>
        <v>925000</v>
      </c>
      <c r="E44" s="164">
        <f t="shared" si="0"/>
        <v>1039</v>
      </c>
      <c r="F44" s="165">
        <f t="shared" si="1"/>
        <v>0.75894813732651567</v>
      </c>
      <c r="G44" s="166">
        <f t="shared" si="3"/>
        <v>7589.4813732651564</v>
      </c>
      <c r="H44" s="166">
        <f t="shared" si="5"/>
        <v>715434.62381300237</v>
      </c>
    </row>
    <row r="45" spans="1:8" ht="14.25">
      <c r="A45" s="167">
        <v>42701</v>
      </c>
      <c r="B45" s="168" t="s">
        <v>198</v>
      </c>
      <c r="C45" s="169">
        <v>10000</v>
      </c>
      <c r="D45" s="170">
        <f t="shared" si="4"/>
        <v>935000</v>
      </c>
      <c r="E45" s="164">
        <f t="shared" si="0"/>
        <v>1038</v>
      </c>
      <c r="F45" s="165">
        <f t="shared" si="1"/>
        <v>0.75821767713659605</v>
      </c>
      <c r="G45" s="166">
        <f t="shared" si="3"/>
        <v>7582.1767713659601</v>
      </c>
      <c r="H45" s="166">
        <f t="shared" si="5"/>
        <v>723016.80058436829</v>
      </c>
    </row>
    <row r="46" spans="1:8" ht="14.25">
      <c r="A46" s="167">
        <v>42701</v>
      </c>
      <c r="B46" s="168" t="s">
        <v>198</v>
      </c>
      <c r="C46" s="169">
        <v>10000</v>
      </c>
      <c r="D46" s="170">
        <f t="shared" si="4"/>
        <v>945000</v>
      </c>
      <c r="E46" s="164">
        <f t="shared" si="0"/>
        <v>1038</v>
      </c>
      <c r="F46" s="165">
        <f t="shared" si="1"/>
        <v>0.75821767713659605</v>
      </c>
      <c r="G46" s="166">
        <f t="shared" si="3"/>
        <v>7582.1767713659601</v>
      </c>
      <c r="H46" s="166">
        <f t="shared" si="5"/>
        <v>730598.97735573421</v>
      </c>
    </row>
    <row r="47" spans="1:8" ht="14.25">
      <c r="A47" s="167">
        <v>42701</v>
      </c>
      <c r="B47" s="168" t="s">
        <v>198</v>
      </c>
      <c r="C47" s="169">
        <v>10000</v>
      </c>
      <c r="D47" s="170">
        <f t="shared" si="4"/>
        <v>955000</v>
      </c>
      <c r="E47" s="164">
        <f t="shared" si="0"/>
        <v>1038</v>
      </c>
      <c r="F47" s="165">
        <f t="shared" si="1"/>
        <v>0.75821767713659605</v>
      </c>
      <c r="G47" s="166">
        <f t="shared" si="3"/>
        <v>7582.1767713659601</v>
      </c>
      <c r="H47" s="166">
        <f t="shared" si="5"/>
        <v>738181.15412710013</v>
      </c>
    </row>
    <row r="48" spans="1:8" ht="14.25">
      <c r="A48" s="167">
        <v>42704</v>
      </c>
      <c r="B48" s="168" t="s">
        <v>198</v>
      </c>
      <c r="C48" s="169">
        <v>10000</v>
      </c>
      <c r="D48" s="170">
        <f t="shared" si="4"/>
        <v>965000</v>
      </c>
      <c r="E48" s="164">
        <f t="shared" si="0"/>
        <v>1035</v>
      </c>
      <c r="F48" s="165">
        <f t="shared" si="1"/>
        <v>0.75602629656683706</v>
      </c>
      <c r="G48" s="166">
        <f t="shared" si="3"/>
        <v>7560.2629656683703</v>
      </c>
      <c r="H48" s="166">
        <f t="shared" si="5"/>
        <v>745741.41709276848</v>
      </c>
    </row>
    <row r="49" spans="1:8" ht="14.25">
      <c r="A49" s="167">
        <v>42704</v>
      </c>
      <c r="B49" s="168" t="s">
        <v>198</v>
      </c>
      <c r="C49" s="169">
        <v>10000</v>
      </c>
      <c r="D49" s="170">
        <f t="shared" si="4"/>
        <v>975000</v>
      </c>
      <c r="E49" s="164">
        <f t="shared" si="0"/>
        <v>1035</v>
      </c>
      <c r="F49" s="165">
        <f t="shared" si="1"/>
        <v>0.75602629656683706</v>
      </c>
      <c r="G49" s="166">
        <f t="shared" si="3"/>
        <v>7560.2629656683703</v>
      </c>
      <c r="H49" s="166">
        <f t="shared" si="5"/>
        <v>753301.68005843682</v>
      </c>
    </row>
    <row r="50" spans="1:8" ht="14.25">
      <c r="A50" s="167">
        <v>42704</v>
      </c>
      <c r="B50" s="168" t="s">
        <v>198</v>
      </c>
      <c r="C50" s="169">
        <v>10000</v>
      </c>
      <c r="D50" s="170">
        <f t="shared" si="4"/>
        <v>985000</v>
      </c>
      <c r="E50" s="164">
        <f t="shared" si="0"/>
        <v>1035</v>
      </c>
      <c r="F50" s="165">
        <f t="shared" si="1"/>
        <v>0.75602629656683706</v>
      </c>
      <c r="G50" s="166">
        <f t="shared" si="3"/>
        <v>7560.2629656683703</v>
      </c>
      <c r="H50" s="166">
        <f t="shared" si="5"/>
        <v>760861.94302410516</v>
      </c>
    </row>
    <row r="51" spans="1:8" ht="14.25">
      <c r="A51" s="167">
        <v>42716</v>
      </c>
      <c r="B51" s="168" t="s">
        <v>198</v>
      </c>
      <c r="C51" s="169">
        <v>10000</v>
      </c>
      <c r="D51" s="170">
        <f t="shared" si="4"/>
        <v>995000</v>
      </c>
      <c r="E51" s="164">
        <f t="shared" si="0"/>
        <v>1023</v>
      </c>
      <c r="F51" s="165">
        <f t="shared" si="1"/>
        <v>0.74726077428780135</v>
      </c>
      <c r="G51" s="166">
        <f t="shared" si="3"/>
        <v>7472.6077428780136</v>
      </c>
      <c r="H51" s="166">
        <f t="shared" si="5"/>
        <v>768334.55076698319</v>
      </c>
    </row>
    <row r="52" spans="1:8" ht="14.25">
      <c r="A52" s="167">
        <v>42719</v>
      </c>
      <c r="B52" s="168" t="s">
        <v>198</v>
      </c>
      <c r="C52" s="169">
        <v>10000</v>
      </c>
      <c r="D52" s="170">
        <f t="shared" si="4"/>
        <v>1005000</v>
      </c>
      <c r="E52" s="164">
        <f t="shared" si="0"/>
        <v>1020</v>
      </c>
      <c r="F52" s="165">
        <f t="shared" si="1"/>
        <v>0.74506939371804237</v>
      </c>
      <c r="G52" s="166">
        <f t="shared" si="3"/>
        <v>7450.6939371804237</v>
      </c>
      <c r="H52" s="166">
        <f t="shared" si="5"/>
        <v>775785.24470416363</v>
      </c>
    </row>
    <row r="53" spans="1:8" ht="14.25">
      <c r="A53" s="167">
        <v>42721</v>
      </c>
      <c r="B53" s="168" t="s">
        <v>198</v>
      </c>
      <c r="C53" s="169">
        <v>10000</v>
      </c>
      <c r="D53" s="170">
        <f t="shared" si="4"/>
        <v>1015000</v>
      </c>
      <c r="E53" s="164">
        <f t="shared" si="0"/>
        <v>1018</v>
      </c>
      <c r="F53" s="165">
        <f t="shared" si="1"/>
        <v>0.74360847333820301</v>
      </c>
      <c r="G53" s="166">
        <f t="shared" si="3"/>
        <v>7436.0847333820302</v>
      </c>
      <c r="H53" s="166">
        <f t="shared" si="5"/>
        <v>783221.32943754562</v>
      </c>
    </row>
    <row r="54" spans="1:8" ht="14.25">
      <c r="A54" s="167">
        <v>42722</v>
      </c>
      <c r="B54" s="168" t="s">
        <v>197</v>
      </c>
      <c r="C54" s="169">
        <v>6100000</v>
      </c>
      <c r="D54" s="170">
        <f t="shared" si="4"/>
        <v>7115000</v>
      </c>
      <c r="E54" s="164">
        <f t="shared" si="0"/>
        <v>1017</v>
      </c>
      <c r="F54" s="165">
        <f t="shared" si="1"/>
        <v>0.74287801314828339</v>
      </c>
      <c r="G54" s="166">
        <f t="shared" si="3"/>
        <v>4531555.8802045286</v>
      </c>
      <c r="H54" s="166">
        <f t="shared" si="5"/>
        <v>5314777.2096420741</v>
      </c>
    </row>
    <row r="55" spans="1:8" ht="14.25">
      <c r="A55" s="167"/>
      <c r="B55" s="171"/>
      <c r="C55" s="169"/>
      <c r="D55" s="170"/>
      <c r="E55" s="164"/>
      <c r="F55" s="165"/>
      <c r="G55" s="166"/>
      <c r="H55" s="166"/>
    </row>
    <row r="57" spans="1:8" ht="13.5" thickBot="1">
      <c r="C57" s="172">
        <f>SUM(C14:C55)</f>
        <v>7115000</v>
      </c>
      <c r="D57" s="173"/>
      <c r="E57" s="136"/>
      <c r="F57" s="174" t="s">
        <v>199</v>
      </c>
      <c r="G57" s="172">
        <f>SUM(G14:G55)</f>
        <v>5314777.2096420741</v>
      </c>
    </row>
  </sheetData>
  <sortState ref="A15:C54">
    <sortCondition ref="A15:A54"/>
  </sortState>
  <mergeCells count="1">
    <mergeCell ref="A3: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21"/>
  <sheetViews>
    <sheetView workbookViewId="0">
      <selection activeCell="D12" sqref="D12:D14"/>
    </sheetView>
  </sheetViews>
  <sheetFormatPr defaultRowHeight="14.25"/>
  <cols>
    <col min="1" max="1" width="21" bestFit="1" customWidth="1"/>
    <col min="2" max="2" width="18.86328125" style="113" bestFit="1" customWidth="1"/>
    <col min="3" max="3" width="18.86328125" style="113" customWidth="1"/>
    <col min="4" max="4" width="9.59765625" style="113" bestFit="1" customWidth="1"/>
    <col min="5" max="5" width="10.73046875" style="113" bestFit="1" customWidth="1"/>
    <col min="6" max="6" width="13.1328125" style="113" bestFit="1" customWidth="1"/>
    <col min="7" max="7" width="9.1328125" style="113"/>
    <col min="8" max="8" width="10.59765625" style="113" bestFit="1" customWidth="1"/>
    <col min="9" max="9" width="9.1328125" style="113"/>
  </cols>
  <sheetData>
    <row r="1" spans="1:9">
      <c r="A1" t="s">
        <v>207</v>
      </c>
    </row>
    <row r="2" spans="1:9">
      <c r="A2" t="s">
        <v>208</v>
      </c>
    </row>
    <row r="3" spans="1:9">
      <c r="A3" s="208">
        <v>43738</v>
      </c>
    </row>
    <row r="6" spans="1:9" s="101" customFormat="1">
      <c r="B6" s="180" t="s">
        <v>210</v>
      </c>
      <c r="C6" s="180" t="s">
        <v>212</v>
      </c>
      <c r="D6" s="180" t="s">
        <v>64</v>
      </c>
      <c r="E6" s="180" t="s">
        <v>209</v>
      </c>
      <c r="F6" s="180" t="s">
        <v>211</v>
      </c>
      <c r="G6" s="180"/>
      <c r="H6" s="180"/>
      <c r="I6" s="180"/>
    </row>
    <row r="7" spans="1:9">
      <c r="A7" s="209">
        <v>43100</v>
      </c>
      <c r="B7" s="113">
        <v>0</v>
      </c>
      <c r="C7" s="113">
        <v>24896</v>
      </c>
      <c r="D7" s="113">
        <f>+((0.06/12)*3)*B7</f>
        <v>0</v>
      </c>
      <c r="E7" s="113">
        <v>0</v>
      </c>
      <c r="F7" s="113">
        <f>+B7+D7+C7-E7</f>
        <v>24896</v>
      </c>
    </row>
    <row r="8" spans="1:9">
      <c r="A8" s="209">
        <v>43190</v>
      </c>
      <c r="B8" s="113">
        <f>+F7</f>
        <v>24896</v>
      </c>
      <c r="C8" s="113">
        <v>9598.44</v>
      </c>
      <c r="D8" s="113">
        <v>0</v>
      </c>
      <c r="E8" s="113">
        <v>0</v>
      </c>
      <c r="F8" s="113">
        <f>+B8+D8+C8-E8</f>
        <v>34494.44</v>
      </c>
    </row>
    <row r="9" spans="1:9">
      <c r="A9" s="209">
        <v>43281</v>
      </c>
      <c r="B9" s="113">
        <f>+F8</f>
        <v>34494.44</v>
      </c>
      <c r="C9" s="113">
        <v>19748.5</v>
      </c>
      <c r="D9" s="113">
        <v>0</v>
      </c>
      <c r="E9" s="113">
        <v>0</v>
      </c>
      <c r="F9" s="113">
        <f>+B9+D9+C9-E9</f>
        <v>54242.94</v>
      </c>
    </row>
    <row r="10" spans="1:9">
      <c r="A10" s="209">
        <v>43373</v>
      </c>
      <c r="B10" s="113">
        <f t="shared" ref="B10:B14" si="0">+F9</f>
        <v>54242.94</v>
      </c>
      <c r="C10" s="113">
        <v>14047.22</v>
      </c>
      <c r="D10" s="113">
        <f>+((0.06/12)*3)*(B10)-0.42</f>
        <v>813.22410000000002</v>
      </c>
      <c r="E10" s="113">
        <v>0</v>
      </c>
      <c r="F10" s="113">
        <f>+B10+C10</f>
        <v>68290.16</v>
      </c>
    </row>
    <row r="11" spans="1:9">
      <c r="A11" s="209">
        <v>43465</v>
      </c>
      <c r="B11" s="113">
        <f t="shared" si="0"/>
        <v>68290.16</v>
      </c>
      <c r="C11" s="113">
        <v>43852.33</v>
      </c>
      <c r="D11" s="113">
        <v>1012.15</v>
      </c>
      <c r="E11" s="113">
        <v>0</v>
      </c>
      <c r="F11" s="113">
        <f>+B11+C11</f>
        <v>112142.49</v>
      </c>
    </row>
    <row r="12" spans="1:9">
      <c r="A12" s="209">
        <v>43555</v>
      </c>
      <c r="B12" s="113">
        <f t="shared" si="0"/>
        <v>112142.49</v>
      </c>
      <c r="C12" s="113">
        <v>28871.71</v>
      </c>
      <c r="D12" s="113">
        <v>1722.71</v>
      </c>
      <c r="E12" s="113">
        <v>0</v>
      </c>
      <c r="F12" s="113">
        <f>+B12+C12</f>
        <v>141014.20000000001</v>
      </c>
    </row>
    <row r="13" spans="1:9">
      <c r="A13" s="209">
        <v>43646</v>
      </c>
      <c r="B13" s="113">
        <f t="shared" si="0"/>
        <v>141014.20000000001</v>
      </c>
      <c r="C13" s="113">
        <v>17830.919999999998</v>
      </c>
      <c r="D13" s="113">
        <v>2156.42</v>
      </c>
      <c r="E13" s="113">
        <v>0</v>
      </c>
      <c r="F13" s="113">
        <f>+B13+C13</f>
        <v>158845.12</v>
      </c>
    </row>
    <row r="14" spans="1:9">
      <c r="A14" s="209">
        <v>43738</v>
      </c>
      <c r="B14" s="113">
        <f t="shared" si="0"/>
        <v>158845.12</v>
      </c>
      <c r="C14" s="113">
        <v>12786.82</v>
      </c>
      <c r="D14" s="113">
        <f>+((0.06/12)*3)*(B14)</f>
        <v>2382.6767999999997</v>
      </c>
      <c r="E14" s="113">
        <v>0</v>
      </c>
      <c r="F14" s="113">
        <f>+B14+C14+D14-E14</f>
        <v>174014.61679999999</v>
      </c>
    </row>
    <row r="16" spans="1:9">
      <c r="A16" s="209"/>
    </row>
    <row r="17" spans="1:4">
      <c r="A17" s="209" t="s">
        <v>213</v>
      </c>
      <c r="D17" s="113">
        <f>SUM(D7:D16)</f>
        <v>8087.1808999999994</v>
      </c>
    </row>
    <row r="18" spans="1:4">
      <c r="A18" s="209"/>
    </row>
    <row r="19" spans="1:4">
      <c r="A19" s="209"/>
    </row>
    <row r="20" spans="1:4">
      <c r="A20" s="209"/>
    </row>
    <row r="21" spans="1:4">
      <c r="A21" s="20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D25"/>
  <sheetViews>
    <sheetView showGridLines="0" workbookViewId="0">
      <selection activeCell="A5" sqref="A5"/>
    </sheetView>
  </sheetViews>
  <sheetFormatPr defaultRowHeight="13.15"/>
  <cols>
    <col min="1" max="1" width="39.59765625" style="120" customWidth="1"/>
    <col min="2" max="4" width="10.59765625" style="120" bestFit="1" customWidth="1"/>
    <col min="5" max="256" width="8.73046875" style="120"/>
    <col min="257" max="257" width="39.59765625" style="120" customWidth="1"/>
    <col min="258" max="260" width="10.59765625" style="120" bestFit="1" customWidth="1"/>
    <col min="261" max="512" width="8.73046875" style="120"/>
    <col min="513" max="513" width="39.59765625" style="120" customWidth="1"/>
    <col min="514" max="516" width="10.59765625" style="120" bestFit="1" customWidth="1"/>
    <col min="517" max="768" width="8.73046875" style="120"/>
    <col min="769" max="769" width="39.59765625" style="120" customWidth="1"/>
    <col min="770" max="772" width="10.59765625" style="120" bestFit="1" customWidth="1"/>
    <col min="773" max="1024" width="8.73046875" style="120"/>
    <col min="1025" max="1025" width="39.59765625" style="120" customWidth="1"/>
    <col min="1026" max="1028" width="10.59765625" style="120" bestFit="1" customWidth="1"/>
    <col min="1029" max="1280" width="8.73046875" style="120"/>
    <col min="1281" max="1281" width="39.59765625" style="120" customWidth="1"/>
    <col min="1282" max="1284" width="10.59765625" style="120" bestFit="1" customWidth="1"/>
    <col min="1285" max="1536" width="8.73046875" style="120"/>
    <col min="1537" max="1537" width="39.59765625" style="120" customWidth="1"/>
    <col min="1538" max="1540" width="10.59765625" style="120" bestFit="1" customWidth="1"/>
    <col min="1541" max="1792" width="8.73046875" style="120"/>
    <col min="1793" max="1793" width="39.59765625" style="120" customWidth="1"/>
    <col min="1794" max="1796" width="10.59765625" style="120" bestFit="1" customWidth="1"/>
    <col min="1797" max="2048" width="8.73046875" style="120"/>
    <col min="2049" max="2049" width="39.59765625" style="120" customWidth="1"/>
    <col min="2050" max="2052" width="10.59765625" style="120" bestFit="1" customWidth="1"/>
    <col min="2053" max="2304" width="8.73046875" style="120"/>
    <col min="2305" max="2305" width="39.59765625" style="120" customWidth="1"/>
    <col min="2306" max="2308" width="10.59765625" style="120" bestFit="1" customWidth="1"/>
    <col min="2309" max="2560" width="8.73046875" style="120"/>
    <col min="2561" max="2561" width="39.59765625" style="120" customWidth="1"/>
    <col min="2562" max="2564" width="10.59765625" style="120" bestFit="1" customWidth="1"/>
    <col min="2565" max="2816" width="8.73046875" style="120"/>
    <col min="2817" max="2817" width="39.59765625" style="120" customWidth="1"/>
    <col min="2818" max="2820" width="10.59765625" style="120" bestFit="1" customWidth="1"/>
    <col min="2821" max="3072" width="8.73046875" style="120"/>
    <col min="3073" max="3073" width="39.59765625" style="120" customWidth="1"/>
    <col min="3074" max="3076" width="10.59765625" style="120" bestFit="1" customWidth="1"/>
    <col min="3077" max="3328" width="8.73046875" style="120"/>
    <col min="3329" max="3329" width="39.59765625" style="120" customWidth="1"/>
    <col min="3330" max="3332" width="10.59765625" style="120" bestFit="1" customWidth="1"/>
    <col min="3333" max="3584" width="8.73046875" style="120"/>
    <col min="3585" max="3585" width="39.59765625" style="120" customWidth="1"/>
    <col min="3586" max="3588" width="10.59765625" style="120" bestFit="1" customWidth="1"/>
    <col min="3589" max="3840" width="8.73046875" style="120"/>
    <col min="3841" max="3841" width="39.59765625" style="120" customWidth="1"/>
    <col min="3842" max="3844" width="10.59765625" style="120" bestFit="1" customWidth="1"/>
    <col min="3845" max="4096" width="8.73046875" style="120"/>
    <col min="4097" max="4097" width="39.59765625" style="120" customWidth="1"/>
    <col min="4098" max="4100" width="10.59765625" style="120" bestFit="1" customWidth="1"/>
    <col min="4101" max="4352" width="8.73046875" style="120"/>
    <col min="4353" max="4353" width="39.59765625" style="120" customWidth="1"/>
    <col min="4354" max="4356" width="10.59765625" style="120" bestFit="1" customWidth="1"/>
    <col min="4357" max="4608" width="8.73046875" style="120"/>
    <col min="4609" max="4609" width="39.59765625" style="120" customWidth="1"/>
    <col min="4610" max="4612" width="10.59765625" style="120" bestFit="1" customWidth="1"/>
    <col min="4613" max="4864" width="8.73046875" style="120"/>
    <col min="4865" max="4865" width="39.59765625" style="120" customWidth="1"/>
    <col min="4866" max="4868" width="10.59765625" style="120" bestFit="1" customWidth="1"/>
    <col min="4869" max="5120" width="8.73046875" style="120"/>
    <col min="5121" max="5121" width="39.59765625" style="120" customWidth="1"/>
    <col min="5122" max="5124" width="10.59765625" style="120" bestFit="1" customWidth="1"/>
    <col min="5125" max="5376" width="8.73046875" style="120"/>
    <col min="5377" max="5377" width="39.59765625" style="120" customWidth="1"/>
    <col min="5378" max="5380" width="10.59765625" style="120" bestFit="1" customWidth="1"/>
    <col min="5381" max="5632" width="8.73046875" style="120"/>
    <col min="5633" max="5633" width="39.59765625" style="120" customWidth="1"/>
    <col min="5634" max="5636" width="10.59765625" style="120" bestFit="1" customWidth="1"/>
    <col min="5637" max="5888" width="8.73046875" style="120"/>
    <col min="5889" max="5889" width="39.59765625" style="120" customWidth="1"/>
    <col min="5890" max="5892" width="10.59765625" style="120" bestFit="1" customWidth="1"/>
    <col min="5893" max="6144" width="8.73046875" style="120"/>
    <col min="6145" max="6145" width="39.59765625" style="120" customWidth="1"/>
    <col min="6146" max="6148" width="10.59765625" style="120" bestFit="1" customWidth="1"/>
    <col min="6149" max="6400" width="8.73046875" style="120"/>
    <col min="6401" max="6401" width="39.59765625" style="120" customWidth="1"/>
    <col min="6402" max="6404" width="10.59765625" style="120" bestFit="1" customWidth="1"/>
    <col min="6405" max="6656" width="8.73046875" style="120"/>
    <col min="6657" max="6657" width="39.59765625" style="120" customWidth="1"/>
    <col min="6658" max="6660" width="10.59765625" style="120" bestFit="1" customWidth="1"/>
    <col min="6661" max="6912" width="8.73046875" style="120"/>
    <col min="6913" max="6913" width="39.59765625" style="120" customWidth="1"/>
    <col min="6914" max="6916" width="10.59765625" style="120" bestFit="1" customWidth="1"/>
    <col min="6917" max="7168" width="8.73046875" style="120"/>
    <col min="7169" max="7169" width="39.59765625" style="120" customWidth="1"/>
    <col min="7170" max="7172" width="10.59765625" style="120" bestFit="1" customWidth="1"/>
    <col min="7173" max="7424" width="8.73046875" style="120"/>
    <col min="7425" max="7425" width="39.59765625" style="120" customWidth="1"/>
    <col min="7426" max="7428" width="10.59765625" style="120" bestFit="1" customWidth="1"/>
    <col min="7429" max="7680" width="8.73046875" style="120"/>
    <col min="7681" max="7681" width="39.59765625" style="120" customWidth="1"/>
    <col min="7682" max="7684" width="10.59765625" style="120" bestFit="1" customWidth="1"/>
    <col min="7685" max="7936" width="8.73046875" style="120"/>
    <col min="7937" max="7937" width="39.59765625" style="120" customWidth="1"/>
    <col min="7938" max="7940" width="10.59765625" style="120" bestFit="1" customWidth="1"/>
    <col min="7941" max="8192" width="8.73046875" style="120"/>
    <col min="8193" max="8193" width="39.59765625" style="120" customWidth="1"/>
    <col min="8194" max="8196" width="10.59765625" style="120" bestFit="1" customWidth="1"/>
    <col min="8197" max="8448" width="8.73046875" style="120"/>
    <col min="8449" max="8449" width="39.59765625" style="120" customWidth="1"/>
    <col min="8450" max="8452" width="10.59765625" style="120" bestFit="1" customWidth="1"/>
    <col min="8453" max="8704" width="8.73046875" style="120"/>
    <col min="8705" max="8705" width="39.59765625" style="120" customWidth="1"/>
    <col min="8706" max="8708" width="10.59765625" style="120" bestFit="1" customWidth="1"/>
    <col min="8709" max="8960" width="8.73046875" style="120"/>
    <col min="8961" max="8961" width="39.59765625" style="120" customWidth="1"/>
    <col min="8962" max="8964" width="10.59765625" style="120" bestFit="1" customWidth="1"/>
    <col min="8965" max="9216" width="8.73046875" style="120"/>
    <col min="9217" max="9217" width="39.59765625" style="120" customWidth="1"/>
    <col min="9218" max="9220" width="10.59765625" style="120" bestFit="1" customWidth="1"/>
    <col min="9221" max="9472" width="8.73046875" style="120"/>
    <col min="9473" max="9473" width="39.59765625" style="120" customWidth="1"/>
    <col min="9474" max="9476" width="10.59765625" style="120" bestFit="1" customWidth="1"/>
    <col min="9477" max="9728" width="8.73046875" style="120"/>
    <col min="9729" max="9729" width="39.59765625" style="120" customWidth="1"/>
    <col min="9730" max="9732" width="10.59765625" style="120" bestFit="1" customWidth="1"/>
    <col min="9733" max="9984" width="8.73046875" style="120"/>
    <col min="9985" max="9985" width="39.59765625" style="120" customWidth="1"/>
    <col min="9986" max="9988" width="10.59765625" style="120" bestFit="1" customWidth="1"/>
    <col min="9989" max="10240" width="8.73046875" style="120"/>
    <col min="10241" max="10241" width="39.59765625" style="120" customWidth="1"/>
    <col min="10242" max="10244" width="10.59765625" style="120" bestFit="1" customWidth="1"/>
    <col min="10245" max="10496" width="8.73046875" style="120"/>
    <col min="10497" max="10497" width="39.59765625" style="120" customWidth="1"/>
    <col min="10498" max="10500" width="10.59765625" style="120" bestFit="1" customWidth="1"/>
    <col min="10501" max="10752" width="8.73046875" style="120"/>
    <col min="10753" max="10753" width="39.59765625" style="120" customWidth="1"/>
    <col min="10754" max="10756" width="10.59765625" style="120" bestFit="1" customWidth="1"/>
    <col min="10757" max="11008" width="8.73046875" style="120"/>
    <col min="11009" max="11009" width="39.59765625" style="120" customWidth="1"/>
    <col min="11010" max="11012" width="10.59765625" style="120" bestFit="1" customWidth="1"/>
    <col min="11013" max="11264" width="8.73046875" style="120"/>
    <col min="11265" max="11265" width="39.59765625" style="120" customWidth="1"/>
    <col min="11266" max="11268" width="10.59765625" style="120" bestFit="1" customWidth="1"/>
    <col min="11269" max="11520" width="8.73046875" style="120"/>
    <col min="11521" max="11521" width="39.59765625" style="120" customWidth="1"/>
    <col min="11522" max="11524" width="10.59765625" style="120" bestFit="1" customWidth="1"/>
    <col min="11525" max="11776" width="8.73046875" style="120"/>
    <col min="11777" max="11777" width="39.59765625" style="120" customWidth="1"/>
    <col min="11778" max="11780" width="10.59765625" style="120" bestFit="1" customWidth="1"/>
    <col min="11781" max="12032" width="8.73046875" style="120"/>
    <col min="12033" max="12033" width="39.59765625" style="120" customWidth="1"/>
    <col min="12034" max="12036" width="10.59765625" style="120" bestFit="1" customWidth="1"/>
    <col min="12037" max="12288" width="8.73046875" style="120"/>
    <col min="12289" max="12289" width="39.59765625" style="120" customWidth="1"/>
    <col min="12290" max="12292" width="10.59765625" style="120" bestFit="1" customWidth="1"/>
    <col min="12293" max="12544" width="8.73046875" style="120"/>
    <col min="12545" max="12545" width="39.59765625" style="120" customWidth="1"/>
    <col min="12546" max="12548" width="10.59765625" style="120" bestFit="1" customWidth="1"/>
    <col min="12549" max="12800" width="8.73046875" style="120"/>
    <col min="12801" max="12801" width="39.59765625" style="120" customWidth="1"/>
    <col min="12802" max="12804" width="10.59765625" style="120" bestFit="1" customWidth="1"/>
    <col min="12805" max="13056" width="8.73046875" style="120"/>
    <col min="13057" max="13057" width="39.59765625" style="120" customWidth="1"/>
    <col min="13058" max="13060" width="10.59765625" style="120" bestFit="1" customWidth="1"/>
    <col min="13061" max="13312" width="8.73046875" style="120"/>
    <col min="13313" max="13313" width="39.59765625" style="120" customWidth="1"/>
    <col min="13314" max="13316" width="10.59765625" style="120" bestFit="1" customWidth="1"/>
    <col min="13317" max="13568" width="8.73046875" style="120"/>
    <col min="13569" max="13569" width="39.59765625" style="120" customWidth="1"/>
    <col min="13570" max="13572" width="10.59765625" style="120" bestFit="1" customWidth="1"/>
    <col min="13573" max="13824" width="8.73046875" style="120"/>
    <col min="13825" max="13825" width="39.59765625" style="120" customWidth="1"/>
    <col min="13826" max="13828" width="10.59765625" style="120" bestFit="1" customWidth="1"/>
    <col min="13829" max="14080" width="8.73046875" style="120"/>
    <col min="14081" max="14081" width="39.59765625" style="120" customWidth="1"/>
    <col min="14082" max="14084" width="10.59765625" style="120" bestFit="1" customWidth="1"/>
    <col min="14085" max="14336" width="8.73046875" style="120"/>
    <col min="14337" max="14337" width="39.59765625" style="120" customWidth="1"/>
    <col min="14338" max="14340" width="10.59765625" style="120" bestFit="1" customWidth="1"/>
    <col min="14341" max="14592" width="8.73046875" style="120"/>
    <col min="14593" max="14593" width="39.59765625" style="120" customWidth="1"/>
    <col min="14594" max="14596" width="10.59765625" style="120" bestFit="1" customWidth="1"/>
    <col min="14597" max="14848" width="8.73046875" style="120"/>
    <col min="14849" max="14849" width="39.59765625" style="120" customWidth="1"/>
    <col min="14850" max="14852" width="10.59765625" style="120" bestFit="1" customWidth="1"/>
    <col min="14853" max="15104" width="8.73046875" style="120"/>
    <col min="15105" max="15105" width="39.59765625" style="120" customWidth="1"/>
    <col min="15106" max="15108" width="10.59765625" style="120" bestFit="1" customWidth="1"/>
    <col min="15109" max="15360" width="8.73046875" style="120"/>
    <col min="15361" max="15361" width="39.59765625" style="120" customWidth="1"/>
    <col min="15362" max="15364" width="10.59765625" style="120" bestFit="1" customWidth="1"/>
    <col min="15365" max="15616" width="8.73046875" style="120"/>
    <col min="15617" max="15617" width="39.59765625" style="120" customWidth="1"/>
    <col min="15618" max="15620" width="10.59765625" style="120" bestFit="1" customWidth="1"/>
    <col min="15621" max="15872" width="8.73046875" style="120"/>
    <col min="15873" max="15873" width="39.59765625" style="120" customWidth="1"/>
    <col min="15874" max="15876" width="10.59765625" style="120" bestFit="1" customWidth="1"/>
    <col min="15877" max="16128" width="8.73046875" style="120"/>
    <col min="16129" max="16129" width="39.59765625" style="120" customWidth="1"/>
    <col min="16130" max="16132" width="10.59765625" style="120" bestFit="1" customWidth="1"/>
    <col min="16133" max="16384" width="8.73046875" style="120"/>
  </cols>
  <sheetData>
    <row r="3" spans="1:4">
      <c r="B3" s="120">
        <v>2018</v>
      </c>
      <c r="C3" s="120">
        <v>2017</v>
      </c>
      <c r="D3" s="120">
        <v>2016</v>
      </c>
    </row>
    <row r="4" spans="1:4">
      <c r="A4" s="120" t="s">
        <v>229</v>
      </c>
      <c r="B4" s="120">
        <v>72951</v>
      </c>
      <c r="C4" s="120">
        <v>38219</v>
      </c>
      <c r="D4" s="120">
        <v>6769</v>
      </c>
    </row>
    <row r="5" spans="1:4">
      <c r="A5" s="120" t="s">
        <v>230</v>
      </c>
      <c r="B5" s="120">
        <f>C5+B4</f>
        <v>117939</v>
      </c>
      <c r="C5" s="120">
        <v>44988</v>
      </c>
      <c r="D5" s="120">
        <v>6769</v>
      </c>
    </row>
    <row r="6" spans="1:4">
      <c r="B6" s="120">
        <v>0.21</v>
      </c>
      <c r="C6" s="120">
        <v>0.21</v>
      </c>
      <c r="D6" s="120">
        <v>0.34</v>
      </c>
    </row>
    <row r="7" spans="1:4">
      <c r="B7" s="120">
        <f>B4*B6</f>
        <v>15319.71</v>
      </c>
      <c r="C7" s="120">
        <f>C4*C6</f>
        <v>8025.99</v>
      </c>
      <c r="D7" s="120">
        <f>D4*D6</f>
        <v>2301.46</v>
      </c>
    </row>
    <row r="9" spans="1:4">
      <c r="A9" s="120" t="s">
        <v>231</v>
      </c>
    </row>
    <row r="11" spans="1:4">
      <c r="A11" s="120" t="s">
        <v>232</v>
      </c>
    </row>
    <row r="12" spans="1:4">
      <c r="B12" s="222">
        <v>43465</v>
      </c>
      <c r="C12" s="222">
        <v>43100</v>
      </c>
      <c r="D12" s="222">
        <v>42735</v>
      </c>
    </row>
    <row r="13" spans="1:4">
      <c r="A13" s="120" t="s">
        <v>233</v>
      </c>
      <c r="B13" s="125">
        <f>B5*B6</f>
        <v>24767.19</v>
      </c>
      <c r="C13" s="125">
        <f>C5*C6</f>
        <v>9447.48</v>
      </c>
      <c r="D13" s="124">
        <f>D7</f>
        <v>2301.46</v>
      </c>
    </row>
    <row r="14" spans="1:4">
      <c r="A14" s="120" t="s">
        <v>234</v>
      </c>
      <c r="B14" s="176">
        <f>-B13</f>
        <v>-24767.19</v>
      </c>
      <c r="C14" s="176">
        <f>-C13</f>
        <v>-9447.48</v>
      </c>
      <c r="D14" s="176">
        <f>-D13</f>
        <v>-2301.46</v>
      </c>
    </row>
    <row r="15" spans="1:4" ht="13.5" thickBot="1">
      <c r="B15" s="223">
        <f>SUM(B13:B14)</f>
        <v>0</v>
      </c>
      <c r="C15" s="223">
        <f>SUM(C13:C14)</f>
        <v>0</v>
      </c>
      <c r="D15" s="224">
        <f>SUM(D13:D14)</f>
        <v>0</v>
      </c>
    </row>
    <row r="16" spans="1:4" ht="13.5" thickTop="1"/>
    <row r="18" spans="1:4">
      <c r="A18" s="120" t="s">
        <v>235</v>
      </c>
    </row>
    <row r="20" spans="1:4">
      <c r="B20" s="222">
        <v>43465</v>
      </c>
      <c r="C20" s="222">
        <v>43100</v>
      </c>
      <c r="D20" s="222">
        <v>42735</v>
      </c>
    </row>
    <row r="21" spans="1:4">
      <c r="A21" s="120" t="s">
        <v>236</v>
      </c>
      <c r="B21" s="125">
        <f>B4*B6</f>
        <v>15319.71</v>
      </c>
      <c r="C21" s="125">
        <f>C4*C6</f>
        <v>8025.99</v>
      </c>
      <c r="D21" s="124">
        <f>D4*D6</f>
        <v>2301.46</v>
      </c>
    </row>
    <row r="22" spans="1:4">
      <c r="A22" s="120" t="s">
        <v>237</v>
      </c>
      <c r="B22" s="124">
        <f>B14-C14</f>
        <v>-15319.71</v>
      </c>
      <c r="C22" s="124">
        <f>C14-D14</f>
        <v>-7146.0199999999995</v>
      </c>
      <c r="D22" s="124">
        <f>-D21</f>
        <v>-2301.46</v>
      </c>
    </row>
    <row r="23" spans="1:4">
      <c r="A23" s="120" t="s">
        <v>238</v>
      </c>
      <c r="B23" s="176">
        <v>0</v>
      </c>
      <c r="C23" s="176">
        <f>-SUM(C21:C22)</f>
        <v>-879.97000000000025</v>
      </c>
      <c r="D23" s="176">
        <v>0</v>
      </c>
    </row>
    <row r="24" spans="1:4" ht="13.5" thickBot="1">
      <c r="B24" s="225">
        <f>SUM(B21:B23)</f>
        <v>0</v>
      </c>
      <c r="C24" s="223">
        <v>0</v>
      </c>
      <c r="D24" s="226">
        <f>SUM(D21:D23)</f>
        <v>0</v>
      </c>
    </row>
    <row r="25" spans="1:4" ht="13.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BS</vt:lpstr>
      <vt:lpstr>IS</vt:lpstr>
      <vt:lpstr>SE</vt:lpstr>
      <vt:lpstr>CF</vt:lpstr>
      <vt:lpstr>CF Worksheet</vt:lpstr>
      <vt:lpstr>Trial Balance</vt:lpstr>
      <vt:lpstr>Weighted</vt:lpstr>
      <vt:lpstr>Interest Expense</vt:lpstr>
      <vt:lpstr>Tax</vt:lpstr>
      <vt:lpstr>TB</vt:lpstr>
      <vt:lpstr>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lular</cp:lastModifiedBy>
  <cp:lastPrinted>2017-01-11T18:41:40Z</cp:lastPrinted>
  <dcterms:created xsi:type="dcterms:W3CDTF">2016-03-03T23:22:43Z</dcterms:created>
  <dcterms:modified xsi:type="dcterms:W3CDTF">2019-11-21T13:44:53Z</dcterms:modified>
</cp:coreProperties>
</file>