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180" firstSheet="3" activeTab="7"/>
  </bookViews>
  <sheets>
    <sheet name="指标汇总表" sheetId="15" r:id="rId1"/>
    <sheet name="Sheet2" sheetId="24" r:id="rId2"/>
    <sheet name="1.历年支出" sheetId="6" r:id="rId3"/>
    <sheet name="2.资本情况" sheetId="3" r:id="rId4"/>
    <sheet name="3.会计报表" sheetId="16" r:id="rId5"/>
    <sheet name="4.收入汇总表" sheetId="21" r:id="rId6"/>
    <sheet name="5.分红明细表" sheetId="22" r:id="rId7"/>
    <sheet name="6.预算-费用表" sheetId="19" r:id="rId8"/>
    <sheet name="7.预算-经理层表" sheetId="18" r:id="rId9"/>
    <sheet name="8.对外投资情况表" sheetId="1" r:id="rId10"/>
    <sheet name="9.现金流表" sheetId="5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AS2DocOpenMode" hidden="1">"AS2DocumentEdit"</definedName>
    <definedName name="bs" localSheetId="4" hidden="1">{#N/A,#N/A,FALSE,"BBPREP"}</definedName>
    <definedName name="bs" hidden="1">{#N/A,#N/A,FALSE,"BBPREP"}</definedName>
    <definedName name="bs_1" localSheetId="4" hidden="1">{#N/A,#N/A,FALSE,"BBPREP"}</definedName>
    <definedName name="bs_1" hidden="1">{#N/A,#N/A,FALSE,"BBPREP"}</definedName>
    <definedName name="FILETYPE">"DANTI"</definedName>
    <definedName name="_xlnm.Print_Area" localSheetId="5">'4.收入汇总表'!$C$2:$O$32</definedName>
    <definedName name="TextRefCopyRangeCount" hidden="1">136</definedName>
    <definedName name="XBASESDCOL" localSheetId="4">#REF!</definedName>
    <definedName name="XBASESDCOL">#REF!</definedName>
    <definedName name="XJLLCODECOL" localSheetId="4">#REF!</definedName>
    <definedName name="XJLLCODECOL">#REF!</definedName>
    <definedName name="XJLLSDCOL" localSheetId="4">#REF!</definedName>
    <definedName name="XJLLSDCOL">#REF!</definedName>
    <definedName name="XREF_COLUMN_1" localSheetId="4" hidden="1">#REF!</definedName>
    <definedName name="XREF_COLUMN_1" hidden="1">#REF!</definedName>
    <definedName name="XREF_COLUMN_2" localSheetId="4" hidden="1">[1]Breakdown!#REF!</definedName>
    <definedName name="XREF_COLUMN_2" hidden="1">[1]Breakdown!#REF!</definedName>
    <definedName name="XREF_COLUMN_3" localSheetId="4" hidden="1">#REF!</definedName>
    <definedName name="XREF_COLUMN_3" hidden="1">#REF!</definedName>
    <definedName name="XREF_COLUMN_5" localSheetId="4" hidden="1">'[2]2004'!#REF!</definedName>
    <definedName name="XREF_COLUMN_5" hidden="1">'[2]2004'!#REF!</definedName>
    <definedName name="XRefActiveRow" localSheetId="4" hidden="1">#REF!</definedName>
    <definedName name="XRefActiveRow" hidden="1">#REF!</definedName>
    <definedName name="XRefColumnsCount" hidden="1">2</definedName>
    <definedName name="XRefCopy1" localSheetId="4" hidden="1">#REF!</definedName>
    <definedName name="XRefCopy1" hidden="1">#REF!</definedName>
    <definedName name="XRefCopy1Row" localSheetId="4" hidden="1">#REF!</definedName>
    <definedName name="XRefCopy1Row" hidden="1">#REF!</definedName>
    <definedName name="XRefCopy2Row" localSheetId="4" hidden="1">#REF!</definedName>
    <definedName name="XRefCopy2Row" hidden="1">#REF!</definedName>
    <definedName name="XRefCopyRangeCount" hidden="1">2</definedName>
    <definedName name="XRefPaste1" localSheetId="4" hidden="1">#REF!</definedName>
    <definedName name="XRefPaste1" hidden="1">#REF!</definedName>
    <definedName name="XRefPaste1Row" localSheetId="4" hidden="1">#REF!</definedName>
    <definedName name="XRefPaste1Row" hidden="1">#REF!</definedName>
    <definedName name="XRefPaste2" localSheetId="4" hidden="1">#REF!</definedName>
    <definedName name="XRefPaste2" hidden="1">#REF!</definedName>
    <definedName name="XRefPaste2Row" localSheetId="4" hidden="1">#REF!</definedName>
    <definedName name="XRefPaste2Row" hidden="1">#REF!</definedName>
    <definedName name="XRefPaste3" localSheetId="4" hidden="1">#REF!</definedName>
    <definedName name="XRefPaste3" hidden="1">#REF!</definedName>
    <definedName name="XRefPaste3Row" localSheetId="4" hidden="1">#REF!</definedName>
    <definedName name="XRefPaste3Row" hidden="1">#REF!</definedName>
    <definedName name="XRefPasteRangeCount" hidden="1">2</definedName>
    <definedName name="本年调整贷方">'[3]2013调整分录'!$H$7:$H$133</definedName>
    <definedName name="本年调整借方">'[3]2013调整分录'!$G$7:$G$133</definedName>
    <definedName name="本年调整项目">'[3]2013调整分录'!$D$7:$D$133</definedName>
    <definedName name="本循环科目" hidden="1">[4]索引!$D$15:$D$76</definedName>
    <definedName name="编制">[5]表头!$B$8</definedName>
    <definedName name="调整贷方2009">'[3]2009调整分录'!$H$7:$H$124</definedName>
    <definedName name="调整借方2009">'[3]2009调整分录'!$G$7:$G$124</definedName>
    <definedName name="调整类别">[6]试算!$C$7:$E$7</definedName>
    <definedName name="调整项目2009">'[3]2009调整分录'!$D$7:$D$124</definedName>
    <definedName name="复核">[5]表头!$B$9</definedName>
    <definedName name="关联交易">[6]试算!$A$9:$A$217</definedName>
    <definedName name="会计制度">1</definedName>
    <definedName name="截止">[5]表头!$B$7</definedName>
    <definedName name="客户">[5]表头!$B$6</definedName>
    <definedName name="日期1">[5]表头!$B$10</definedName>
    <definedName name="日期2">[5]表头!$B$11</definedName>
    <definedName name="上年调整贷方">'[3]2012调整分录'!$H$7:$H$124</definedName>
    <definedName name="上年调整借方">'[3]2012调整分录'!$G$7:$G$124</definedName>
    <definedName name="上年调整项目">'[3]2012调整分录'!$D$7:$D$124</definedName>
    <definedName name="审计调整类别">[3]项目索引!$D$3:$D$17</definedName>
    <definedName name="试算科目">[6]试算!$A$9:$A$189</definedName>
    <definedName name="所处行业">1</definedName>
    <definedName name="主表项目">[3]项目索引!$B$3:$B$232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N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上海基金公司项目管理费（上海中南源地股权投资基金管理有限公司）
</t>
        </r>
      </text>
    </comment>
    <comment ref="O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房租
</t>
        </r>
      </text>
    </comment>
    <comment ref="L1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镇江杭溪收入
</t>
        </r>
      </text>
    </comment>
    <comment ref="K1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补做2016年鸿升达收益
</t>
        </r>
      </text>
    </comment>
    <comment ref="L1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补做2016年鸿升达收益</t>
        </r>
      </text>
    </comment>
    <comment ref="M1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鸿升达</t>
        </r>
      </text>
    </comment>
    <comment ref="J2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收回金雪坏账685万、调整以前年度收益136万
</t>
        </r>
      </text>
    </comment>
    <comment ref="L2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向利兴华销售电梯
</t>
        </r>
      </text>
    </comment>
    <comment ref="P21" authorId="0">
      <text>
        <r>
          <rPr>
            <b/>
            <sz val="9"/>
            <rFont val="宋体"/>
            <charset val="134"/>
          </rPr>
          <t xml:space="preserve">仙女:调整以前年度土地款
</t>
        </r>
      </text>
    </comment>
    <comment ref="F2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差异894万（增加2017年销售利兴华电梯514万，调增2015年销售小老板土地339万，2013年调增2012年土地款返还14.5万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H7" authorId="0">
      <text>
        <r>
          <rPr>
            <b/>
            <sz val="9"/>
            <rFont val="宋体"/>
            <charset val="134"/>
          </rPr>
          <t xml:space="preserve">作者:
2021.09收506.38万元
</t>
        </r>
      </text>
    </comment>
    <comment ref="H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款项尚未收到</t>
        </r>
      </text>
    </comment>
  </commentList>
</comments>
</file>

<file path=xl/sharedStrings.xml><?xml version="1.0" encoding="utf-8"?>
<sst xmlns="http://schemas.openxmlformats.org/spreadsheetml/2006/main" count="358">
  <si>
    <t>季度更新类指标：</t>
  </si>
  <si>
    <t>指标取数</t>
  </si>
  <si>
    <t>表格</t>
  </si>
  <si>
    <t>1、累计支出情况</t>
  </si>
  <si>
    <t>2013-20XX年</t>
  </si>
  <si>
    <t>控股累计支出【指标1】亿，</t>
  </si>
  <si>
    <t>指标1</t>
  </si>
  <si>
    <t>1.历年支出</t>
  </si>
  <si>
    <t>城投累计支出【指标2】亿，</t>
  </si>
  <si>
    <t>指标2</t>
  </si>
  <si>
    <t>合计支出【指标3】亿。</t>
  </si>
  <si>
    <t>指标3</t>
  </si>
  <si>
    <t>2、资本情况</t>
  </si>
  <si>
    <t>控股自有资金【指标4】亿，外部融资【指标5】亿，占用产业资金【指标6】亿，合计投入【指标7】亿。其中用于历年费用支出【指标8】亿，形成资产【指标9】亿。</t>
  </si>
  <si>
    <t>指标4</t>
  </si>
  <si>
    <t>2.资本情况</t>
  </si>
  <si>
    <t>指标5</t>
  </si>
  <si>
    <t>指标6</t>
  </si>
  <si>
    <t>指标7</t>
  </si>
  <si>
    <t>指标8</t>
  </si>
  <si>
    <t>指标9</t>
  </si>
  <si>
    <t>城投自有资金【指标10】亿，外部融资【指标11】亿，占用产业资金【指标12】亿，合计投入【指标13】亿。其中用于历年费用支出【指标14】亿，形成资产【指标15】亿。</t>
  </si>
  <si>
    <t>指标10</t>
  </si>
  <si>
    <t>指标11</t>
  </si>
  <si>
    <t>指标12</t>
  </si>
  <si>
    <t>指标13</t>
  </si>
  <si>
    <t>指标14</t>
  </si>
  <si>
    <t>指标15</t>
  </si>
  <si>
    <t>月度更新类指标：</t>
  </si>
  <si>
    <t>3、会计报表情况：</t>
  </si>
  <si>
    <t>1）截止20XX年X月，控股母公司的会计盈利【指标16】亿。其中：</t>
  </si>
  <si>
    <t>指标16</t>
  </si>
  <si>
    <t>3.会计报表</t>
  </si>
  <si>
    <t>各项收入【指标17】亿，主要为【手填】。</t>
  </si>
  <si>
    <t>指标17</t>
  </si>
  <si>
    <t>各项支出【指标18】亿，主要为:【手填】</t>
  </si>
  <si>
    <t>指标18</t>
  </si>
  <si>
    <t>管理费用【指标19】亿,变动原因：【手填】。</t>
  </si>
  <si>
    <t>指标19</t>
  </si>
  <si>
    <t>2）截止20XX年X月，城投公司的会计利润/（亏损）为【指标20】亿。其中：投资收益【指标21】亿，财务费用【指标22】亿。</t>
  </si>
  <si>
    <t>指标20</t>
  </si>
  <si>
    <t>指标21</t>
  </si>
  <si>
    <t>指标22</t>
  </si>
  <si>
    <t>合计截止20XX年X月的会计亏损【指标23】亿。</t>
  </si>
  <si>
    <t>指标23</t>
  </si>
  <si>
    <t>4、收入情况</t>
  </si>
  <si>
    <t>1）截止20XX年X月，控股及城投收入合计【指标24】亿，主要为：</t>
  </si>
  <si>
    <t>指标24</t>
  </si>
  <si>
    <t>4.收入汇总表</t>
  </si>
  <si>
    <t>①投资收益【指标25】亿 ，主要为：【手填】。</t>
  </si>
  <si>
    <t>指标25</t>
  </si>
  <si>
    <t>②借款利息【指标26】亿，主要为：【手填】。</t>
  </si>
  <si>
    <t>指标26</t>
  </si>
  <si>
    <t>③担保费【指标27】亿，主要为：【手填】。</t>
  </si>
  <si>
    <t>指标27</t>
  </si>
  <si>
    <t>④分红【指标28】亿，主要为：【手填】。</t>
  </si>
  <si>
    <t>指标28</t>
  </si>
  <si>
    <t>5、分红情况</t>
  </si>
  <si>
    <t>1）截止20XX年X月，控股共收到账面分红为【指标29】万，主要为【手填】。</t>
  </si>
  <si>
    <t>指标29</t>
  </si>
  <si>
    <t>5.分红明细表</t>
  </si>
  <si>
    <t>2）截止20XX年X月，城投共收到账面分红【指标30】万，主要为【手填】。</t>
  </si>
  <si>
    <t>指标30</t>
  </si>
  <si>
    <t>6、预算情况</t>
  </si>
  <si>
    <t>截止20XX年X月，各部门预算数【指标31】亿，实际发生数【指标32】亿，执行率【指标33】%。由于：【手填】。</t>
  </si>
  <si>
    <t>指标31</t>
  </si>
  <si>
    <t>6.预算-费用表</t>
  </si>
  <si>
    <t>指标32</t>
  </si>
  <si>
    <t>指标33</t>
  </si>
  <si>
    <t>截止20XX年X月，控股经理层预算数【指标34】万，实际发生数【指标35】万，执行率【指标36】%。</t>
  </si>
  <si>
    <t>指标34</t>
  </si>
  <si>
    <t>7.预算-经理层表</t>
  </si>
  <si>
    <t>指标35</t>
  </si>
  <si>
    <t>指标36</t>
  </si>
  <si>
    <t>7、对外投资情况</t>
  </si>
  <si>
    <t>截止20XX年X月，控股及城投合计股权投资【指标37】亿，债权投资【指标38】亿，投资的留存收益【指标39】亿，合计投入【指标40】亿。</t>
  </si>
  <si>
    <t>指标37</t>
  </si>
  <si>
    <t>8.对外投资情况表</t>
  </si>
  <si>
    <t>指标38</t>
  </si>
  <si>
    <t>指标39</t>
  </si>
  <si>
    <t>指标40</t>
  </si>
  <si>
    <t>8、现金流情况</t>
  </si>
  <si>
    <t>截止20XX年X月，母公司现金净流出【指标41】亿，经营现金净流出【指标42】亿，融资净流出【指标43】亿，投资净流出【指标44】亿，货币资金余额【指标45】。</t>
  </si>
  <si>
    <t>指标41</t>
  </si>
  <si>
    <t>9.现金流表</t>
  </si>
  <si>
    <t>指标42</t>
  </si>
  <si>
    <t>指标43</t>
  </si>
  <si>
    <t>指标44</t>
  </si>
  <si>
    <t>指标45</t>
  </si>
  <si>
    <t>预计20XX年母公司现金净流出【指标46】亿，经营现金净流出【指标47】亿，融资净流出【指标48】亿，投资净流出【指标49】亿，资金缺口/盈余【指标50】亿。</t>
  </si>
  <si>
    <t>指标46</t>
  </si>
  <si>
    <t>指标47</t>
  </si>
  <si>
    <t>指标48</t>
  </si>
  <si>
    <t>指标49</t>
  </si>
  <si>
    <t>指标50</t>
  </si>
  <si>
    <t>单位：万元</t>
  </si>
  <si>
    <r>
      <rPr>
        <b/>
        <sz val="11"/>
        <color indexed="8"/>
        <rFont val="微软雅黑"/>
        <charset val="134"/>
      </rPr>
      <t>支出项目</t>
    </r>
  </si>
  <si>
    <r>
      <rPr>
        <b/>
        <sz val="11"/>
        <color indexed="8"/>
        <rFont val="Times New Roman"/>
        <charset val="134"/>
      </rPr>
      <t>2022</t>
    </r>
    <r>
      <rPr>
        <b/>
        <sz val="11"/>
        <color indexed="8"/>
        <rFont val="宋体"/>
        <charset val="134"/>
      </rPr>
      <t>年</t>
    </r>
  </si>
  <si>
    <r>
      <rPr>
        <b/>
        <sz val="11"/>
        <color indexed="8"/>
        <rFont val="Times New Roman"/>
        <charset val="134"/>
      </rPr>
      <t>2021</t>
    </r>
    <r>
      <rPr>
        <b/>
        <sz val="11"/>
        <color indexed="8"/>
        <rFont val="微软雅黑"/>
        <charset val="134"/>
      </rPr>
      <t>年</t>
    </r>
  </si>
  <si>
    <r>
      <rPr>
        <b/>
        <sz val="11"/>
        <color indexed="8"/>
        <rFont val="Times New Roman"/>
        <charset val="134"/>
      </rPr>
      <t>2020</t>
    </r>
    <r>
      <rPr>
        <b/>
        <sz val="11"/>
        <color indexed="8"/>
        <rFont val="微软雅黑"/>
        <charset val="134"/>
      </rPr>
      <t>年</t>
    </r>
  </si>
  <si>
    <r>
      <rPr>
        <b/>
        <sz val="11"/>
        <color indexed="8"/>
        <rFont val="Times New Roman"/>
        <charset val="134"/>
      </rPr>
      <t>2019</t>
    </r>
    <r>
      <rPr>
        <b/>
        <sz val="11"/>
        <color indexed="8"/>
        <rFont val="微软雅黑"/>
        <charset val="134"/>
      </rPr>
      <t>年</t>
    </r>
  </si>
  <si>
    <r>
      <rPr>
        <b/>
        <sz val="11"/>
        <color indexed="8"/>
        <rFont val="Times New Roman"/>
        <charset val="134"/>
      </rPr>
      <t>2018</t>
    </r>
    <r>
      <rPr>
        <b/>
        <sz val="11"/>
        <color indexed="8"/>
        <rFont val="微软雅黑"/>
        <charset val="134"/>
      </rPr>
      <t>年</t>
    </r>
  </si>
  <si>
    <r>
      <rPr>
        <b/>
        <sz val="11"/>
        <color indexed="8"/>
        <rFont val="Times New Roman"/>
        <charset val="134"/>
      </rPr>
      <t>2017</t>
    </r>
    <r>
      <rPr>
        <b/>
        <sz val="11"/>
        <color indexed="8"/>
        <rFont val="微软雅黑"/>
        <charset val="134"/>
      </rPr>
      <t>年</t>
    </r>
  </si>
  <si>
    <r>
      <rPr>
        <b/>
        <sz val="11"/>
        <rFont val="Times New Roman"/>
        <charset val="134"/>
      </rPr>
      <t>2016</t>
    </r>
    <r>
      <rPr>
        <b/>
        <sz val="11"/>
        <rFont val="微软雅黑"/>
        <charset val="134"/>
      </rPr>
      <t>年</t>
    </r>
  </si>
  <si>
    <r>
      <rPr>
        <b/>
        <sz val="11"/>
        <color indexed="8"/>
        <rFont val="Times New Roman"/>
        <charset val="134"/>
      </rPr>
      <t>2015</t>
    </r>
    <r>
      <rPr>
        <b/>
        <sz val="11"/>
        <color indexed="8"/>
        <rFont val="微软雅黑"/>
        <charset val="134"/>
      </rPr>
      <t>年</t>
    </r>
  </si>
  <si>
    <r>
      <rPr>
        <b/>
        <sz val="11"/>
        <color indexed="8"/>
        <rFont val="Times New Roman"/>
        <charset val="134"/>
      </rPr>
      <t>2014</t>
    </r>
    <r>
      <rPr>
        <b/>
        <sz val="11"/>
        <color indexed="8"/>
        <rFont val="微软雅黑"/>
        <charset val="134"/>
      </rPr>
      <t>年</t>
    </r>
  </si>
  <si>
    <r>
      <rPr>
        <b/>
        <sz val="11"/>
        <color indexed="8"/>
        <rFont val="Times New Roman"/>
        <charset val="134"/>
      </rPr>
      <t>2013</t>
    </r>
    <r>
      <rPr>
        <b/>
        <sz val="11"/>
        <color indexed="8"/>
        <rFont val="微软雅黑"/>
        <charset val="134"/>
      </rPr>
      <t>年</t>
    </r>
  </si>
  <si>
    <r>
      <rPr>
        <b/>
        <sz val="11"/>
        <color indexed="8"/>
        <rFont val="微软雅黑"/>
        <charset val="134"/>
      </rPr>
      <t>合计</t>
    </r>
  </si>
  <si>
    <r>
      <rPr>
        <b/>
        <sz val="11"/>
        <color theme="1"/>
        <rFont val="微软雅黑"/>
        <charset val="134"/>
      </rPr>
      <t>控股</t>
    </r>
  </si>
  <si>
    <r>
      <rPr>
        <sz val="11"/>
        <color theme="1"/>
        <rFont val="微软雅黑"/>
        <charset val="134"/>
      </rPr>
      <t>营业外支出</t>
    </r>
    <r>
      <rPr>
        <sz val="11"/>
        <color theme="1"/>
        <rFont val="Times New Roman"/>
        <charset val="134"/>
      </rPr>
      <t>(</t>
    </r>
    <r>
      <rPr>
        <sz val="11"/>
        <color theme="1"/>
        <rFont val="微软雅黑"/>
        <charset val="134"/>
      </rPr>
      <t>捐赠等</t>
    </r>
    <r>
      <rPr>
        <sz val="11"/>
        <color theme="1"/>
        <rFont val="Times New Roman"/>
        <charset val="134"/>
      </rPr>
      <t>)</t>
    </r>
  </si>
  <si>
    <r>
      <rPr>
        <sz val="11"/>
        <color theme="1"/>
        <rFont val="微软雅黑"/>
        <charset val="134"/>
      </rPr>
      <t>财务费用</t>
    </r>
  </si>
  <si>
    <r>
      <rPr>
        <sz val="11"/>
        <color theme="1"/>
        <rFont val="微软雅黑"/>
        <charset val="134"/>
      </rPr>
      <t>管理费用</t>
    </r>
    <r>
      <rPr>
        <sz val="11"/>
        <color theme="1"/>
        <rFont val="Times New Roman"/>
        <charset val="134"/>
      </rPr>
      <t>\</t>
    </r>
    <r>
      <rPr>
        <sz val="11"/>
        <color theme="1"/>
        <rFont val="微软雅黑"/>
        <charset val="134"/>
      </rPr>
      <t>工资</t>
    </r>
  </si>
  <si>
    <r>
      <rPr>
        <sz val="11"/>
        <color theme="1"/>
        <rFont val="微软雅黑"/>
        <charset val="134"/>
      </rPr>
      <t>其他</t>
    </r>
  </si>
  <si>
    <r>
      <rPr>
        <sz val="11"/>
        <color theme="1"/>
        <rFont val="微软雅黑"/>
        <charset val="134"/>
      </rPr>
      <t>管理费用</t>
    </r>
    <r>
      <rPr>
        <sz val="11"/>
        <color theme="1"/>
        <rFont val="Times New Roman"/>
        <charset val="134"/>
      </rPr>
      <t>\</t>
    </r>
    <r>
      <rPr>
        <sz val="11"/>
        <color theme="1"/>
        <rFont val="微软雅黑"/>
        <charset val="134"/>
      </rPr>
      <t>评估咨询费</t>
    </r>
  </si>
  <si>
    <r>
      <rPr>
        <sz val="11"/>
        <color theme="1"/>
        <rFont val="微软雅黑"/>
        <charset val="134"/>
      </rPr>
      <t>管理费用</t>
    </r>
    <r>
      <rPr>
        <sz val="11"/>
        <color theme="1"/>
        <rFont val="Times New Roman"/>
        <charset val="134"/>
      </rPr>
      <t>\</t>
    </r>
    <r>
      <rPr>
        <sz val="11"/>
        <color theme="1"/>
        <rFont val="微软雅黑"/>
        <charset val="134"/>
      </rPr>
      <t>折旧</t>
    </r>
  </si>
  <si>
    <r>
      <rPr>
        <sz val="11"/>
        <color theme="1"/>
        <rFont val="微软雅黑"/>
        <charset val="134"/>
      </rPr>
      <t>管理费用</t>
    </r>
    <r>
      <rPr>
        <sz val="11"/>
        <color theme="1"/>
        <rFont val="Times New Roman"/>
        <charset val="134"/>
      </rPr>
      <t>\</t>
    </r>
    <r>
      <rPr>
        <sz val="11"/>
        <color theme="1"/>
        <rFont val="微软雅黑"/>
        <charset val="134"/>
      </rPr>
      <t>办公费</t>
    </r>
  </si>
  <si>
    <r>
      <rPr>
        <sz val="11"/>
        <color theme="1"/>
        <rFont val="微软雅黑"/>
        <charset val="134"/>
      </rPr>
      <t>管理费用</t>
    </r>
    <r>
      <rPr>
        <sz val="11"/>
        <color theme="1"/>
        <rFont val="Times New Roman"/>
        <charset val="134"/>
      </rPr>
      <t>\</t>
    </r>
    <r>
      <rPr>
        <sz val="11"/>
        <color theme="1"/>
        <rFont val="微软雅黑"/>
        <charset val="134"/>
      </rPr>
      <t>业务招待费</t>
    </r>
  </si>
  <si>
    <r>
      <rPr>
        <sz val="11"/>
        <color theme="1"/>
        <rFont val="微软雅黑"/>
        <charset val="134"/>
      </rPr>
      <t>管理费用</t>
    </r>
    <r>
      <rPr>
        <sz val="11"/>
        <color theme="1"/>
        <rFont val="Times New Roman"/>
        <charset val="134"/>
      </rPr>
      <t>\</t>
    </r>
    <r>
      <rPr>
        <sz val="11"/>
        <color theme="1"/>
        <rFont val="微软雅黑"/>
        <charset val="134"/>
      </rPr>
      <t>差旅费</t>
    </r>
  </si>
  <si>
    <r>
      <rPr>
        <sz val="11"/>
        <color theme="1"/>
        <rFont val="微软雅黑"/>
        <charset val="134"/>
      </rPr>
      <t>其他业务成本</t>
    </r>
  </si>
  <si>
    <r>
      <rPr>
        <sz val="11"/>
        <color theme="1"/>
        <rFont val="微软雅黑"/>
        <charset val="134"/>
      </rPr>
      <t>管理费用</t>
    </r>
    <r>
      <rPr>
        <sz val="11"/>
        <color theme="1"/>
        <rFont val="Times New Roman"/>
        <charset val="134"/>
      </rPr>
      <t>\</t>
    </r>
    <r>
      <rPr>
        <sz val="11"/>
        <color theme="1"/>
        <rFont val="微软雅黑"/>
        <charset val="134"/>
      </rPr>
      <t>广告设计费</t>
    </r>
  </si>
  <si>
    <t>指标亿元</t>
  </si>
  <si>
    <r>
      <rPr>
        <b/>
        <sz val="11"/>
        <color theme="1"/>
        <rFont val="微软雅黑"/>
        <charset val="134"/>
      </rPr>
      <t>小计</t>
    </r>
  </si>
  <si>
    <r>
      <rPr>
        <b/>
        <sz val="11"/>
        <color theme="1"/>
        <rFont val="微软雅黑"/>
        <charset val="134"/>
      </rPr>
      <t>城投</t>
    </r>
  </si>
  <si>
    <r>
      <rPr>
        <sz val="11"/>
        <color theme="1"/>
        <rFont val="微软雅黑"/>
        <charset val="134"/>
      </rPr>
      <t>所得税费用</t>
    </r>
  </si>
  <si>
    <t>合计</t>
  </si>
  <si>
    <t>单位</t>
  </si>
  <si>
    <t>1.外部融资</t>
  </si>
  <si>
    <t>2.占用产业
资金</t>
  </si>
  <si>
    <t>A.合计
投入</t>
  </si>
  <si>
    <t>B.历年费用
支出</t>
  </si>
  <si>
    <t>C.资产</t>
  </si>
  <si>
    <t>账面
净资产</t>
  </si>
  <si>
    <t>融资本金</t>
  </si>
  <si>
    <t>融资平均
成本</t>
  </si>
  <si>
    <t>1.自有资金</t>
  </si>
  <si>
    <t>2.长期股权投资</t>
  </si>
  <si>
    <t>3.固定资产</t>
  </si>
  <si>
    <t>小计</t>
  </si>
  <si>
    <t>控股</t>
  </si>
  <si>
    <t>城投</t>
  </si>
  <si>
    <t>指标：亿元</t>
  </si>
  <si>
    <t>I7</t>
  </si>
  <si>
    <t>E7</t>
  </si>
  <si>
    <t>G7</t>
  </si>
  <si>
    <t>H7</t>
  </si>
  <si>
    <t>L7</t>
  </si>
  <si>
    <t>I8</t>
  </si>
  <si>
    <t>E8</t>
  </si>
  <si>
    <t>G8</t>
  </si>
  <si>
    <t>H8</t>
  </si>
  <si>
    <t>L8</t>
  </si>
  <si>
    <t>科目</t>
  </si>
  <si>
    <t>2022年</t>
  </si>
  <si>
    <t>2021年</t>
  </si>
  <si>
    <t>同比</t>
  </si>
  <si>
    <t>营业收入</t>
  </si>
  <si>
    <t>-</t>
  </si>
  <si>
    <t>投资收益</t>
  </si>
  <si>
    <t>其他收益</t>
  </si>
  <si>
    <t>各项收入</t>
  </si>
  <si>
    <t>营业外收入</t>
  </si>
  <si>
    <t>营业支出</t>
  </si>
  <si>
    <t>管理费用</t>
  </si>
  <si>
    <t>财务费用</t>
  </si>
  <si>
    <t>税金及附加</t>
  </si>
  <si>
    <t>营业外及其他支出</t>
  </si>
  <si>
    <t>所得税</t>
  </si>
  <si>
    <t>各项支出</t>
  </si>
  <si>
    <t>当年净利润</t>
  </si>
  <si>
    <t>合计亏损</t>
  </si>
  <si>
    <t>期末未分配利润</t>
  </si>
  <si>
    <t>E14</t>
  </si>
  <si>
    <t>C7</t>
  </si>
  <si>
    <t>C14</t>
  </si>
  <si>
    <t>E9</t>
  </si>
  <si>
    <t>H14</t>
  </si>
  <si>
    <t>H5</t>
  </si>
  <si>
    <t>H10</t>
  </si>
  <si>
    <t>C15</t>
  </si>
  <si>
    <r>
      <rPr>
        <b/>
        <sz val="20"/>
        <color theme="1"/>
        <rFont val="等线"/>
        <charset val="134"/>
      </rPr>
      <t xml:space="preserve">2013-2022年中南母公司收入情况
                                             </t>
    </r>
    <r>
      <rPr>
        <b/>
        <sz val="11"/>
        <color theme="1"/>
        <rFont val="等线"/>
        <charset val="134"/>
      </rPr>
      <t xml:space="preserve"> </t>
    </r>
    <r>
      <rPr>
        <sz val="11"/>
        <color theme="1"/>
        <rFont val="等线"/>
        <charset val="134"/>
      </rPr>
      <t>单位：万元</t>
    </r>
  </si>
  <si>
    <t>序号</t>
  </si>
  <si>
    <t>类别</t>
  </si>
  <si>
    <t>汇总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</si>
  <si>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</si>
  <si>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</si>
  <si>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</si>
  <si>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</si>
  <si>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</si>
  <si>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</si>
  <si>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</si>
  <si>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</si>
  <si>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担保费对外</t>
  </si>
  <si>
    <t>利息</t>
  </si>
  <si>
    <t>管理费</t>
  </si>
  <si>
    <t>分红</t>
  </si>
  <si>
    <t>税收奖励</t>
  </si>
  <si>
    <t>高抛低吸</t>
  </si>
  <si>
    <t>租金</t>
  </si>
  <si>
    <t>累         计</t>
  </si>
  <si>
    <t>管理费及其他</t>
  </si>
  <si>
    <t>税收奖励及政府补助</t>
  </si>
  <si>
    <t>其他收入</t>
  </si>
  <si>
    <t>G12</t>
  </si>
  <si>
    <t>G5</t>
  </si>
  <si>
    <t>G4</t>
  </si>
  <si>
    <t>单位万元</t>
  </si>
  <si>
    <t>主体单位</t>
  </si>
  <si>
    <t>客商</t>
  </si>
  <si>
    <t>备注</t>
  </si>
  <si>
    <t>中南控股</t>
  </si>
  <si>
    <t>海门市中南融通农村小额贷款有限公司</t>
  </si>
  <si>
    <t>江苏南通农村商业银行股份有限公司</t>
  </si>
  <si>
    <t>江苏金创信用再担保股份有限公司</t>
  </si>
  <si>
    <t>江苏建银商业保理有限公司</t>
  </si>
  <si>
    <t>款项尚未收到</t>
  </si>
  <si>
    <t>国信锦城融资租赁有限公司</t>
  </si>
  <si>
    <t>中南控股集团（上海）资产管理有限公司</t>
  </si>
  <si>
    <t>中南城投</t>
  </si>
  <si>
    <t>江苏中南建设集团有限公司</t>
  </si>
  <si>
    <t>资金模拟分红</t>
  </si>
  <si>
    <t>中南装饰</t>
  </si>
  <si>
    <t>指标：万元</t>
  </si>
  <si>
    <t>控股分红</t>
  </si>
  <si>
    <t>F19</t>
  </si>
  <si>
    <t>城投分红</t>
  </si>
  <si>
    <t>F11</t>
  </si>
  <si>
    <t>费用类别</t>
  </si>
  <si>
    <t>全年累计
执行数</t>
  </si>
  <si>
    <t>1-X月累计
预算数</t>
  </si>
  <si>
    <t>1-X月累计
执行率</t>
  </si>
  <si>
    <t>全年预算数</t>
  </si>
  <si>
    <t>全年累计
执行比率</t>
  </si>
  <si>
    <t>单位元</t>
  </si>
  <si>
    <t>D</t>
  </si>
  <si>
    <t>E</t>
  </si>
  <si>
    <t>D/E(%)</t>
  </si>
  <si>
    <t>F</t>
  </si>
  <si>
    <t>D/F(%)</t>
  </si>
  <si>
    <t>办公费</t>
  </si>
  <si>
    <t>邮电通讯费</t>
  </si>
  <si>
    <t>业务招待费</t>
  </si>
  <si>
    <t>差旅费</t>
  </si>
  <si>
    <t>汽车费用</t>
  </si>
  <si>
    <t>水电费</t>
  </si>
  <si>
    <t>职工薪酬</t>
  </si>
  <si>
    <t>培训费</t>
  </si>
  <si>
    <t>评估咨询费</t>
  </si>
  <si>
    <t>会务费</t>
  </si>
  <si>
    <t>人事费用</t>
  </si>
  <si>
    <t>广告设计费</t>
  </si>
  <si>
    <t>诉讼费</t>
  </si>
  <si>
    <t>维修费</t>
  </si>
  <si>
    <t>专项费用</t>
  </si>
  <si>
    <t>固定资产</t>
  </si>
  <si>
    <t>在建工程</t>
  </si>
  <si>
    <t>折旧</t>
  </si>
  <si>
    <t>费用合计</t>
  </si>
  <si>
    <t>C21</t>
  </si>
  <si>
    <t>B21</t>
  </si>
  <si>
    <t>D21</t>
  </si>
  <si>
    <t>经理层名称</t>
  </si>
  <si>
    <t>全年累计执行数</t>
  </si>
  <si>
    <t>1-X月累计预算数</t>
  </si>
  <si>
    <t>1-X月累计执行率</t>
  </si>
  <si>
    <t>全年累计执行比率</t>
  </si>
  <si>
    <t>陈锦石</t>
  </si>
  <si>
    <t>邱泽勇</t>
  </si>
  <si>
    <t>冯亚军</t>
  </si>
  <si>
    <t>钱军</t>
  </si>
  <si>
    <t>张剑兵</t>
  </si>
  <si>
    <t>陆亚行</t>
  </si>
  <si>
    <t>陆建忠</t>
  </si>
  <si>
    <t>柏利忠</t>
  </si>
  <si>
    <t>沈兵</t>
  </si>
  <si>
    <t>施锦华</t>
  </si>
  <si>
    <t>智刚</t>
  </si>
  <si>
    <t>曹永忠</t>
  </si>
  <si>
    <t>李晓辉</t>
  </si>
  <si>
    <t>蒋炳发</t>
  </si>
  <si>
    <t>经理层费用小计</t>
  </si>
  <si>
    <t>C17</t>
  </si>
  <si>
    <t>B17</t>
  </si>
  <si>
    <t>D17</t>
  </si>
  <si>
    <t>1.股权</t>
  </si>
  <si>
    <t>2.债权</t>
  </si>
  <si>
    <t>3.留存收益</t>
  </si>
  <si>
    <t>贡献资金</t>
  </si>
  <si>
    <t>已分红\上交款</t>
  </si>
  <si>
    <t>投资回报率
（年化）</t>
  </si>
  <si>
    <t>股权本金</t>
  </si>
  <si>
    <t>应收股息</t>
  </si>
  <si>
    <t>债权</t>
  </si>
  <si>
    <t>应收债息</t>
  </si>
  <si>
    <t>上市公司</t>
  </si>
  <si>
    <t>中南高科</t>
  </si>
  <si>
    <t>中南土木</t>
  </si>
  <si>
    <t>中南工业</t>
  </si>
  <si>
    <t>中南金融</t>
  </si>
  <si>
    <t>中南资本</t>
  </si>
  <si>
    <t>中南教育</t>
  </si>
  <si>
    <t>合伙公司</t>
  </si>
  <si>
    <t>其他公司</t>
  </si>
  <si>
    <t>股权投资</t>
  </si>
  <si>
    <t>债权投资</t>
  </si>
  <si>
    <t>C16</t>
  </si>
  <si>
    <t>F16</t>
  </si>
  <si>
    <t>G15</t>
  </si>
  <si>
    <t>H15</t>
  </si>
  <si>
    <t>收支项目</t>
  </si>
  <si>
    <t>全年合计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</si>
  <si>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</si>
  <si>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</si>
  <si>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</si>
  <si>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</si>
  <si>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</si>
  <si>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</si>
  <si>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</si>
  <si>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</si>
  <si>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</si>
  <si>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</si>
  <si>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</si>
  <si>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</si>
  <si>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期初现金余额</t>
  </si>
  <si>
    <t xml:space="preserve">  一、经营现金净流入</t>
  </si>
  <si>
    <t xml:space="preserve">    1.经营现金流入</t>
  </si>
  <si>
    <t xml:space="preserve">         分红</t>
  </si>
  <si>
    <t xml:space="preserve">         分摊管理费</t>
  </si>
  <si>
    <t>分摊折旧265万，无现金流</t>
  </si>
  <si>
    <t xml:space="preserve">         收担保费</t>
  </si>
  <si>
    <t xml:space="preserve">         利息分摊收入</t>
  </si>
  <si>
    <t xml:space="preserve">         诉讼收入</t>
  </si>
  <si>
    <t xml:space="preserve">         租金</t>
  </si>
  <si>
    <t xml:space="preserve">    2.经营现金流出(付现费用支出）</t>
  </si>
  <si>
    <t xml:space="preserve">  二、融资现金净流出</t>
  </si>
  <si>
    <t xml:space="preserve">    1.短期借款</t>
  </si>
  <si>
    <t xml:space="preserve">    2.短期流贷</t>
  </si>
  <si>
    <t xml:space="preserve">    3.金交所借款</t>
  </si>
  <si>
    <t xml:space="preserve">    4.支付利息</t>
  </si>
  <si>
    <t xml:space="preserve">  三、投资现金净流出(新兴产业)</t>
  </si>
  <si>
    <t xml:space="preserve">期末现金余额(控股） </t>
  </si>
  <si>
    <t xml:space="preserve">产业向控股借款净流出 </t>
  </si>
  <si>
    <r>
      <rPr>
        <b/>
        <sz val="12"/>
        <color theme="1"/>
        <rFont val="微软雅黑"/>
        <charset val="134"/>
      </rPr>
      <t>期末现金余额</t>
    </r>
    <r>
      <rPr>
        <b/>
        <sz val="12"/>
        <color rgb="FFCC3300"/>
        <rFont val="微软雅黑"/>
        <charset val="134"/>
      </rPr>
      <t>(资金缺口）</t>
    </r>
  </si>
  <si>
    <t>现金净流出</t>
  </si>
  <si>
    <t>X月现金流表</t>
  </si>
  <si>
    <t>经营活动产生的现金流量净额</t>
  </si>
  <si>
    <t>融资活动产生的现金流量净额</t>
  </si>
  <si>
    <t>投资活动产生的现金流量净额</t>
  </si>
  <si>
    <t>货币资金余额</t>
  </si>
  <si>
    <t>E29</t>
  </si>
  <si>
    <t>E26</t>
  </si>
  <si>
    <t>E27</t>
  </si>
  <si>
    <t>E28</t>
  </si>
  <si>
    <t>E30</t>
  </si>
  <si>
    <t>C22</t>
  </si>
  <si>
    <t>C4</t>
  </si>
  <si>
    <t>C13</t>
  </si>
  <si>
    <t>C18</t>
  </si>
  <si>
    <t>C21.</t>
  </si>
</sst>
</file>

<file path=xl/styles.xml><?xml version="1.0" encoding="utf-8"?>
<styleSheet xmlns="http://schemas.openxmlformats.org/spreadsheetml/2006/main">
  <numFmts count="10">
    <numFmt numFmtId="176" formatCode="#,##0.000000_ "/>
    <numFmt numFmtId="177" formatCode="#,##0.00_);[Red]\(#,##0.00\)"/>
    <numFmt numFmtId="178" formatCode="0.0"/>
    <numFmt numFmtId="179" formatCode="_ * #,##0.0_ ;_ * \-#,##0.0_ ;_ * &quot;-&quot;??_ ;_ @_ "/>
    <numFmt numFmtId="180" formatCode="_ * #,##0_ ;_ * \-#,##0_ ;_ * &quot;-&quot;??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81" formatCode="0.0%"/>
  </numFmts>
  <fonts count="82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b/>
      <sz val="14"/>
      <color rgb="FFFFFFFF"/>
      <name val="微软雅黑"/>
      <charset val="134"/>
    </font>
    <font>
      <b/>
      <sz val="12"/>
      <color rgb="FFFFFFFF"/>
      <name val="微软雅黑"/>
      <charset val="134"/>
    </font>
    <font>
      <b/>
      <sz val="10"/>
      <color theme="1"/>
      <name val="微软雅黑"/>
      <charset val="134"/>
    </font>
    <font>
      <b/>
      <sz val="9"/>
      <color theme="1"/>
      <name val="微软雅黑"/>
      <charset val="134"/>
    </font>
    <font>
      <i/>
      <sz val="9"/>
      <name val="微软雅黑"/>
      <charset val="134"/>
    </font>
    <font>
      <sz val="9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name val="微软雅黑"/>
      <charset val="134"/>
    </font>
    <font>
      <sz val="15"/>
      <color theme="1"/>
      <name val="仿宋"/>
      <charset val="134"/>
    </font>
    <font>
      <b/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4"/>
      <color theme="1"/>
      <name val="仿宋"/>
      <charset val="134"/>
    </font>
    <font>
      <sz val="14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8"/>
      <color theme="0"/>
      <name val="等线"/>
      <charset val="134"/>
      <scheme val="minor"/>
    </font>
    <font>
      <b/>
      <sz val="8"/>
      <color theme="0"/>
      <name val="等线"/>
      <charset val="134"/>
      <scheme val="minor"/>
    </font>
    <font>
      <sz val="11"/>
      <color theme="0"/>
      <name val="等线"/>
      <charset val="134"/>
      <scheme val="minor"/>
    </font>
    <font>
      <sz val="8"/>
      <color theme="0"/>
      <name val="等线"/>
      <charset val="134"/>
      <scheme val="minor"/>
    </font>
    <font>
      <sz val="8"/>
      <color theme="0"/>
      <name val="等线"/>
      <charset val="134"/>
      <scheme val="minor"/>
    </font>
    <font>
      <sz val="12"/>
      <color theme="0"/>
      <name val="微软雅黑"/>
      <charset val="134"/>
    </font>
    <font>
      <b/>
      <sz val="12"/>
      <color theme="0"/>
      <name val="微软雅黑"/>
      <charset val="134"/>
    </font>
    <font>
      <b/>
      <sz val="20"/>
      <color rgb="FFFFFFFF"/>
      <name val="微软雅黑"/>
      <charset val="134"/>
    </font>
    <font>
      <sz val="22"/>
      <color rgb="FF000000"/>
      <name val="微软雅黑"/>
      <charset val="134"/>
    </font>
    <font>
      <sz val="20"/>
      <color rgb="FF000000"/>
      <name val="Times New Roman"/>
      <charset val="134"/>
    </font>
    <font>
      <b/>
      <sz val="22"/>
      <color rgb="FF000000"/>
      <name val="微软雅黑"/>
      <charset val="134"/>
    </font>
    <font>
      <b/>
      <sz val="20"/>
      <color rgb="FF000000"/>
      <name val="Times New Roman"/>
      <charset val="134"/>
    </font>
    <font>
      <sz val="16"/>
      <color theme="1"/>
      <name val="仿宋"/>
      <charset val="134"/>
    </font>
    <font>
      <sz val="16"/>
      <color theme="1"/>
      <name val="等线"/>
      <charset val="134"/>
      <scheme val="minor"/>
    </font>
    <font>
      <sz val="18"/>
      <color theme="1"/>
      <name val="仿宋"/>
      <charset val="134"/>
    </font>
    <font>
      <sz val="18"/>
      <color theme="1"/>
      <name val="等线"/>
      <charset val="134"/>
      <scheme val="minor"/>
    </font>
    <font>
      <b/>
      <sz val="12"/>
      <color rgb="FF000000"/>
      <name val="微软雅黑"/>
      <charset val="134"/>
    </font>
    <font>
      <b/>
      <sz val="14"/>
      <color rgb="FF000000"/>
      <name val="Times New Roman"/>
      <charset val="134"/>
    </font>
    <font>
      <b/>
      <sz val="14"/>
      <color rgb="FF000000"/>
      <name val="微软雅黑"/>
      <charset val="134"/>
    </font>
    <font>
      <b/>
      <sz val="16"/>
      <color rgb="FF000000"/>
      <name val="Times New Roman"/>
      <charset val="134"/>
    </font>
    <font>
      <b/>
      <sz val="12"/>
      <color rgb="FF000000"/>
      <name val="Times New Roman"/>
      <charset val="134"/>
    </font>
    <font>
      <sz val="12"/>
      <color theme="1"/>
      <name val="等线"/>
      <charset val="134"/>
      <scheme val="minor"/>
    </font>
    <font>
      <sz val="10"/>
      <name val="Arial"/>
      <charset val="134"/>
    </font>
    <font>
      <sz val="12"/>
      <name val="微软雅黑"/>
      <charset val="134"/>
    </font>
    <font>
      <sz val="12"/>
      <color indexed="8"/>
      <name val="微软雅黑"/>
      <charset val="134"/>
    </font>
    <font>
      <b/>
      <u/>
      <sz val="11"/>
      <color theme="10"/>
      <name val="等线"/>
      <charset val="134"/>
      <scheme val="minor"/>
    </font>
    <font>
      <sz val="11"/>
      <name val="微软雅黑"/>
      <charset val="134"/>
    </font>
    <font>
      <b/>
      <sz val="20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b/>
      <sz val="12"/>
      <color theme="1"/>
      <name val="等线"/>
      <charset val="134"/>
      <scheme val="minor"/>
    </font>
    <font>
      <b/>
      <sz val="16"/>
      <color rgb="FFFFFFFF"/>
      <name val="微软雅黑"/>
      <charset val="134"/>
    </font>
    <font>
      <b/>
      <sz val="11"/>
      <color indexed="8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b/>
      <sz val="11"/>
      <name val="Times New Roman"/>
      <charset val="134"/>
    </font>
    <font>
      <b/>
      <sz val="11"/>
      <color indexed="8"/>
      <name val="宋体"/>
      <charset val="134"/>
    </font>
    <font>
      <b/>
      <sz val="15"/>
      <color theme="1"/>
      <name val="黑体"/>
      <charset val="134"/>
    </font>
    <font>
      <b/>
      <sz val="15"/>
      <color theme="1"/>
      <name val="仿宋"/>
      <charset val="134"/>
    </font>
    <font>
      <b/>
      <u/>
      <sz val="11"/>
      <color rgb="FF80008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theme="10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2"/>
      <color rgb="FFCC3300"/>
      <name val="微软雅黑"/>
      <charset val="134"/>
    </font>
    <font>
      <b/>
      <sz val="11"/>
      <color indexed="8"/>
      <name val="微软雅黑"/>
      <charset val="134"/>
    </font>
  </fonts>
  <fills count="6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</fills>
  <borders count="86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/>
      <bottom style="medium">
        <color theme="0"/>
      </bottom>
      <diagonal/>
    </border>
    <border>
      <left style="medium">
        <color auto="1"/>
      </left>
      <right/>
      <top style="medium">
        <color theme="0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rgb="FFFFFFFF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/>
      <top/>
      <bottom style="mediumDashed">
        <color rgb="FFFF0000"/>
      </bottom>
      <diagonal/>
    </border>
    <border>
      <left style="thick">
        <color rgb="FFFF0000"/>
      </left>
      <right/>
      <top style="thick">
        <color rgb="FFFF0000"/>
      </top>
      <bottom style="medium">
        <color auto="1"/>
      </bottom>
      <diagonal/>
    </border>
    <border>
      <left/>
      <right/>
      <top style="medium">
        <color auto="1"/>
      </top>
      <bottom style="medium">
        <color theme="0"/>
      </bottom>
      <diagonal/>
    </border>
    <border>
      <left/>
      <right style="medium">
        <color theme="0"/>
      </right>
      <top style="medium">
        <color auto="1"/>
      </top>
      <bottom style="medium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mediumDashed">
        <color rgb="FFFF0000"/>
      </bottom>
      <diagonal/>
    </border>
    <border>
      <left/>
      <right style="thick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/>
      <top style="thick">
        <color rgb="FFFF0000"/>
      </top>
      <bottom style="medium">
        <color auto="1"/>
      </bottom>
      <diagonal/>
    </border>
    <border>
      <left style="thick">
        <color theme="0"/>
      </left>
      <right style="thin">
        <color rgb="FFFF0000"/>
      </right>
      <top style="thick">
        <color rgb="FFFF0000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theme="0"/>
      </bottom>
      <diagonal/>
    </border>
    <border>
      <left style="thick">
        <color theme="0"/>
      </left>
      <right style="medium">
        <color auto="1"/>
      </right>
      <top style="thick">
        <color theme="0"/>
      </top>
      <bottom/>
      <diagonal/>
    </border>
    <border>
      <left style="thick">
        <color theme="0"/>
      </left>
      <right style="medium">
        <color auto="1"/>
      </right>
      <top style="thick">
        <color theme="0"/>
      </top>
      <bottom style="mediumDashed">
        <color rgb="FFFF0000"/>
      </bottom>
      <diagonal/>
    </border>
    <border>
      <left style="thick">
        <color theme="0"/>
      </left>
      <right style="medium">
        <color auto="1"/>
      </right>
      <top/>
      <bottom/>
      <diagonal/>
    </border>
    <border>
      <left style="thick">
        <color theme="0"/>
      </left>
      <right style="medium">
        <color auto="1"/>
      </right>
      <top style="thick">
        <color rgb="FFFF0000"/>
      </top>
      <bottom style="medium">
        <color auto="1"/>
      </bottom>
      <diagonal/>
    </border>
    <border>
      <left style="medium">
        <color auto="1"/>
      </left>
      <right style="thick">
        <color theme="0"/>
      </right>
      <top style="medium">
        <color auto="1"/>
      </top>
      <bottom style="thick">
        <color theme="0"/>
      </bottom>
      <diagonal/>
    </border>
    <border>
      <left style="thick">
        <color theme="0"/>
      </left>
      <right/>
      <top style="medium">
        <color auto="1"/>
      </top>
      <bottom style="thick">
        <color theme="0"/>
      </bottom>
      <diagonal/>
    </border>
    <border>
      <left style="medium">
        <color auto="1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auto="1"/>
      </left>
      <right style="thick">
        <color theme="0"/>
      </right>
      <top style="thick">
        <color theme="0"/>
      </top>
      <bottom style="medium">
        <color auto="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medium">
        <color auto="1"/>
      </bottom>
      <diagonal/>
    </border>
    <border>
      <left/>
      <right style="thick">
        <color theme="0"/>
      </right>
      <top style="medium">
        <color auto="1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medium">
        <color auto="1"/>
      </top>
      <bottom/>
      <diagonal/>
    </border>
    <border>
      <left style="thick">
        <color theme="0"/>
      </left>
      <right/>
      <top style="medium">
        <color auto="1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/>
      <diagonal/>
    </border>
    <border>
      <left style="thick">
        <color theme="0"/>
      </left>
      <right style="medium">
        <color auto="1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">
        <color auto="1"/>
      </right>
      <top style="thick">
        <color theme="0"/>
      </top>
      <bottom style="medium">
        <color auto="1"/>
      </bottom>
      <diagonal/>
    </border>
    <border>
      <left style="thick">
        <color theme="0"/>
      </left>
      <right style="thick">
        <color theme="0"/>
      </right>
      <top style="medium">
        <color auto="1"/>
      </top>
      <bottom style="thick">
        <color theme="0"/>
      </bottom>
      <diagonal/>
    </border>
    <border>
      <left style="medium">
        <color auto="1"/>
      </left>
      <right style="thick">
        <color theme="0"/>
      </right>
      <top/>
      <bottom/>
      <diagonal/>
    </border>
    <border>
      <left style="medium">
        <color auto="1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ck">
        <color theme="0"/>
      </bottom>
      <diagonal/>
    </border>
    <border>
      <left/>
      <right style="medium">
        <color auto="1"/>
      </right>
      <top/>
      <bottom style="thick">
        <color theme="0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1">
    <xf numFmtId="0" fontId="0" fillId="0" borderId="0">
      <alignment vertical="center"/>
    </xf>
    <xf numFmtId="0" fontId="0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0" fontId="61" fillId="60" borderId="0" applyNumberFormat="0" applyBorder="0" applyAlignment="0" applyProtection="0">
      <alignment vertical="center"/>
    </xf>
    <xf numFmtId="0" fontId="63" fillId="63" borderId="0" applyNumberFormat="0" applyBorder="0" applyAlignment="0" applyProtection="0">
      <alignment vertical="center"/>
    </xf>
    <xf numFmtId="0" fontId="61" fillId="54" borderId="0" applyNumberFormat="0" applyBorder="0" applyAlignment="0" applyProtection="0">
      <alignment vertical="center"/>
    </xf>
    <xf numFmtId="0" fontId="75" fillId="55" borderId="84" applyNumberFormat="0" applyAlignment="0" applyProtection="0">
      <alignment vertical="center"/>
    </xf>
    <xf numFmtId="0" fontId="63" fillId="53" borderId="0" applyNumberFormat="0" applyBorder="0" applyAlignment="0" applyProtection="0">
      <alignment vertical="center"/>
    </xf>
    <xf numFmtId="0" fontId="63" fillId="58" borderId="0" applyNumberFormat="0" applyBorder="0" applyAlignment="0" applyProtection="0">
      <alignment vertical="center"/>
    </xf>
    <xf numFmtId="44" fontId="67" fillId="0" borderId="0" applyFont="0" applyFill="0" applyBorder="0" applyAlignment="0" applyProtection="0">
      <alignment vertical="center"/>
    </xf>
    <xf numFmtId="0" fontId="61" fillId="5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1" fillId="52" borderId="0" applyNumberFormat="0" applyBorder="0" applyAlignment="0" applyProtection="0">
      <alignment vertical="center"/>
    </xf>
    <xf numFmtId="0" fontId="61" fillId="51" borderId="0" applyNumberFormat="0" applyBorder="0" applyAlignment="0" applyProtection="0">
      <alignment vertical="center"/>
    </xf>
    <xf numFmtId="0" fontId="61" fillId="40" borderId="0" applyNumberFormat="0" applyBorder="0" applyAlignment="0" applyProtection="0">
      <alignment vertical="center"/>
    </xf>
    <xf numFmtId="0" fontId="61" fillId="47" borderId="0" applyNumberFormat="0" applyBorder="0" applyAlignment="0" applyProtection="0">
      <alignment vertical="center"/>
    </xf>
    <xf numFmtId="0" fontId="61" fillId="49" borderId="0" applyNumberFormat="0" applyBorder="0" applyAlignment="0" applyProtection="0">
      <alignment vertical="center"/>
    </xf>
    <xf numFmtId="0" fontId="73" fillId="50" borderId="84" applyNumberFormat="0" applyAlignment="0" applyProtection="0">
      <alignment vertical="center"/>
    </xf>
    <xf numFmtId="0" fontId="61" fillId="64" borderId="0" applyNumberFormat="0" applyBorder="0" applyAlignment="0" applyProtection="0">
      <alignment vertical="center"/>
    </xf>
    <xf numFmtId="0" fontId="79" fillId="59" borderId="0" applyNumberFormat="0" applyBorder="0" applyAlignment="0" applyProtection="0">
      <alignment vertical="center"/>
    </xf>
    <xf numFmtId="0" fontId="63" fillId="48" borderId="0" applyNumberFormat="0" applyBorder="0" applyAlignment="0" applyProtection="0">
      <alignment vertical="center"/>
    </xf>
    <xf numFmtId="0" fontId="72" fillId="46" borderId="0" applyNumberFormat="0" applyBorder="0" applyAlignment="0" applyProtection="0">
      <alignment vertical="center"/>
    </xf>
    <xf numFmtId="0" fontId="63" fillId="44" borderId="0" applyNumberFormat="0" applyBorder="0" applyAlignment="0" applyProtection="0">
      <alignment vertical="center"/>
    </xf>
    <xf numFmtId="0" fontId="71" fillId="0" borderId="83" applyNumberFormat="0" applyFill="0" applyAlignment="0" applyProtection="0">
      <alignment vertical="center"/>
    </xf>
    <xf numFmtId="0" fontId="76" fillId="57" borderId="0" applyNumberFormat="0" applyBorder="0" applyAlignment="0" applyProtection="0">
      <alignment vertical="center"/>
    </xf>
    <xf numFmtId="0" fontId="66" fillId="37" borderId="81" applyNumberFormat="0" applyAlignment="0" applyProtection="0">
      <alignment vertical="center"/>
    </xf>
    <xf numFmtId="0" fontId="78" fillId="50" borderId="85" applyNumberFormat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7" fillId="0" borderId="80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3" fillId="4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42" fontId="67" fillId="0" borderId="0" applyFont="0" applyFill="0" applyBorder="0" applyAlignment="0" applyProtection="0">
      <alignment vertical="center"/>
    </xf>
    <xf numFmtId="0" fontId="42" fillId="0" borderId="0"/>
    <xf numFmtId="0" fontId="63" fillId="43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3" fillId="45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1" fillId="39" borderId="0" applyNumberFormat="0" applyBorder="0" applyAlignment="0" applyProtection="0">
      <alignment vertical="center"/>
    </xf>
    <xf numFmtId="0" fontId="67" fillId="41" borderId="82" applyNumberFormat="0" applyFont="0" applyAlignment="0" applyProtection="0">
      <alignment vertical="center"/>
    </xf>
    <xf numFmtId="0" fontId="63" fillId="38" borderId="0" applyNumberFormat="0" applyBorder="0" applyAlignment="0" applyProtection="0">
      <alignment vertical="center"/>
    </xf>
    <xf numFmtId="0" fontId="61" fillId="62" borderId="0" applyNumberFormat="0" applyBorder="0" applyAlignment="0" applyProtection="0">
      <alignment vertical="center"/>
    </xf>
    <xf numFmtId="0" fontId="63" fillId="36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43" fontId="48" fillId="0" borderId="0" applyFont="0" applyFill="0" applyBorder="0" applyAlignment="0" applyProtection="0">
      <alignment vertical="center"/>
    </xf>
    <xf numFmtId="41" fontId="67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64" fillId="0" borderId="80" applyNumberFormat="0" applyFill="0" applyAlignment="0" applyProtection="0">
      <alignment vertical="center"/>
    </xf>
    <xf numFmtId="0" fontId="63" fillId="3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2" fillId="0" borderId="79" applyNumberFormat="0" applyFill="0" applyAlignment="0" applyProtection="0">
      <alignment vertical="center"/>
    </xf>
    <xf numFmtId="0" fontId="61" fillId="34" borderId="0" applyNumberFormat="0" applyBorder="0" applyAlignment="0" applyProtection="0">
      <alignment vertical="center"/>
    </xf>
    <xf numFmtId="0" fontId="63" fillId="61" borderId="0" applyNumberFormat="0" applyBorder="0" applyAlignment="0" applyProtection="0">
      <alignment vertical="center"/>
    </xf>
    <xf numFmtId="0" fontId="3" fillId="0" borderId="0"/>
    <xf numFmtId="0" fontId="60" fillId="0" borderId="78" applyNumberFormat="0" applyFill="0" applyAlignment="0" applyProtection="0">
      <alignment vertical="center"/>
    </xf>
  </cellStyleXfs>
  <cellXfs count="379">
    <xf numFmtId="0" fontId="0" fillId="0" borderId="0" xfId="0">
      <alignment vertical="center"/>
    </xf>
    <xf numFmtId="0" fontId="1" fillId="2" borderId="0" xfId="3" applyFont="1" applyFill="1"/>
    <xf numFmtId="0" fontId="2" fillId="0" borderId="0" xfId="3" applyFont="1"/>
    <xf numFmtId="0" fontId="3" fillId="2" borderId="0" xfId="3" applyFill="1"/>
    <xf numFmtId="0" fontId="4" fillId="0" borderId="0" xfId="3" applyFont="1"/>
    <xf numFmtId="0" fontId="5" fillId="0" borderId="0" xfId="3" applyFont="1"/>
    <xf numFmtId="0" fontId="3" fillId="0" borderId="0" xfId="3"/>
    <xf numFmtId="0" fontId="6" fillId="0" borderId="0" xfId="0" applyFont="1" applyAlignment="1">
      <alignment horizontal="center" vertical="center" wrapText="1" readingOrder="1"/>
    </xf>
    <xf numFmtId="179" fontId="7" fillId="3" borderId="1" xfId="52" applyNumberFormat="1" applyFont="1" applyFill="1" applyBorder="1" applyAlignment="1">
      <alignment horizontal="center" vertical="center" wrapText="1" readingOrder="1"/>
    </xf>
    <xf numFmtId="0" fontId="5" fillId="0" borderId="0" xfId="3" applyFont="1" applyAlignment="1">
      <alignment vertical="center"/>
    </xf>
    <xf numFmtId="0" fontId="5" fillId="4" borderId="1" xfId="3" applyFont="1" applyFill="1" applyBorder="1" applyAlignment="1">
      <alignment horizontal="left" vertical="center"/>
    </xf>
    <xf numFmtId="180" fontId="5" fillId="4" borderId="1" xfId="29" applyNumberFormat="1" applyFont="1" applyFill="1" applyBorder="1" applyAlignment="1"/>
    <xf numFmtId="0" fontId="8" fillId="0" borderId="0" xfId="3" applyFont="1" applyAlignment="1">
      <alignment vertical="center"/>
    </xf>
    <xf numFmtId="0" fontId="8" fillId="5" borderId="1" xfId="3" applyFont="1" applyFill="1" applyBorder="1" applyAlignment="1">
      <alignment vertical="center"/>
    </xf>
    <xf numFmtId="180" fontId="9" fillId="6" borderId="1" xfId="29" applyNumberFormat="1" applyFont="1" applyFill="1" applyBorder="1" applyAlignment="1"/>
    <xf numFmtId="180" fontId="9" fillId="5" borderId="1" xfId="29" applyNumberFormat="1" applyFont="1" applyFill="1" applyBorder="1" applyAlignment="1"/>
    <xf numFmtId="0" fontId="8" fillId="2" borderId="1" xfId="3" applyFont="1" applyFill="1" applyBorder="1" applyAlignment="1">
      <alignment vertical="center"/>
    </xf>
    <xf numFmtId="180" fontId="9" fillId="2" borderId="1" xfId="29" applyNumberFormat="1" applyFont="1" applyFill="1" applyBorder="1" applyAlignment="1"/>
    <xf numFmtId="0" fontId="9" fillId="0" borderId="0" xfId="3" applyFont="1" applyAlignment="1">
      <alignment horizontal="center" vertical="center"/>
    </xf>
    <xf numFmtId="0" fontId="10" fillId="2" borderId="1" xfId="3" applyFont="1" applyFill="1" applyBorder="1" applyAlignment="1">
      <alignment horizontal="left"/>
    </xf>
    <xf numFmtId="180" fontId="11" fillId="2" borderId="1" xfId="29" applyNumberFormat="1" applyFont="1" applyFill="1" applyBorder="1" applyAlignment="1"/>
    <xf numFmtId="0" fontId="8" fillId="4" borderId="1" xfId="3" applyFont="1" applyFill="1" applyBorder="1" applyAlignment="1">
      <alignment vertical="center"/>
    </xf>
    <xf numFmtId="180" fontId="9" fillId="4" borderId="1" xfId="29" applyNumberFormat="1" applyFont="1" applyFill="1" applyBorder="1" applyAlignment="1"/>
    <xf numFmtId="180" fontId="9" fillId="7" borderId="1" xfId="29" applyNumberFormat="1" applyFont="1" applyFill="1" applyBorder="1" applyAlignment="1"/>
    <xf numFmtId="180" fontId="9" fillId="8" borderId="1" xfId="29" applyNumberFormat="1" applyFont="1" applyFill="1" applyBorder="1" applyAlignment="1"/>
    <xf numFmtId="0" fontId="5" fillId="9" borderId="1" xfId="3" applyFont="1" applyFill="1" applyBorder="1" applyAlignment="1">
      <alignment horizontal="left" vertical="center"/>
    </xf>
    <xf numFmtId="0" fontId="12" fillId="0" borderId="0" xfId="3" applyFont="1" applyAlignment="1">
      <alignment horizontal="center" vertical="center"/>
    </xf>
    <xf numFmtId="0" fontId="13" fillId="10" borderId="1" xfId="3" applyFont="1" applyFill="1" applyBorder="1" applyAlignment="1">
      <alignment horizontal="left" vertical="center"/>
    </xf>
    <xf numFmtId="180" fontId="12" fillId="10" borderId="1" xfId="29" applyNumberFormat="1" applyFont="1" applyFill="1" applyBorder="1" applyAlignment="1"/>
    <xf numFmtId="180" fontId="5" fillId="11" borderId="1" xfId="29" applyNumberFormat="1" applyFont="1" applyFill="1" applyBorder="1" applyAlignment="1"/>
    <xf numFmtId="0" fontId="5" fillId="4" borderId="0" xfId="3" applyFont="1" applyFill="1" applyAlignment="1">
      <alignment horizontal="left" vertical="center"/>
    </xf>
    <xf numFmtId="180" fontId="5" fillId="12" borderId="0" xfId="29" applyNumberFormat="1" applyFont="1" applyFill="1" applyBorder="1" applyAlignment="1"/>
    <xf numFmtId="180" fontId="5" fillId="2" borderId="0" xfId="29" applyNumberFormat="1" applyFont="1" applyFill="1" applyBorder="1" applyAlignment="1"/>
    <xf numFmtId="0" fontId="3" fillId="0" borderId="2" xfId="3" applyFont="1" applyBorder="1"/>
    <xf numFmtId="0" fontId="3" fillId="0" borderId="2" xfId="3" applyBorder="1"/>
    <xf numFmtId="180" fontId="3" fillId="0" borderId="2" xfId="39" applyNumberFormat="1" applyFont="1" applyBorder="1" applyAlignment="1"/>
    <xf numFmtId="0" fontId="14" fillId="0" borderId="0" xfId="0" applyFont="1" applyAlignment="1">
      <alignment horizontal="center" vertical="center" wrapText="1"/>
    </xf>
    <xf numFmtId="180" fontId="5" fillId="2" borderId="1" xfId="29" applyNumberFormat="1" applyFont="1" applyFill="1" applyBorder="1" applyAlignment="1"/>
    <xf numFmtId="0" fontId="15" fillId="0" borderId="0" xfId="3" applyFont="1"/>
    <xf numFmtId="180" fontId="3" fillId="5" borderId="2" xfId="39" applyNumberFormat="1" applyFont="1" applyFill="1" applyBorder="1" applyAlignment="1"/>
    <xf numFmtId="180" fontId="3" fillId="13" borderId="2" xfId="39" applyNumberFormat="1" applyFont="1" applyFill="1" applyBorder="1" applyAlignment="1"/>
    <xf numFmtId="180" fontId="3" fillId="14" borderId="2" xfId="39" applyNumberFormat="1" applyFont="1" applyFill="1" applyBorder="1" applyAlignment="1"/>
    <xf numFmtId="180" fontId="3" fillId="15" borderId="2" xfId="39" applyNumberFormat="1" applyFont="1" applyFill="1" applyBorder="1" applyAlignment="1"/>
    <xf numFmtId="180" fontId="3" fillId="16" borderId="2" xfId="39" applyNumberFormat="1" applyFont="1" applyFill="1" applyBorder="1" applyAlignment="1"/>
    <xf numFmtId="0" fontId="0" fillId="6" borderId="0" xfId="0" applyFill="1">
      <alignment vertical="center"/>
    </xf>
    <xf numFmtId="0" fontId="15" fillId="13" borderId="0" xfId="59" applyFont="1" applyFill="1" applyAlignment="1">
      <alignment horizontal="center"/>
    </xf>
    <xf numFmtId="178" fontId="16" fillId="17" borderId="0" xfId="3" applyNumberFormat="1" applyFont="1" applyFill="1"/>
    <xf numFmtId="0" fontId="14" fillId="17" borderId="0" xfId="0" applyFont="1" applyFill="1" applyAlignment="1">
      <alignment horizontal="center" vertical="center"/>
    </xf>
    <xf numFmtId="178" fontId="17" fillId="5" borderId="0" xfId="0" applyNumberFormat="1" applyFont="1" applyFill="1" applyAlignment="1">
      <alignment vertical="center"/>
    </xf>
    <xf numFmtId="0" fontId="14" fillId="5" borderId="0" xfId="0" applyFont="1" applyFill="1" applyAlignment="1">
      <alignment horizontal="center" vertical="center"/>
    </xf>
    <xf numFmtId="178" fontId="18" fillId="13" borderId="0" xfId="0" applyNumberFormat="1" applyFont="1" applyFill="1">
      <alignment vertical="center"/>
    </xf>
    <xf numFmtId="0" fontId="0" fillId="13" borderId="0" xfId="0" applyFill="1" applyAlignment="1">
      <alignment horizontal="center" vertical="center"/>
    </xf>
    <xf numFmtId="178" fontId="18" fillId="14" borderId="0" xfId="0" applyNumberFormat="1" applyFont="1" applyFill="1">
      <alignment vertical="center"/>
    </xf>
    <xf numFmtId="0" fontId="0" fillId="14" borderId="0" xfId="0" applyFill="1" applyAlignment="1">
      <alignment horizontal="center" vertical="center"/>
    </xf>
    <xf numFmtId="2" fontId="18" fillId="16" borderId="0" xfId="0" applyNumberFormat="1" applyFont="1" applyFill="1">
      <alignment vertical="center"/>
    </xf>
    <xf numFmtId="0" fontId="0" fillId="16" borderId="0" xfId="0" applyFill="1" applyAlignment="1">
      <alignment horizontal="center" vertical="center"/>
    </xf>
    <xf numFmtId="2" fontId="0" fillId="12" borderId="0" xfId="39" applyNumberFormat="1" applyFont="1" applyFill="1">
      <alignment vertical="center"/>
    </xf>
    <xf numFmtId="0" fontId="0" fillId="12" borderId="0" xfId="0" applyFill="1" applyAlignment="1">
      <alignment horizontal="center" vertical="center"/>
    </xf>
    <xf numFmtId="2" fontId="3" fillId="6" borderId="0" xfId="39" applyNumberFormat="1" applyFont="1" applyFill="1" applyAlignment="1"/>
    <xf numFmtId="0" fontId="3" fillId="6" borderId="0" xfId="3" applyFont="1" applyFill="1" applyAlignment="1">
      <alignment horizontal="center"/>
    </xf>
    <xf numFmtId="2" fontId="3" fillId="7" borderId="0" xfId="39" applyNumberFormat="1" applyFont="1" applyFill="1" applyAlignment="1"/>
    <xf numFmtId="0" fontId="3" fillId="7" borderId="0" xfId="3" applyFont="1" applyFill="1" applyAlignment="1">
      <alignment horizontal="center"/>
    </xf>
    <xf numFmtId="2" fontId="3" fillId="18" borderId="0" xfId="39" applyNumberFormat="1" applyFont="1" applyFill="1" applyAlignment="1"/>
    <xf numFmtId="0" fontId="3" fillId="18" borderId="0" xfId="3" applyFont="1" applyFill="1" applyAlignment="1">
      <alignment horizontal="center"/>
    </xf>
    <xf numFmtId="2" fontId="3" fillId="19" borderId="0" xfId="39" applyNumberFormat="1" applyFont="1" applyFill="1" applyAlignment="1"/>
    <xf numFmtId="0" fontId="3" fillId="19" borderId="0" xfId="3" applyFont="1" applyFill="1" applyAlignment="1">
      <alignment horizontal="center"/>
    </xf>
    <xf numFmtId="180" fontId="1" fillId="2" borderId="0" xfId="3" applyNumberFormat="1" applyFont="1" applyFill="1"/>
    <xf numFmtId="180" fontId="2" fillId="2" borderId="0" xfId="3" applyNumberFormat="1" applyFont="1" applyFill="1"/>
    <xf numFmtId="180" fontId="3" fillId="2" borderId="0" xfId="3" applyNumberFormat="1" applyFill="1"/>
    <xf numFmtId="180" fontId="19" fillId="2" borderId="0" xfId="3" applyNumberFormat="1" applyFont="1" applyFill="1"/>
    <xf numFmtId="43" fontId="20" fillId="0" borderId="0" xfId="3" applyNumberFormat="1" applyFont="1"/>
    <xf numFmtId="0" fontId="21" fillId="0" borderId="0" xfId="3" applyFont="1"/>
    <xf numFmtId="0" fontId="22" fillId="0" borderId="0" xfId="3" applyFont="1"/>
    <xf numFmtId="0" fontId="23" fillId="0" borderId="0" xfId="3" applyFont="1"/>
    <xf numFmtId="43" fontId="23" fillId="0" borderId="0" xfId="3" applyNumberFormat="1" applyFont="1"/>
    <xf numFmtId="0" fontId="24" fillId="0" borderId="0" xfId="3" applyFont="1"/>
    <xf numFmtId="180" fontId="25" fillId="0" borderId="0" xfId="3" applyNumberFormat="1" applyFont="1"/>
    <xf numFmtId="0" fontId="25" fillId="0" borderId="0" xfId="3" applyFont="1"/>
    <xf numFmtId="0" fontId="26" fillId="0" borderId="0" xfId="3" applyFont="1"/>
    <xf numFmtId="180" fontId="26" fillId="0" borderId="0" xfId="3" applyNumberFormat="1" applyFont="1"/>
    <xf numFmtId="0" fontId="27" fillId="20" borderId="1" xfId="0" applyFont="1" applyFill="1" applyBorder="1" applyAlignment="1">
      <alignment horizontal="center" vertical="center" wrapText="1" readingOrder="1"/>
    </xf>
    <xf numFmtId="0" fontId="27" fillId="21" borderId="1" xfId="0" applyFont="1" applyFill="1" applyBorder="1" applyAlignment="1">
      <alignment horizontal="center" vertical="center" wrapText="1" readingOrder="1"/>
    </xf>
    <xf numFmtId="0" fontId="28" fillId="22" borderId="1" xfId="0" applyFont="1" applyFill="1" applyBorder="1" applyAlignment="1">
      <alignment horizontal="center" vertical="center" wrapText="1" readingOrder="1"/>
    </xf>
    <xf numFmtId="180" fontId="29" fillId="23" borderId="1" xfId="39" applyNumberFormat="1" applyFont="1" applyFill="1" applyBorder="1" applyAlignment="1">
      <alignment vertical="center" wrapText="1" readingOrder="1"/>
    </xf>
    <xf numFmtId="0" fontId="30" fillId="22" borderId="1" xfId="0" applyFont="1" applyFill="1" applyBorder="1" applyAlignment="1">
      <alignment horizontal="center" vertical="center" wrapText="1" readingOrder="1"/>
    </xf>
    <xf numFmtId="3" fontId="31" fillId="23" borderId="1" xfId="0" applyNumberFormat="1" applyFont="1" applyFill="1" applyBorder="1" applyAlignment="1">
      <alignment vertical="center" wrapText="1" readingOrder="1"/>
    </xf>
    <xf numFmtId="0" fontId="32" fillId="17" borderId="0" xfId="0" applyFont="1" applyFill="1" applyAlignment="1">
      <alignment horizontal="center" vertical="center"/>
    </xf>
    <xf numFmtId="180" fontId="32" fillId="17" borderId="0" xfId="39" applyNumberFormat="1" applyFont="1" applyFill="1" applyAlignment="1">
      <alignment horizontal="center" vertical="center"/>
    </xf>
    <xf numFmtId="0" fontId="33" fillId="0" borderId="0" xfId="0" applyFont="1" applyAlignment="1">
      <alignment horizontal="center" vertical="center"/>
    </xf>
    <xf numFmtId="43" fontId="27" fillId="21" borderId="1" xfId="39" applyFont="1" applyFill="1" applyBorder="1" applyAlignment="1">
      <alignment horizontal="center" vertical="center" wrapText="1" readingOrder="1"/>
    </xf>
    <xf numFmtId="3" fontId="29" fillId="23" borderId="1" xfId="0" applyNumberFormat="1" applyFont="1" applyFill="1" applyBorder="1" applyAlignment="1">
      <alignment vertical="center" wrapText="1" readingOrder="1"/>
    </xf>
    <xf numFmtId="43" fontId="29" fillId="23" borderId="1" xfId="39" applyFont="1" applyFill="1" applyBorder="1" applyAlignment="1">
      <alignment vertical="center" wrapText="1" readingOrder="1"/>
    </xf>
    <xf numFmtId="3" fontId="31" fillId="13" borderId="1" xfId="0" applyNumberFormat="1" applyFont="1" applyFill="1" applyBorder="1" applyAlignment="1">
      <alignment vertical="center" wrapText="1" readingOrder="1"/>
    </xf>
    <xf numFmtId="3" fontId="31" fillId="24" borderId="1" xfId="0" applyNumberFormat="1" applyFont="1" applyFill="1" applyBorder="1" applyAlignment="1">
      <alignment vertical="center" wrapText="1" readingOrder="1"/>
    </xf>
    <xf numFmtId="180" fontId="32" fillId="5" borderId="0" xfId="39" applyNumberFormat="1" applyFont="1" applyFill="1" applyAlignment="1">
      <alignment horizontal="center" vertical="center"/>
    </xf>
    <xf numFmtId="3" fontId="0" fillId="0" borderId="0" xfId="0" applyNumberFormat="1">
      <alignment vertical="center"/>
    </xf>
    <xf numFmtId="179" fontId="34" fillId="17" borderId="0" xfId="0" applyNumberFormat="1" applyFont="1" applyFill="1" applyAlignment="1">
      <alignment horizontal="center" vertical="center"/>
    </xf>
    <xf numFmtId="179" fontId="34" fillId="5" borderId="0" xfId="0" applyNumberFormat="1" applyFont="1" applyFill="1" applyAlignment="1">
      <alignment horizontal="center" vertical="center"/>
    </xf>
    <xf numFmtId="0" fontId="32" fillId="5" borderId="0" xfId="0" applyFont="1" applyFill="1" applyAlignment="1">
      <alignment horizontal="center" vertical="center"/>
    </xf>
    <xf numFmtId="179" fontId="35" fillId="13" borderId="0" xfId="0" applyNumberFormat="1" applyFont="1" applyFill="1" applyAlignment="1">
      <alignment horizontal="center" vertical="center"/>
    </xf>
    <xf numFmtId="0" fontId="33" fillId="13" borderId="0" xfId="0" applyFont="1" applyFill="1" applyAlignment="1">
      <alignment horizontal="center" vertical="center"/>
    </xf>
    <xf numFmtId="179" fontId="35" fillId="14" borderId="0" xfId="0" applyNumberFormat="1" applyFont="1" applyFill="1" applyAlignment="1">
      <alignment horizontal="center" vertical="center"/>
    </xf>
    <xf numFmtId="0" fontId="33" fillId="14" borderId="0" xfId="0" applyFont="1" applyFill="1" applyAlignment="1">
      <alignment horizontal="center" vertical="center"/>
    </xf>
    <xf numFmtId="0" fontId="27" fillId="25" borderId="1" xfId="0" applyFont="1" applyFill="1" applyBorder="1" applyAlignment="1">
      <alignment horizontal="center" vertical="center" wrapText="1" readingOrder="1"/>
    </xf>
    <xf numFmtId="0" fontId="27" fillId="8" borderId="1" xfId="0" applyFont="1" applyFill="1" applyBorder="1" applyAlignment="1">
      <alignment horizontal="center" vertical="center" wrapText="1" readingOrder="1"/>
    </xf>
    <xf numFmtId="9" fontId="29" fillId="10" borderId="1" xfId="13" applyFont="1" applyFill="1" applyBorder="1" applyAlignment="1">
      <alignment vertical="center" wrapText="1" readingOrder="1"/>
    </xf>
    <xf numFmtId="181" fontId="29" fillId="10" borderId="1" xfId="13" applyNumberFormat="1" applyFont="1" applyFill="1" applyBorder="1" applyAlignment="1">
      <alignment vertical="center" wrapText="1" readingOrder="1"/>
    </xf>
    <xf numFmtId="180" fontId="29" fillId="10" borderId="3" xfId="39" applyNumberFormat="1" applyFont="1" applyFill="1" applyBorder="1" applyAlignment="1">
      <alignment vertical="center" wrapText="1" readingOrder="1"/>
    </xf>
    <xf numFmtId="0" fontId="3" fillId="0" borderId="0" xfId="2"/>
    <xf numFmtId="179" fontId="6" fillId="3" borderId="4" xfId="32" applyNumberFormat="1" applyFont="1" applyFill="1" applyBorder="1" applyAlignment="1">
      <alignment horizontal="center" vertical="center" wrapText="1" readingOrder="1"/>
    </xf>
    <xf numFmtId="179" fontId="6" fillId="3" borderId="5" xfId="32" applyNumberFormat="1" applyFont="1" applyFill="1" applyBorder="1" applyAlignment="1">
      <alignment horizontal="center" vertical="center" wrapText="1" readingOrder="1"/>
    </xf>
    <xf numFmtId="179" fontId="6" fillId="3" borderId="6" xfId="32" applyNumberFormat="1" applyFont="1" applyFill="1" applyBorder="1" applyAlignment="1">
      <alignment horizontal="center" vertical="center" wrapText="1" readingOrder="1"/>
    </xf>
    <xf numFmtId="180" fontId="36" fillId="2" borderId="7" xfId="32" applyNumberFormat="1" applyFont="1" applyFill="1" applyBorder="1" applyAlignment="1">
      <alignment horizontal="center" vertical="center" wrapText="1" readingOrder="1"/>
    </xf>
    <xf numFmtId="180" fontId="37" fillId="2" borderId="7" xfId="32" applyNumberFormat="1" applyFont="1" applyFill="1" applyBorder="1" applyAlignment="1">
      <alignment vertical="center" wrapText="1" readingOrder="1"/>
    </xf>
    <xf numFmtId="9" fontId="37" fillId="2" borderId="7" xfId="4" applyFont="1" applyFill="1" applyBorder="1" applyAlignment="1">
      <alignment vertical="center" wrapText="1" readingOrder="1"/>
    </xf>
    <xf numFmtId="180" fontId="38" fillId="4" borderId="8" xfId="32" applyNumberFormat="1" applyFont="1" applyFill="1" applyBorder="1" applyAlignment="1">
      <alignment horizontal="center" vertical="center" wrapText="1" readingOrder="1"/>
    </xf>
    <xf numFmtId="180" fontId="39" fillId="5" borderId="8" xfId="32" applyNumberFormat="1" applyFont="1" applyFill="1" applyBorder="1" applyAlignment="1">
      <alignment vertical="center" wrapText="1" readingOrder="1"/>
    </xf>
    <xf numFmtId="180" fontId="39" fillId="17" borderId="8" xfId="32" applyNumberFormat="1" applyFont="1" applyFill="1" applyBorder="1" applyAlignment="1">
      <alignment vertical="center" wrapText="1" readingOrder="1"/>
    </xf>
    <xf numFmtId="181" fontId="39" fillId="13" borderId="8" xfId="4" applyNumberFormat="1" applyFont="1" applyFill="1" applyBorder="1" applyAlignment="1">
      <alignment vertical="center" wrapText="1" readingOrder="1"/>
    </xf>
    <xf numFmtId="179" fontId="32" fillId="17" borderId="0" xfId="0" applyNumberFormat="1" applyFont="1" applyFill="1" applyAlignment="1">
      <alignment horizontal="center" vertical="center"/>
    </xf>
    <xf numFmtId="179" fontId="32" fillId="5" borderId="0" xfId="0" applyNumberFormat="1" applyFont="1" applyFill="1" applyAlignment="1">
      <alignment horizontal="center" vertical="center"/>
    </xf>
    <xf numFmtId="9" fontId="33" fillId="13" borderId="0" xfId="13" applyFont="1" applyFill="1" applyAlignment="1">
      <alignment horizontal="right" vertical="center"/>
    </xf>
    <xf numFmtId="180" fontId="39" fillId="4" borderId="8" xfId="32" applyNumberFormat="1" applyFont="1" applyFill="1" applyBorder="1" applyAlignment="1">
      <alignment vertical="center" wrapText="1" readingOrder="1"/>
    </xf>
    <xf numFmtId="181" fontId="39" fillId="4" borderId="8" xfId="4" applyNumberFormat="1" applyFont="1" applyFill="1" applyBorder="1" applyAlignment="1">
      <alignment vertical="center" wrapText="1" readingOrder="1"/>
    </xf>
    <xf numFmtId="179" fontId="7" fillId="3" borderId="9" xfId="32" applyNumberFormat="1" applyFont="1" applyFill="1" applyBorder="1" applyAlignment="1">
      <alignment horizontal="center" vertical="center" wrapText="1" readingOrder="1"/>
    </xf>
    <xf numFmtId="179" fontId="7" fillId="3" borderId="10" xfId="32" applyNumberFormat="1" applyFont="1" applyFill="1" applyBorder="1" applyAlignment="1">
      <alignment horizontal="center" vertical="center" wrapText="1" readingOrder="1"/>
    </xf>
    <xf numFmtId="179" fontId="7" fillId="3" borderId="11" xfId="32" applyNumberFormat="1" applyFont="1" applyFill="1" applyBorder="1" applyAlignment="1">
      <alignment horizontal="center" vertical="center" wrapText="1" readingOrder="1"/>
    </xf>
    <xf numFmtId="179" fontId="7" fillId="3" borderId="5" xfId="32" applyNumberFormat="1" applyFont="1" applyFill="1" applyBorder="1" applyAlignment="1">
      <alignment horizontal="center" vertical="center" wrapText="1" readingOrder="1"/>
    </xf>
    <xf numFmtId="180" fontId="36" fillId="2" borderId="12" xfId="32" applyNumberFormat="1" applyFont="1" applyFill="1" applyBorder="1" applyAlignment="1">
      <alignment horizontal="center" vertical="center" wrapText="1" readingOrder="1"/>
    </xf>
    <xf numFmtId="180" fontId="40" fillId="2" borderId="7" xfId="32" applyNumberFormat="1" applyFont="1" applyFill="1" applyBorder="1" applyAlignment="1">
      <alignment vertical="center" wrapText="1" readingOrder="1"/>
    </xf>
    <xf numFmtId="9" fontId="40" fillId="2" borderId="7" xfId="4" applyFont="1" applyFill="1" applyBorder="1" applyAlignment="1">
      <alignment vertical="center" wrapText="1" readingOrder="1"/>
    </xf>
    <xf numFmtId="9" fontId="40" fillId="2" borderId="7" xfId="4" applyFont="1" applyFill="1" applyBorder="1" applyAlignment="1">
      <alignment horizontal="right" vertical="center" wrapText="1" readingOrder="1"/>
    </xf>
    <xf numFmtId="180" fontId="36" fillId="4" borderId="12" xfId="32" applyNumberFormat="1" applyFont="1" applyFill="1" applyBorder="1" applyAlignment="1">
      <alignment horizontal="center" vertical="center" wrapText="1" readingOrder="1"/>
    </xf>
    <xf numFmtId="180" fontId="40" fillId="5" borderId="7" xfId="32" applyNumberFormat="1" applyFont="1" applyFill="1" applyBorder="1" applyAlignment="1">
      <alignment vertical="center" wrapText="1" readingOrder="1"/>
    </xf>
    <xf numFmtId="180" fontId="40" fillId="17" borderId="7" xfId="32" applyNumberFormat="1" applyFont="1" applyFill="1" applyBorder="1" applyAlignment="1">
      <alignment vertical="center" wrapText="1" readingOrder="1"/>
    </xf>
    <xf numFmtId="181" fontId="40" fillId="13" borderId="7" xfId="4" applyNumberFormat="1" applyFont="1" applyFill="1" applyBorder="1" applyAlignment="1">
      <alignment vertical="center" wrapText="1" readingOrder="1"/>
    </xf>
    <xf numFmtId="0" fontId="3" fillId="0" borderId="13" xfId="2" applyBorder="1"/>
    <xf numFmtId="0" fontId="3" fillId="0" borderId="14" xfId="2" applyBorder="1"/>
    <xf numFmtId="0" fontId="3" fillId="0" borderId="0" xfId="2" applyBorder="1"/>
    <xf numFmtId="179" fontId="7" fillId="3" borderId="15" xfId="32" applyNumberFormat="1" applyFont="1" applyFill="1" applyBorder="1" applyAlignment="1">
      <alignment horizontal="center" vertical="center" wrapText="1" readingOrder="1"/>
    </xf>
    <xf numFmtId="179" fontId="7" fillId="3" borderId="16" xfId="32" applyNumberFormat="1" applyFont="1" applyFill="1" applyBorder="1" applyAlignment="1">
      <alignment horizontal="center" vertical="center" wrapText="1" readingOrder="1"/>
    </xf>
    <xf numFmtId="9" fontId="40" fillId="2" borderId="17" xfId="4" applyFont="1" applyFill="1" applyBorder="1" applyAlignment="1">
      <alignment vertical="center" wrapText="1" readingOrder="1"/>
    </xf>
    <xf numFmtId="180" fontId="40" fillId="4" borderId="7" xfId="32" applyNumberFormat="1" applyFont="1" applyFill="1" applyBorder="1" applyAlignment="1">
      <alignment vertical="center" wrapText="1" readingOrder="1"/>
    </xf>
    <xf numFmtId="181" fontId="40" fillId="4" borderId="17" xfId="4" applyNumberFormat="1" applyFont="1" applyFill="1" applyBorder="1" applyAlignment="1">
      <alignment vertical="center" wrapText="1" readingOrder="1"/>
    </xf>
    <xf numFmtId="0" fontId="3" fillId="0" borderId="18" xfId="2" applyBorder="1"/>
    <xf numFmtId="43" fontId="17" fillId="17" borderId="0" xfId="39" applyNumberFormat="1" applyFont="1" applyFill="1" applyAlignment="1">
      <alignment vertical="center"/>
    </xf>
    <xf numFmtId="43" fontId="17" fillId="5" borderId="0" xfId="39" applyNumberFormat="1" applyFont="1" applyFill="1" applyAlignment="1">
      <alignment horizontal="center" vertical="center"/>
    </xf>
    <xf numFmtId="181" fontId="41" fillId="13" borderId="0" xfId="13" applyNumberFormat="1" applyFont="1" applyFill="1" applyAlignment="1">
      <alignment vertical="center"/>
    </xf>
    <xf numFmtId="0" fontId="42" fillId="0" borderId="0" xfId="37" applyAlignment="1">
      <alignment horizontal="center" vertical="center"/>
    </xf>
    <xf numFmtId="0" fontId="42" fillId="0" borderId="0" xfId="37"/>
    <xf numFmtId="0" fontId="42" fillId="0" borderId="0" xfId="37" applyAlignment="1">
      <alignment horizontal="center"/>
    </xf>
    <xf numFmtId="0" fontId="43" fillId="26" borderId="19" xfId="37" applyFont="1" applyFill="1" applyBorder="1" applyAlignment="1">
      <alignment horizontal="center"/>
    </xf>
    <xf numFmtId="0" fontId="43" fillId="26" borderId="19" xfId="37" applyFont="1" applyFill="1" applyBorder="1" applyAlignment="1">
      <alignment wrapText="1"/>
    </xf>
    <xf numFmtId="0" fontId="43" fillId="27" borderId="19" xfId="37" applyFont="1" applyFill="1" applyBorder="1" applyAlignment="1">
      <alignment horizontal="center" vertical="center"/>
    </xf>
    <xf numFmtId="49" fontId="44" fillId="26" borderId="19" xfId="37" applyNumberFormat="1" applyFont="1" applyFill="1" applyBorder="1" applyAlignment="1" applyProtection="1">
      <alignment horizontal="left" vertical="center" wrapText="1"/>
      <protection locked="0"/>
    </xf>
    <xf numFmtId="0" fontId="43" fillId="26" borderId="20" xfId="37" applyFont="1" applyFill="1" applyBorder="1" applyAlignment="1">
      <alignment horizontal="center"/>
    </xf>
    <xf numFmtId="0" fontId="43" fillId="26" borderId="21" xfId="37" applyFont="1" applyFill="1" applyBorder="1" applyAlignment="1">
      <alignment horizontal="center"/>
    </xf>
    <xf numFmtId="0" fontId="43" fillId="28" borderId="19" xfId="37" applyFont="1" applyFill="1" applyBorder="1" applyAlignment="1">
      <alignment horizontal="center"/>
    </xf>
    <xf numFmtId="0" fontId="43" fillId="28" borderId="19" xfId="37" applyFont="1" applyFill="1" applyBorder="1"/>
    <xf numFmtId="0" fontId="43" fillId="29" borderId="20" xfId="37" applyFont="1" applyFill="1" applyBorder="1" applyAlignment="1">
      <alignment horizontal="center" vertical="center"/>
    </xf>
    <xf numFmtId="0" fontId="43" fillId="29" borderId="22" xfId="37" applyFont="1" applyFill="1" applyBorder="1" applyAlignment="1">
      <alignment horizontal="center" vertical="center"/>
    </xf>
    <xf numFmtId="0" fontId="45" fillId="13" borderId="0" xfId="49" applyFont="1" applyFill="1" applyAlignment="1">
      <alignment horizontal="center" vertical="center"/>
    </xf>
    <xf numFmtId="180" fontId="43" fillId="26" borderId="19" xfId="32" applyNumberFormat="1" applyFont="1" applyFill="1" applyBorder="1" applyAlignment="1">
      <alignment horizontal="center" vertical="center"/>
    </xf>
    <xf numFmtId="14" fontId="43" fillId="27" borderId="19" xfId="37" applyNumberFormat="1" applyFont="1" applyFill="1" applyBorder="1" applyAlignment="1">
      <alignment horizontal="center" vertical="center"/>
    </xf>
    <xf numFmtId="57" fontId="43" fillId="27" borderId="19" xfId="37" applyNumberFormat="1" applyFont="1" applyFill="1" applyBorder="1" applyAlignment="1">
      <alignment horizontal="center" vertical="center"/>
    </xf>
    <xf numFmtId="180" fontId="46" fillId="0" borderId="19" xfId="32" applyNumberFormat="1" applyFont="1" applyBorder="1" applyAlignment="1">
      <alignment horizontal="center" vertical="center"/>
    </xf>
    <xf numFmtId="180" fontId="43" fillId="13" borderId="19" xfId="32" applyNumberFormat="1" applyFont="1" applyFill="1" applyBorder="1" applyAlignment="1">
      <alignment horizontal="center" vertical="center"/>
    </xf>
    <xf numFmtId="43" fontId="32" fillId="17" borderId="0" xfId="39" applyFont="1" applyFill="1" applyAlignment="1">
      <alignment horizontal="center" vertical="center"/>
    </xf>
    <xf numFmtId="43" fontId="32" fillId="5" borderId="0" xfId="39" applyFont="1" applyFill="1" applyAlignment="1">
      <alignment horizontal="center" vertical="center"/>
    </xf>
    <xf numFmtId="180" fontId="43" fillId="28" borderId="19" xfId="32" applyNumberFormat="1" applyFont="1" applyFill="1" applyBorder="1" applyAlignment="1">
      <alignment horizontal="center" vertical="center"/>
    </xf>
    <xf numFmtId="180" fontId="42" fillId="0" borderId="0" xfId="37" applyNumberFormat="1"/>
    <xf numFmtId="0" fontId="44" fillId="27" borderId="19" xfId="37" applyFont="1" applyFill="1" applyBorder="1" applyAlignment="1">
      <alignment horizontal="center" vertical="center"/>
    </xf>
    <xf numFmtId="180" fontId="44" fillId="26" borderId="19" xfId="32" applyNumberFormat="1" applyFont="1" applyFill="1" applyBorder="1" applyAlignment="1" applyProtection="1">
      <alignment horizontal="center" vertical="center" wrapText="1"/>
      <protection locked="0"/>
    </xf>
    <xf numFmtId="180" fontId="4" fillId="26" borderId="19" xfId="32" applyNumberFormat="1" applyFont="1" applyFill="1" applyBorder="1" applyAlignment="1">
      <alignment horizontal="center" vertical="center"/>
    </xf>
    <xf numFmtId="0" fontId="42" fillId="0" borderId="19" xfId="37" applyBorder="1"/>
    <xf numFmtId="0" fontId="43" fillId="29" borderId="21" xfId="37" applyFont="1" applyFill="1" applyBorder="1" applyAlignment="1">
      <alignment horizontal="center" vertical="center"/>
    </xf>
    <xf numFmtId="0" fontId="0" fillId="0" borderId="0" xfId="1" applyAlignment="1">
      <alignment horizontal="center" vertical="center"/>
    </xf>
    <xf numFmtId="177" fontId="0" fillId="0" borderId="0" xfId="1" applyNumberFormat="1"/>
    <xf numFmtId="177" fontId="15" fillId="0" borderId="0" xfId="1" applyNumberFormat="1" applyFont="1"/>
    <xf numFmtId="0" fontId="0" fillId="0" borderId="0" xfId="1"/>
    <xf numFmtId="41" fontId="0" fillId="0" borderId="0" xfId="32" applyNumberFormat="1" applyFont="1" applyAlignment="1">
      <alignment vertical="center"/>
    </xf>
    <xf numFmtId="41" fontId="0" fillId="0" borderId="0" xfId="32" applyNumberFormat="1" applyFont="1" applyAlignment="1"/>
    <xf numFmtId="41" fontId="47" fillId="0" borderId="0" xfId="32" applyNumberFormat="1" applyFont="1" applyBorder="1" applyAlignment="1">
      <alignment horizontal="center" vertical="center" wrapText="1"/>
    </xf>
    <xf numFmtId="41" fontId="47" fillId="0" borderId="0" xfId="32" applyNumberFormat="1" applyFont="1" applyBorder="1" applyAlignment="1">
      <alignment horizontal="center" vertical="center"/>
    </xf>
    <xf numFmtId="41" fontId="48" fillId="0" borderId="23" xfId="32" applyNumberFormat="1" applyFont="1" applyBorder="1" applyAlignment="1">
      <alignment horizontal="center" vertical="center"/>
    </xf>
    <xf numFmtId="0" fontId="49" fillId="27" borderId="24" xfId="37" applyFont="1" applyFill="1" applyBorder="1" applyAlignment="1">
      <alignment horizontal="center" vertical="center"/>
    </xf>
    <xf numFmtId="41" fontId="48" fillId="0" borderId="25" xfId="32" applyNumberFormat="1" applyFont="1" applyBorder="1" applyAlignment="1">
      <alignment horizontal="center" vertical="center"/>
    </xf>
    <xf numFmtId="41" fontId="48" fillId="0" borderId="19" xfId="32" applyNumberFormat="1" applyFont="1" applyBorder="1" applyAlignment="1">
      <alignment horizontal="center"/>
    </xf>
    <xf numFmtId="41" fontId="48" fillId="0" borderId="19" xfId="32" applyNumberFormat="1" applyFont="1" applyFill="1" applyBorder="1" applyAlignment="1">
      <alignment horizontal="center"/>
    </xf>
    <xf numFmtId="41" fontId="48" fillId="0" borderId="26" xfId="32" applyNumberFormat="1" applyFont="1" applyBorder="1" applyAlignment="1">
      <alignment horizontal="center" vertical="center"/>
    </xf>
    <xf numFmtId="41" fontId="48" fillId="0" borderId="27" xfId="32" applyNumberFormat="1" applyFont="1" applyFill="1" applyBorder="1" applyAlignment="1">
      <alignment horizontal="center"/>
    </xf>
    <xf numFmtId="41" fontId="48" fillId="0" borderId="28" xfId="32" applyNumberFormat="1" applyFont="1" applyBorder="1" applyAlignment="1">
      <alignment horizontal="center" vertical="center"/>
    </xf>
    <xf numFmtId="41" fontId="12" fillId="0" borderId="29" xfId="32" applyNumberFormat="1" applyFont="1" applyBorder="1" applyAlignment="1">
      <alignment horizontal="center" vertical="center"/>
    </xf>
    <xf numFmtId="41" fontId="48" fillId="0" borderId="24" xfId="32" applyNumberFormat="1" applyFont="1" applyBorder="1" applyAlignment="1">
      <alignment horizontal="center"/>
    </xf>
    <xf numFmtId="41" fontId="48" fillId="0" borderId="29" xfId="32" applyNumberFormat="1" applyFont="1" applyBorder="1" applyAlignment="1">
      <alignment horizontal="center" vertical="center"/>
    </xf>
    <xf numFmtId="41" fontId="48" fillId="0" borderId="30" xfId="32" applyNumberFormat="1" applyFont="1" applyBorder="1" applyAlignment="1">
      <alignment horizontal="center" vertical="center"/>
    </xf>
    <xf numFmtId="41" fontId="48" fillId="0" borderId="31" xfId="32" applyNumberFormat="1" applyFont="1" applyBorder="1" applyAlignment="1">
      <alignment horizontal="center"/>
    </xf>
    <xf numFmtId="41" fontId="48" fillId="0" borderId="19" xfId="32" applyNumberFormat="1" applyFont="1" applyBorder="1" applyAlignment="1"/>
    <xf numFmtId="41" fontId="48" fillId="0" borderId="19" xfId="32" applyNumberFormat="1" applyFont="1" applyBorder="1" applyAlignment="1">
      <alignment horizontal="right"/>
    </xf>
    <xf numFmtId="41" fontId="48" fillId="13" borderId="19" xfId="32" applyNumberFormat="1" applyFont="1" applyFill="1" applyBorder="1" applyAlignment="1">
      <alignment horizontal="right"/>
    </xf>
    <xf numFmtId="41" fontId="48" fillId="0" borderId="19" xfId="32" applyNumberFormat="1" applyFont="1" applyFill="1" applyBorder="1" applyAlignment="1">
      <alignment horizontal="right"/>
    </xf>
    <xf numFmtId="0" fontId="33" fillId="16" borderId="0" xfId="0" applyFont="1" applyFill="1" applyAlignment="1">
      <alignment horizontal="center" vertical="center"/>
    </xf>
    <xf numFmtId="41" fontId="48" fillId="0" borderId="27" xfId="32" applyNumberFormat="1" applyFont="1" applyBorder="1" applyAlignment="1"/>
    <xf numFmtId="41" fontId="48" fillId="0" borderId="27" xfId="32" applyNumberFormat="1" applyFont="1" applyBorder="1" applyAlignment="1">
      <alignment horizontal="right"/>
    </xf>
    <xf numFmtId="41" fontId="48" fillId="0" borderId="27" xfId="32" applyNumberFormat="1" applyFont="1" applyFill="1" applyBorder="1" applyAlignment="1">
      <alignment horizontal="right"/>
    </xf>
    <xf numFmtId="41" fontId="12" fillId="0" borderId="29" xfId="32" applyNumberFormat="1" applyFont="1" applyBorder="1" applyAlignment="1"/>
    <xf numFmtId="41" fontId="12" fillId="0" borderId="29" xfId="32" applyNumberFormat="1" applyFont="1" applyBorder="1" applyAlignment="1">
      <alignment horizontal="right"/>
    </xf>
    <xf numFmtId="41" fontId="48" fillId="0" borderId="24" xfId="32" applyNumberFormat="1" applyFont="1" applyBorder="1" applyAlignment="1"/>
    <xf numFmtId="41" fontId="48" fillId="0" borderId="29" xfId="32" applyNumberFormat="1" applyFont="1" applyBorder="1" applyAlignment="1"/>
    <xf numFmtId="41" fontId="48" fillId="0" borderId="32" xfId="32" applyNumberFormat="1" applyFont="1" applyBorder="1" applyAlignment="1"/>
    <xf numFmtId="41" fontId="48" fillId="0" borderId="31" xfId="32" applyNumberFormat="1" applyFont="1" applyBorder="1" applyAlignment="1"/>
    <xf numFmtId="0" fontId="14" fillId="0" borderId="0" xfId="0" applyFont="1" applyAlignment="1">
      <alignment horizontal="justify" vertical="center"/>
    </xf>
    <xf numFmtId="0" fontId="46" fillId="27" borderId="24" xfId="37" applyFont="1" applyFill="1" applyBorder="1" applyAlignment="1">
      <alignment horizontal="center" vertical="center"/>
    </xf>
    <xf numFmtId="41" fontId="48" fillId="26" borderId="24" xfId="32" applyNumberFormat="1" applyFont="1" applyFill="1" applyBorder="1" applyAlignment="1"/>
    <xf numFmtId="41" fontId="48" fillId="0" borderId="24" xfId="32" applyNumberFormat="1" applyFont="1" applyFill="1" applyBorder="1" applyAlignment="1">
      <alignment horizontal="right"/>
    </xf>
    <xf numFmtId="41" fontId="48" fillId="0" borderId="24" xfId="32" applyNumberFormat="1" applyFont="1" applyBorder="1" applyAlignment="1">
      <alignment horizontal="right"/>
    </xf>
    <xf numFmtId="41" fontId="48" fillId="26" borderId="19" xfId="32" applyNumberFormat="1" applyFont="1" applyFill="1" applyBorder="1" applyAlignment="1"/>
    <xf numFmtId="41" fontId="46" fillId="0" borderId="19" xfId="32" applyNumberFormat="1" applyFont="1" applyBorder="1" applyAlignment="1">
      <alignment horizontal="center" vertical="center"/>
    </xf>
    <xf numFmtId="41" fontId="46" fillId="0" borderId="19" xfId="32" applyNumberFormat="1" applyFont="1" applyFill="1" applyBorder="1" applyAlignment="1">
      <alignment horizontal="center" vertical="center"/>
    </xf>
    <xf numFmtId="180" fontId="48" fillId="26" borderId="19" xfId="32" applyNumberFormat="1" applyFont="1" applyFill="1" applyBorder="1" applyAlignment="1"/>
    <xf numFmtId="180" fontId="48" fillId="0" borderId="19" xfId="32" applyNumberFormat="1" applyFont="1" applyFill="1" applyBorder="1" applyAlignment="1"/>
    <xf numFmtId="180" fontId="48" fillId="0" borderId="19" xfId="32" applyNumberFormat="1" applyFont="1" applyBorder="1" applyAlignment="1"/>
    <xf numFmtId="180" fontId="48" fillId="0" borderId="27" xfId="32" applyNumberFormat="1" applyFont="1" applyBorder="1" applyAlignment="1"/>
    <xf numFmtId="180" fontId="48" fillId="0" borderId="27" xfId="32" applyNumberFormat="1" applyFont="1" applyFill="1" applyBorder="1" applyAlignment="1"/>
    <xf numFmtId="41" fontId="46" fillId="0" borderId="27" xfId="32" applyNumberFormat="1" applyFont="1" applyBorder="1" applyAlignment="1">
      <alignment horizontal="center" vertical="center"/>
    </xf>
    <xf numFmtId="0" fontId="49" fillId="27" borderId="33" xfId="37" applyFont="1" applyFill="1" applyBorder="1" applyAlignment="1">
      <alignment horizontal="center" vertical="center"/>
    </xf>
    <xf numFmtId="41" fontId="48" fillId="0" borderId="34" xfId="32" applyNumberFormat="1" applyFont="1" applyBorder="1" applyAlignment="1">
      <alignment horizontal="right"/>
    </xf>
    <xf numFmtId="41" fontId="48" fillId="0" borderId="35" xfId="32" applyNumberFormat="1" applyFont="1" applyBorder="1" applyAlignment="1">
      <alignment horizontal="right"/>
    </xf>
    <xf numFmtId="41" fontId="12" fillId="0" borderId="32" xfId="32" applyNumberFormat="1" applyFont="1" applyBorder="1" applyAlignment="1">
      <alignment horizontal="right"/>
    </xf>
    <xf numFmtId="41" fontId="46" fillId="0" borderId="34" xfId="32" applyNumberFormat="1" applyFont="1" applyBorder="1" applyAlignment="1">
      <alignment horizontal="center" vertical="center"/>
    </xf>
    <xf numFmtId="41" fontId="48" fillId="0" borderId="34" xfId="32" applyNumberFormat="1" applyFont="1" applyBorder="1" applyAlignment="1"/>
    <xf numFmtId="180" fontId="48" fillId="0" borderId="19" xfId="32" applyNumberFormat="1" applyFont="1" applyBorder="1" applyAlignment="1">
      <alignment horizontal="right"/>
    </xf>
    <xf numFmtId="180" fontId="48" fillId="0" borderId="34" xfId="32" applyNumberFormat="1" applyFont="1" applyBorder="1" applyAlignment="1"/>
    <xf numFmtId="180" fontId="48" fillId="0" borderId="27" xfId="32" applyNumberFormat="1" applyFont="1" applyBorder="1" applyAlignment="1">
      <alignment horizontal="right"/>
    </xf>
    <xf numFmtId="180" fontId="48" fillId="0" borderId="35" xfId="32" applyNumberFormat="1" applyFont="1" applyBorder="1" applyAlignment="1"/>
    <xf numFmtId="41" fontId="46" fillId="0" borderId="35" xfId="32" applyNumberFormat="1" applyFont="1" applyBorder="1" applyAlignment="1">
      <alignment horizontal="center" vertical="center"/>
    </xf>
    <xf numFmtId="0" fontId="2" fillId="0" borderId="0" xfId="2" applyFont="1"/>
    <xf numFmtId="0" fontId="3" fillId="0" borderId="36" xfId="2" applyBorder="1"/>
    <xf numFmtId="0" fontId="3" fillId="0" borderId="37" xfId="2" applyBorder="1"/>
    <xf numFmtId="0" fontId="27" fillId="20" borderId="38" xfId="2" applyFont="1" applyFill="1" applyBorder="1" applyAlignment="1">
      <alignment horizontal="center" vertical="center" wrapText="1" readingOrder="1"/>
    </xf>
    <xf numFmtId="0" fontId="3" fillId="0" borderId="39" xfId="2" applyBorder="1"/>
    <xf numFmtId="0" fontId="27" fillId="20" borderId="40" xfId="2" applyFont="1" applyFill="1" applyBorder="1" applyAlignment="1">
      <alignment horizontal="center" vertical="center" wrapText="1" readingOrder="1"/>
    </xf>
    <xf numFmtId="0" fontId="28" fillId="22" borderId="40" xfId="2" applyFont="1" applyFill="1" applyBorder="1" applyAlignment="1">
      <alignment horizontal="center" vertical="center" wrapText="1" readingOrder="1"/>
    </xf>
    <xf numFmtId="0" fontId="50" fillId="30" borderId="39" xfId="2" applyFont="1" applyFill="1" applyBorder="1" applyAlignment="1">
      <alignment horizontal="center" vertical="center"/>
    </xf>
    <xf numFmtId="3" fontId="50" fillId="30" borderId="0" xfId="2" applyNumberFormat="1" applyFont="1" applyFill="1" applyBorder="1" applyAlignment="1">
      <alignment horizontal="center" vertical="center"/>
    </xf>
    <xf numFmtId="0" fontId="28" fillId="22" borderId="41" xfId="2" applyFont="1" applyFill="1" applyBorder="1" applyAlignment="1">
      <alignment horizontal="center" vertical="center" wrapText="1" readingOrder="1"/>
    </xf>
    <xf numFmtId="0" fontId="41" fillId="0" borderId="39" xfId="2" applyFont="1" applyBorder="1"/>
    <xf numFmtId="0" fontId="41" fillId="0" borderId="0" xfId="2" applyFont="1" applyBorder="1"/>
    <xf numFmtId="0" fontId="50" fillId="13" borderId="39" xfId="2" applyFont="1" applyFill="1" applyBorder="1" applyAlignment="1">
      <alignment horizontal="center" vertical="center"/>
    </xf>
    <xf numFmtId="3" fontId="50" fillId="13" borderId="0" xfId="2" applyNumberFormat="1" applyFont="1" applyFill="1" applyBorder="1" applyAlignment="1">
      <alignment horizontal="center" vertical="center"/>
    </xf>
    <xf numFmtId="0" fontId="30" fillId="22" borderId="40" xfId="2" applyFont="1" applyFill="1" applyBorder="1" applyAlignment="1">
      <alignment horizontal="center" vertical="center" wrapText="1" readingOrder="1"/>
    </xf>
    <xf numFmtId="0" fontId="50" fillId="31" borderId="13" xfId="2" applyFont="1" applyFill="1" applyBorder="1"/>
    <xf numFmtId="3" fontId="50" fillId="31" borderId="14" xfId="2" applyNumberFormat="1" applyFont="1" applyFill="1" applyBorder="1" applyAlignment="1">
      <alignment horizontal="center"/>
    </xf>
    <xf numFmtId="0" fontId="30" fillId="22" borderId="42" xfId="2" applyFont="1" applyFill="1" applyBorder="1" applyAlignment="1">
      <alignment horizontal="center" vertical="center" wrapText="1" readingOrder="1"/>
    </xf>
    <xf numFmtId="0" fontId="18" fillId="0" borderId="0" xfId="2" applyFont="1"/>
    <xf numFmtId="0" fontId="27" fillId="21" borderId="43" xfId="2" applyFont="1" applyFill="1" applyBorder="1" applyAlignment="1">
      <alignment horizontal="center" vertical="center" wrapText="1" readingOrder="1"/>
    </xf>
    <xf numFmtId="0" fontId="27" fillId="21" borderId="44" xfId="2" applyFont="1" applyFill="1" applyBorder="1" applyAlignment="1">
      <alignment horizontal="center" vertical="center" wrapText="1" readingOrder="1"/>
    </xf>
    <xf numFmtId="0" fontId="51" fillId="21" borderId="5" xfId="2" applyFont="1" applyFill="1" applyBorder="1" applyAlignment="1">
      <alignment horizontal="center" vertical="center" wrapText="1" readingOrder="1"/>
    </xf>
    <xf numFmtId="3" fontId="29" fillId="23" borderId="3" xfId="2" applyNumberFormat="1" applyFont="1" applyFill="1" applyBorder="1" applyAlignment="1">
      <alignment horizontal="center" vertical="center" wrapText="1" readingOrder="1"/>
    </xf>
    <xf numFmtId="9" fontId="29" fillId="23" borderId="3" xfId="4" applyFont="1" applyFill="1" applyBorder="1" applyAlignment="1">
      <alignment horizontal="center" vertical="center" wrapText="1" readingOrder="1"/>
    </xf>
    <xf numFmtId="43" fontId="29" fillId="23" borderId="45" xfId="34" applyFont="1" applyFill="1" applyBorder="1" applyAlignment="1">
      <alignment horizontal="center" vertical="center" wrapText="1" readingOrder="1"/>
    </xf>
    <xf numFmtId="3" fontId="29" fillId="23" borderId="45" xfId="2" applyNumberFormat="1" applyFont="1" applyFill="1" applyBorder="1" applyAlignment="1">
      <alignment horizontal="center" vertical="center" wrapText="1" readingOrder="1"/>
    </xf>
    <xf numFmtId="9" fontId="29" fillId="23" borderId="45" xfId="4" applyFont="1" applyFill="1" applyBorder="1" applyAlignment="1">
      <alignment horizontal="center" vertical="center" wrapText="1" readingOrder="1"/>
    </xf>
    <xf numFmtId="3" fontId="29" fillId="12" borderId="45" xfId="2" applyNumberFormat="1" applyFont="1" applyFill="1" applyBorder="1" applyAlignment="1">
      <alignment horizontal="center" vertical="center" wrapText="1" readingOrder="1"/>
    </xf>
    <xf numFmtId="3" fontId="29" fillId="23" borderId="46" xfId="2" applyNumberFormat="1" applyFont="1" applyFill="1" applyBorder="1" applyAlignment="1">
      <alignment horizontal="center" vertical="center" wrapText="1" readingOrder="1"/>
    </xf>
    <xf numFmtId="9" fontId="29" fillId="23" borderId="46" xfId="4" applyFont="1" applyFill="1" applyBorder="1" applyAlignment="1">
      <alignment horizontal="center" vertical="center" wrapText="1" readingOrder="1"/>
    </xf>
    <xf numFmtId="9" fontId="29" fillId="23" borderId="47" xfId="4" applyFont="1" applyFill="1" applyBorder="1" applyAlignment="1">
      <alignment horizontal="center" vertical="center" wrapText="1" readingOrder="1"/>
    </xf>
    <xf numFmtId="3" fontId="29" fillId="25" borderId="48" xfId="2" applyNumberFormat="1" applyFont="1" applyFill="1" applyBorder="1" applyAlignment="1">
      <alignment horizontal="center" vertical="center" wrapText="1" readingOrder="1"/>
    </xf>
    <xf numFmtId="3" fontId="29" fillId="23" borderId="48" xfId="2" applyNumberFormat="1" applyFont="1" applyFill="1" applyBorder="1" applyAlignment="1">
      <alignment horizontal="center" vertical="center" wrapText="1" readingOrder="1"/>
    </xf>
    <xf numFmtId="3" fontId="31" fillId="17" borderId="45" xfId="2" applyNumberFormat="1" applyFont="1" applyFill="1" applyBorder="1" applyAlignment="1">
      <alignment horizontal="center" vertical="center" wrapText="1" readingOrder="1"/>
    </xf>
    <xf numFmtId="3" fontId="31" fillId="23" borderId="45" xfId="2" applyNumberFormat="1" applyFont="1" applyFill="1" applyBorder="1" applyAlignment="1">
      <alignment horizontal="center" vertical="center" wrapText="1" readingOrder="1"/>
    </xf>
    <xf numFmtId="9" fontId="31" fillId="23" borderId="45" xfId="4" applyFont="1" applyFill="1" applyBorder="1" applyAlignment="1">
      <alignment horizontal="center" vertical="center" wrapText="1" readingOrder="1"/>
    </xf>
    <xf numFmtId="3" fontId="31" fillId="16" borderId="45" xfId="2" applyNumberFormat="1" applyFont="1" applyFill="1" applyBorder="1" applyAlignment="1">
      <alignment horizontal="center" vertical="center" wrapText="1" readingOrder="1"/>
    </xf>
    <xf numFmtId="3" fontId="31" fillId="23" borderId="49" xfId="2" applyNumberFormat="1" applyFont="1" applyFill="1" applyBorder="1" applyAlignment="1">
      <alignment horizontal="center" vertical="center" wrapText="1" readingOrder="1"/>
    </xf>
    <xf numFmtId="9" fontId="31" fillId="23" borderId="49" xfId="4" applyFont="1" applyFill="1" applyBorder="1" applyAlignment="1">
      <alignment horizontal="center" vertical="center" wrapText="1" readingOrder="1"/>
    </xf>
    <xf numFmtId="3" fontId="31" fillId="23" borderId="50" xfId="2" applyNumberFormat="1" applyFont="1" applyFill="1" applyBorder="1" applyAlignment="1">
      <alignment horizontal="center" vertical="center" wrapText="1" readingOrder="1"/>
    </xf>
    <xf numFmtId="43" fontId="18" fillId="0" borderId="0" xfId="39" applyNumberFormat="1" applyFont="1">
      <alignment vertical="center"/>
    </xf>
    <xf numFmtId="3" fontId="3" fillId="0" borderId="0" xfId="2" applyNumberFormat="1"/>
    <xf numFmtId="43" fontId="18" fillId="0" borderId="0" xfId="39" applyNumberFormat="1" applyFont="1" applyAlignment="1"/>
    <xf numFmtId="0" fontId="33" fillId="12" borderId="0" xfId="0" applyFont="1" applyFill="1" applyAlignment="1">
      <alignment horizontal="center" vertical="center"/>
    </xf>
    <xf numFmtId="43" fontId="18" fillId="0" borderId="0" xfId="39" applyNumberFormat="1" applyFont="1" applyAlignment="1">
      <alignment vertical="center"/>
    </xf>
    <xf numFmtId="0" fontId="33" fillId="32" borderId="0" xfId="0" applyFont="1" applyFill="1" applyAlignment="1">
      <alignment horizontal="center" vertical="center"/>
    </xf>
    <xf numFmtId="0" fontId="33" fillId="31" borderId="0" xfId="0" applyFont="1" applyFill="1" applyAlignment="1">
      <alignment horizontal="center" vertical="center"/>
    </xf>
    <xf numFmtId="0" fontId="27" fillId="21" borderId="51" xfId="2" applyFont="1" applyFill="1" applyBorder="1" applyAlignment="1">
      <alignment horizontal="center" vertical="center" wrapText="1" readingOrder="1"/>
    </xf>
    <xf numFmtId="0" fontId="51" fillId="21" borderId="16" xfId="2" applyFont="1" applyFill="1" applyBorder="1" applyAlignment="1">
      <alignment horizontal="center" vertical="center" wrapText="1" readingOrder="1"/>
    </xf>
    <xf numFmtId="3" fontId="29" fillId="23" borderId="52" xfId="2" applyNumberFormat="1" applyFont="1" applyFill="1" applyBorder="1" applyAlignment="1">
      <alignment horizontal="center" vertical="center" wrapText="1" readingOrder="1"/>
    </xf>
    <xf numFmtId="176" fontId="3" fillId="0" borderId="0" xfId="2" applyNumberFormat="1"/>
    <xf numFmtId="9" fontId="29" fillId="23" borderId="52" xfId="4" applyFont="1" applyFill="1" applyBorder="1" applyAlignment="1">
      <alignment horizontal="center" vertical="center" wrapText="1" readingOrder="1"/>
    </xf>
    <xf numFmtId="3" fontId="29" fillId="23" borderId="53" xfId="2" applyNumberFormat="1" applyFont="1" applyFill="1" applyBorder="1" applyAlignment="1">
      <alignment horizontal="center" vertical="center" wrapText="1" readingOrder="1"/>
    </xf>
    <xf numFmtId="3" fontId="29" fillId="23" borderId="54" xfId="2" applyNumberFormat="1" applyFont="1" applyFill="1" applyBorder="1" applyAlignment="1">
      <alignment horizontal="center" vertical="center" wrapText="1" readingOrder="1"/>
    </xf>
    <xf numFmtId="9" fontId="31" fillId="23" borderId="52" xfId="4" applyFont="1" applyFill="1" applyBorder="1" applyAlignment="1">
      <alignment horizontal="center" vertical="center" wrapText="1" readingOrder="1"/>
    </xf>
    <xf numFmtId="9" fontId="31" fillId="23" borderId="55" xfId="4" applyFont="1" applyFill="1" applyBorder="1" applyAlignment="1">
      <alignment horizontal="center" vertical="center" wrapText="1" readingOrder="1"/>
    </xf>
    <xf numFmtId="0" fontId="27" fillId="20" borderId="56" xfId="0" applyFont="1" applyFill="1" applyBorder="1" applyAlignment="1">
      <alignment horizontal="center" vertical="center" wrapText="1" readingOrder="1"/>
    </xf>
    <xf numFmtId="0" fontId="27" fillId="21" borderId="57" xfId="0" applyFont="1" applyFill="1" applyBorder="1" applyAlignment="1">
      <alignment horizontal="center" vertical="center" wrapText="1" readingOrder="1"/>
    </xf>
    <xf numFmtId="0" fontId="27" fillId="20" borderId="58" xfId="0" applyFont="1" applyFill="1" applyBorder="1" applyAlignment="1">
      <alignment horizontal="center" vertical="center" wrapText="1" readingOrder="1"/>
    </xf>
    <xf numFmtId="0" fontId="28" fillId="22" borderId="58" xfId="0" applyFont="1" applyFill="1" applyBorder="1" applyAlignment="1">
      <alignment horizontal="center" vertical="center" wrapText="1" readingOrder="1"/>
    </xf>
    <xf numFmtId="180" fontId="29" fillId="5" borderId="1" xfId="39" applyNumberFormat="1" applyFont="1" applyFill="1" applyBorder="1" applyAlignment="1">
      <alignment horizontal="center" vertical="center" wrapText="1" readingOrder="1"/>
    </xf>
    <xf numFmtId="0" fontId="30" fillId="22" borderId="59" xfId="0" applyFont="1" applyFill="1" applyBorder="1" applyAlignment="1">
      <alignment horizontal="center" vertical="center" wrapText="1" readingOrder="1"/>
    </xf>
    <xf numFmtId="180" fontId="30" fillId="22" borderId="60" xfId="0" applyNumberFormat="1" applyFont="1" applyFill="1" applyBorder="1" applyAlignment="1">
      <alignment horizontal="center" vertical="center" wrapText="1" readingOrder="1"/>
    </xf>
    <xf numFmtId="0" fontId="14" fillId="0" borderId="0" xfId="0" applyFont="1" applyAlignment="1">
      <alignment vertical="center"/>
    </xf>
    <xf numFmtId="0" fontId="27" fillId="21" borderId="61" xfId="0" applyFont="1" applyFill="1" applyBorder="1" applyAlignment="1">
      <alignment horizontal="center" vertical="center" wrapText="1" readingOrder="1"/>
    </xf>
    <xf numFmtId="0" fontId="27" fillId="21" borderId="62" xfId="0" applyFont="1" applyFill="1" applyBorder="1" applyAlignment="1">
      <alignment horizontal="center" vertical="center" wrapText="1" readingOrder="1"/>
    </xf>
    <xf numFmtId="0" fontId="27" fillId="21" borderId="63" xfId="0" applyFont="1" applyFill="1" applyBorder="1" applyAlignment="1">
      <alignment horizontal="center" vertical="center" wrapText="1" readingOrder="1"/>
    </xf>
    <xf numFmtId="0" fontId="27" fillId="8" borderId="63" xfId="0" applyFont="1" applyFill="1" applyBorder="1" applyAlignment="1">
      <alignment horizontal="center" vertical="center" wrapText="1" readingOrder="1"/>
    </xf>
    <xf numFmtId="0" fontId="27" fillId="21" borderId="64" xfId="0" applyFont="1" applyFill="1" applyBorder="1" applyAlignment="1">
      <alignment horizontal="center" vertical="center" wrapText="1" readingOrder="1"/>
    </xf>
    <xf numFmtId="0" fontId="27" fillId="21" borderId="65" xfId="0" applyFont="1" applyFill="1" applyBorder="1" applyAlignment="1">
      <alignment horizontal="center" vertical="center" wrapText="1" readingOrder="1"/>
    </xf>
    <xf numFmtId="0" fontId="27" fillId="8" borderId="65" xfId="0" applyFont="1" applyFill="1" applyBorder="1" applyAlignment="1">
      <alignment horizontal="center" vertical="center" wrapText="1" readingOrder="1"/>
    </xf>
    <xf numFmtId="10" fontId="29" fillId="0" borderId="1" xfId="13" applyNumberFormat="1" applyFont="1" applyFill="1" applyBorder="1" applyAlignment="1">
      <alignment horizontal="center" vertical="center" wrapText="1" readingOrder="1"/>
    </xf>
    <xf numFmtId="180" fontId="29" fillId="13" borderId="1" xfId="39" applyNumberFormat="1" applyFont="1" applyFill="1" applyBorder="1" applyAlignment="1">
      <alignment horizontal="center" vertical="center" wrapText="1" readingOrder="1"/>
    </xf>
    <xf numFmtId="180" fontId="29" fillId="24" borderId="1" xfId="39" applyNumberFormat="1" applyFont="1" applyFill="1" applyBorder="1" applyAlignment="1">
      <alignment horizontal="center" vertical="center" wrapText="1" readingOrder="1"/>
    </xf>
    <xf numFmtId="180" fontId="29" fillId="16" borderId="1" xfId="39" applyNumberFormat="1" applyFont="1" applyFill="1" applyBorder="1" applyAlignment="1">
      <alignment horizontal="center" vertical="center" wrapText="1" readingOrder="1"/>
    </xf>
    <xf numFmtId="10" fontId="30" fillId="22" borderId="60" xfId="0" applyNumberFormat="1" applyFont="1" applyFill="1" applyBorder="1" applyAlignment="1">
      <alignment horizontal="center" vertical="center" wrapText="1" readingOrder="1"/>
    </xf>
    <xf numFmtId="179" fontId="0" fillId="0" borderId="0" xfId="39" applyNumberFormat="1" applyFont="1">
      <alignment vertical="center"/>
    </xf>
    <xf numFmtId="0" fontId="14" fillId="17" borderId="0" xfId="0" applyFont="1" applyFill="1" applyAlignment="1">
      <alignment vertical="center"/>
    </xf>
    <xf numFmtId="0" fontId="14" fillId="5" borderId="0" xfId="0" applyFont="1" applyFill="1" applyAlignment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6" borderId="0" xfId="0" applyFill="1">
      <alignment vertical="center"/>
    </xf>
    <xf numFmtId="0" fontId="0" fillId="12" borderId="0" xfId="0" applyFill="1">
      <alignment vertical="center"/>
    </xf>
    <xf numFmtId="0" fontId="14" fillId="0" borderId="0" xfId="0" applyFont="1" applyAlignment="1">
      <alignment vertical="center" wrapText="1"/>
    </xf>
    <xf numFmtId="0" fontId="27" fillId="8" borderId="0" xfId="0" applyFont="1" applyFill="1" applyBorder="1" applyAlignment="1">
      <alignment horizontal="center" vertical="center" wrapText="1" readingOrder="1"/>
    </xf>
    <xf numFmtId="0" fontId="27" fillId="8" borderId="47" xfId="0" applyFont="1" applyFill="1" applyBorder="1" applyAlignment="1">
      <alignment horizontal="center" vertical="center" wrapText="1" readingOrder="1"/>
    </xf>
    <xf numFmtId="0" fontId="27" fillId="8" borderId="1" xfId="0" applyFont="1" applyFill="1" applyBorder="1" applyAlignment="1">
      <alignment vertical="center" wrapText="1" readingOrder="1"/>
    </xf>
    <xf numFmtId="180" fontId="29" fillId="12" borderId="1" xfId="39" applyNumberFormat="1" applyFont="1" applyFill="1" applyBorder="1" applyAlignment="1">
      <alignment horizontal="center" vertical="center" wrapText="1" readingOrder="1"/>
    </xf>
    <xf numFmtId="180" fontId="29" fillId="12" borderId="66" xfId="39" applyNumberFormat="1" applyFont="1" applyFill="1" applyBorder="1" applyAlignment="1">
      <alignment horizontal="center" vertical="center" wrapText="1" readingOrder="1"/>
    </xf>
    <xf numFmtId="180" fontId="30" fillId="22" borderId="67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 wrapText="1"/>
    </xf>
    <xf numFmtId="0" fontId="27" fillId="8" borderId="68" xfId="0" applyFont="1" applyFill="1" applyBorder="1" applyAlignment="1">
      <alignment horizontal="center" vertical="center" wrapText="1" readingOrder="1"/>
    </xf>
    <xf numFmtId="0" fontId="27" fillId="8" borderId="54" xfId="0" applyFont="1" applyFill="1" applyBorder="1" applyAlignment="1">
      <alignment horizontal="center" vertical="center" wrapText="1" readingOrder="1"/>
    </xf>
    <xf numFmtId="180" fontId="29" fillId="23" borderId="69" xfId="39" applyNumberFormat="1" applyFont="1" applyFill="1" applyBorder="1" applyAlignment="1">
      <alignment horizontal="center" vertical="center" wrapText="1" readingOrder="1"/>
    </xf>
    <xf numFmtId="180" fontId="30" fillId="22" borderId="70" xfId="0" applyNumberFormat="1" applyFont="1" applyFill="1" applyBorder="1" applyAlignment="1">
      <alignment horizontal="center" vertical="center" wrapText="1" readingOrder="1"/>
    </xf>
    <xf numFmtId="0" fontId="3" fillId="0" borderId="0" xfId="59"/>
    <xf numFmtId="0" fontId="52" fillId="33" borderId="56" xfId="37" applyFont="1" applyFill="1" applyBorder="1" applyAlignment="1">
      <alignment horizontal="center" vertical="center"/>
    </xf>
    <xf numFmtId="0" fontId="52" fillId="33" borderId="71" xfId="37" applyFont="1" applyFill="1" applyBorder="1" applyAlignment="1">
      <alignment horizontal="center" vertical="center"/>
    </xf>
    <xf numFmtId="0" fontId="53" fillId="2" borderId="72" xfId="59" applyFont="1" applyFill="1" applyBorder="1" applyAlignment="1">
      <alignment horizontal="center" vertical="center" wrapText="1"/>
    </xf>
    <xf numFmtId="0" fontId="54" fillId="2" borderId="64" xfId="59" applyFont="1" applyFill="1" applyBorder="1" applyAlignment="1">
      <alignment vertical="center"/>
    </xf>
    <xf numFmtId="180" fontId="54" fillId="2" borderId="1" xfId="50" applyNumberFormat="1" applyFont="1" applyFill="1" applyBorder="1">
      <alignment vertical="center"/>
    </xf>
    <xf numFmtId="0" fontId="54" fillId="2" borderId="1" xfId="59" applyFont="1" applyFill="1" applyBorder="1" applyAlignment="1">
      <alignment vertical="center"/>
    </xf>
    <xf numFmtId="0" fontId="53" fillId="2" borderId="1" xfId="59" applyFont="1" applyFill="1" applyBorder="1" applyAlignment="1">
      <alignment vertical="center"/>
    </xf>
    <xf numFmtId="180" fontId="53" fillId="2" borderId="1" xfId="50" applyNumberFormat="1" applyFont="1" applyFill="1" applyBorder="1">
      <alignment vertical="center"/>
    </xf>
    <xf numFmtId="0" fontId="54" fillId="0" borderId="73" xfId="59" applyFont="1" applyBorder="1" applyAlignment="1">
      <alignment horizontal="center" vertical="center"/>
    </xf>
    <xf numFmtId="0" fontId="54" fillId="0" borderId="74" xfId="59" applyFont="1" applyBorder="1" applyAlignment="1">
      <alignment horizontal="center" vertical="center"/>
    </xf>
    <xf numFmtId="0" fontId="53" fillId="2" borderId="58" xfId="59" applyFont="1" applyFill="1" applyBorder="1" applyAlignment="1">
      <alignment horizontal="center" vertical="center" wrapText="1"/>
    </xf>
    <xf numFmtId="0" fontId="53" fillId="2" borderId="45" xfId="59" applyFont="1" applyFill="1" applyBorder="1" applyAlignment="1">
      <alignment vertical="center"/>
    </xf>
    <xf numFmtId="180" fontId="53" fillId="2" borderId="45" xfId="50" applyNumberFormat="1" applyFont="1" applyFill="1" applyBorder="1">
      <alignment vertical="center"/>
    </xf>
    <xf numFmtId="0" fontId="3" fillId="0" borderId="39" xfId="59" applyBorder="1"/>
    <xf numFmtId="0" fontId="3" fillId="0" borderId="0" xfId="59" applyBorder="1"/>
    <xf numFmtId="0" fontId="53" fillId="2" borderId="39" xfId="59" applyFont="1" applyFill="1" applyBorder="1" applyAlignment="1">
      <alignment horizontal="center" vertical="center"/>
    </xf>
    <xf numFmtId="0" fontId="53" fillId="2" borderId="47" xfId="59" applyFont="1" applyFill="1" applyBorder="1" applyAlignment="1">
      <alignment horizontal="center" vertical="center"/>
    </xf>
    <xf numFmtId="0" fontId="3" fillId="0" borderId="13" xfId="59" applyBorder="1"/>
    <xf numFmtId="0" fontId="3" fillId="0" borderId="14" xfId="59" applyBorder="1"/>
    <xf numFmtId="0" fontId="3" fillId="7" borderId="0" xfId="59" applyFill="1"/>
    <xf numFmtId="0" fontId="55" fillId="33" borderId="71" xfId="37" applyFont="1" applyFill="1" applyBorder="1" applyAlignment="1">
      <alignment horizontal="center" vertical="center"/>
    </xf>
    <xf numFmtId="180" fontId="54" fillId="2" borderId="45" xfId="50" applyNumberFormat="1" applyFont="1" applyFill="1" applyBorder="1">
      <alignment vertical="center"/>
    </xf>
    <xf numFmtId="0" fontId="15" fillId="0" borderId="14" xfId="59" applyFont="1" applyBorder="1"/>
    <xf numFmtId="0" fontId="56" fillId="6" borderId="0" xfId="37" applyFont="1" applyFill="1" applyBorder="1" applyAlignment="1">
      <alignment horizontal="center" vertical="center"/>
    </xf>
    <xf numFmtId="0" fontId="52" fillId="33" borderId="75" xfId="37" applyFont="1" applyFill="1" applyBorder="1" applyAlignment="1">
      <alignment horizontal="center" vertical="center"/>
    </xf>
    <xf numFmtId="180" fontId="53" fillId="2" borderId="69" xfId="50" applyNumberFormat="1" applyFont="1" applyFill="1" applyBorder="1">
      <alignment vertical="center"/>
    </xf>
    <xf numFmtId="180" fontId="53" fillId="2" borderId="0" xfId="50" applyNumberFormat="1" applyFont="1" applyFill="1" applyBorder="1">
      <alignment vertical="center"/>
    </xf>
    <xf numFmtId="43" fontId="3" fillId="0" borderId="0" xfId="39" applyFont="1" applyAlignment="1"/>
    <xf numFmtId="43" fontId="3" fillId="0" borderId="0" xfId="59" applyNumberFormat="1"/>
    <xf numFmtId="0" fontId="15" fillId="6" borderId="0" xfId="59" applyFont="1" applyFill="1"/>
    <xf numFmtId="180" fontId="53" fillId="13" borderId="69" xfId="50" applyNumberFormat="1" applyFont="1" applyFill="1" applyBorder="1">
      <alignment vertical="center"/>
    </xf>
    <xf numFmtId="179" fontId="53" fillId="13" borderId="0" xfId="50" applyNumberFormat="1" applyFont="1" applyFill="1" applyBorder="1">
      <alignment vertical="center"/>
    </xf>
    <xf numFmtId="0" fontId="54" fillId="0" borderId="76" xfId="59" applyFont="1" applyBorder="1" applyAlignment="1">
      <alignment horizontal="center" vertical="center"/>
    </xf>
    <xf numFmtId="179" fontId="54" fillId="0" borderId="0" xfId="59" applyNumberFormat="1" applyFont="1" applyBorder="1" applyAlignment="1">
      <alignment horizontal="center" vertical="center"/>
    </xf>
    <xf numFmtId="179" fontId="53" fillId="2" borderId="0" xfId="50" applyNumberFormat="1" applyFont="1" applyFill="1" applyBorder="1">
      <alignment vertical="center"/>
    </xf>
    <xf numFmtId="0" fontId="3" fillId="0" borderId="77" xfId="59" applyBorder="1"/>
    <xf numFmtId="179" fontId="3" fillId="0" borderId="0" xfId="59" applyNumberFormat="1" applyBorder="1"/>
    <xf numFmtId="180" fontId="53" fillId="13" borderId="70" xfId="50" applyNumberFormat="1" applyFont="1" applyFill="1" applyBorder="1">
      <alignment vertical="center"/>
    </xf>
    <xf numFmtId="0" fontId="15" fillId="0" borderId="0" xfId="0" applyFont="1">
      <alignment vertical="center"/>
    </xf>
    <xf numFmtId="0" fontId="0" fillId="0" borderId="0" xfId="0" applyAlignment="1">
      <alignment horizontal="center" vertical="center"/>
    </xf>
    <xf numFmtId="0" fontId="57" fillId="0" borderId="0" xfId="0" applyFont="1" applyAlignment="1">
      <alignment horizontal="justify" vertical="center"/>
    </xf>
    <xf numFmtId="0" fontId="15" fillId="13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8" fillId="0" borderId="0" xfId="0" applyFont="1" applyAlignment="1">
      <alignment horizontal="justify" vertical="center"/>
    </xf>
    <xf numFmtId="0" fontId="59" fillId="13" borderId="0" xfId="49" applyFont="1" applyFill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top" wrapText="1"/>
    </xf>
  </cellXfs>
  <cellStyles count="61">
    <cellStyle name="常规" xfId="0" builtinId="0"/>
    <cellStyle name="常规 5" xfId="1"/>
    <cellStyle name="常规 4" xfId="2"/>
    <cellStyle name="常规 2" xfId="3"/>
    <cellStyle name="百分比 2" xfId="4"/>
    <cellStyle name="60% - 强调文字颜色 6" xfId="5" builtinId="52"/>
    <cellStyle name="20% - 强调文字颜色 4" xfId="6" builtinId="42"/>
    <cellStyle name="强调文字颜色 4" xfId="7" builtinId="41"/>
    <cellStyle name="输入" xfId="8" builtinId="20"/>
    <cellStyle name="40% - 强调文字颜色 3" xfId="9" builtinId="39"/>
    <cellStyle name="20% - 强调文字颜色 3" xfId="10" builtinId="38"/>
    <cellStyle name="货币" xfId="11" builtinId="4"/>
    <cellStyle name="强调文字颜色 3" xfId="12" builtinId="37"/>
    <cellStyle name="百分比" xfId="13" builtinId="5"/>
    <cellStyle name="60% - 强调文字颜色 2" xfId="14" builtinId="36"/>
    <cellStyle name="60% - 强调文字颜色 5" xfId="15" builtinId="48"/>
    <cellStyle name="强调文字颜色 2" xfId="16" builtinId="33"/>
    <cellStyle name="60% - 强调文字颜色 1" xfId="17" builtinId="32"/>
    <cellStyle name="60% - 强调文字颜色 4" xfId="18" builtinId="44"/>
    <cellStyle name="计算" xfId="19" builtinId="22"/>
    <cellStyle name="强调文字颜色 1" xfId="20" builtinId="29"/>
    <cellStyle name="适中" xfId="21" builtinId="28"/>
    <cellStyle name="20% - 强调文字颜色 5" xfId="22" builtinId="46"/>
    <cellStyle name="好" xfId="23" builtinId="26"/>
    <cellStyle name="20% - 强调文字颜色 1" xfId="24" builtinId="30"/>
    <cellStyle name="汇总" xfId="25" builtinId="25"/>
    <cellStyle name="差" xfId="26" builtinId="27"/>
    <cellStyle name="检查单元格" xfId="27" builtinId="23"/>
    <cellStyle name="输出" xfId="28" builtinId="21"/>
    <cellStyle name="千位分隔 2" xfId="29"/>
    <cellStyle name="标题 1" xfId="30" builtinId="16"/>
    <cellStyle name="解释性文本" xfId="31" builtinId="53"/>
    <cellStyle name="千位分隔 3 2" xfId="32"/>
    <cellStyle name="20% - 强调文字颜色 2" xfId="33" builtinId="34"/>
    <cellStyle name="千位分隔 5" xfId="34"/>
    <cellStyle name="标题 4" xfId="35" builtinId="19"/>
    <cellStyle name="货币[0]" xfId="36" builtinId="7"/>
    <cellStyle name="常规 2 2" xfId="37"/>
    <cellStyle name="40% - 强调文字颜色 4" xfId="38" builtinId="43"/>
    <cellStyle name="千位分隔" xfId="39" builtinId="3"/>
    <cellStyle name="已访问的超链接" xfId="40" builtinId="9"/>
    <cellStyle name="标题" xfId="41" builtinId="15"/>
    <cellStyle name="40% - 强调文字颜色 2" xfId="42" builtinId="35"/>
    <cellStyle name="警告文本" xfId="43" builtinId="11"/>
    <cellStyle name="60% - 强调文字颜色 3" xfId="44" builtinId="40"/>
    <cellStyle name="注释" xfId="45" builtinId="10"/>
    <cellStyle name="20% - 强调文字颜色 6" xfId="46" builtinId="50"/>
    <cellStyle name="强调文字颜色 5" xfId="47" builtinId="45"/>
    <cellStyle name="40% - 强调文字颜色 6" xfId="48" builtinId="51"/>
    <cellStyle name="超链接" xfId="49" builtinId="8"/>
    <cellStyle name="千位分隔 2 2" xfId="50"/>
    <cellStyle name="千位分隔[0]" xfId="51" builtinId="6"/>
    <cellStyle name="千位分隔 3" xfId="52"/>
    <cellStyle name="标题 2" xfId="53" builtinId="17"/>
    <cellStyle name="40% - 强调文字颜色 5" xfId="54" builtinId="47"/>
    <cellStyle name="千位分隔 4" xfId="55"/>
    <cellStyle name="标题 3" xfId="56" builtinId="18"/>
    <cellStyle name="强调文字颜色 6" xfId="57" builtinId="49"/>
    <cellStyle name="40% - 强调文字颜色 1" xfId="58" builtinId="31"/>
    <cellStyle name="常规 3" xfId="59"/>
    <cellStyle name="链接单元格" xfId="60" builtinId="24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8.xml"/><Relationship Id="rId18" Type="http://schemas.openxmlformats.org/officeDocument/2006/relationships/externalLink" Target="externalLinks/externalLink7.xml"/><Relationship Id="rId17" Type="http://schemas.openxmlformats.org/officeDocument/2006/relationships/externalLink" Target="externalLinks/externalLink6.xml"/><Relationship Id="rId1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4.xml"/><Relationship Id="rId14" Type="http://schemas.openxmlformats.org/officeDocument/2006/relationships/externalLink" Target="externalLinks/externalLink3.xml"/><Relationship Id="rId1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 in 5440 Invento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 in 8240 COS breakdown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ple/Desktop/F:/H &#24800;&#27849;/3&#12289;&#24800;&#27849;2013/3&#12289;&#21512;&#24182;&#36807;&#31243;/0.&#24800;&#27849;&#21512;&#24182;201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3268;&#21516;/1&#12289;&#33268;&#21516;&#24213;&#31295;&#27169;&#26495;&#21450;&#23457;&#35745;&#36164;&#26009;/1 &#24180;&#23457;&#36164;&#26009;/1 &#20013;&#31185;&#19977;&#29615;/D&#19977;&#29615;&#24180;&#23457;2013/&#21518;&#26399;&#27719;&#24635;&#24213;&#31295;/&#21508;&#23478;&#35797;&#31639;&#24179;&#34913;&#34920;-&#20013;&#31185;&#19977;&#29615;2013-3.19/Documents and Settings/Administrator/&#26700;&#38754;/to&#65293;&#20869;&#37096;&#25511;&#21046;&#32452;/&#20854;&#20182;&#25152;/&#22825;&#24314;/&#22269;&#36152;_2005_&#38543;&#20415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ple/Desktop/F:/User Data/Desktop/1-&#27468;&#21326;-1712-&#21512;&#24182;&#25253;&#34920;(1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ple/Desktop/F:/&#20013;&#21335;17&#24180;&#24402;&#26723;/5. &#23436;&#25104;&#38454;&#27573;(A1-A30)/1.&#25253;&#21578;&#19982;&#27807;&#36890;&#65288;A1-A10&#65289;/A3 &#21512;&#24182;&#27969;&#31243;-&#20986;&#25253;&#21578;&#21518;&#21512;&#24182;&#35843;&#25972;&#25972;&#29702;&#29256;/2-&#20013;&#21335;-1712-&#21512;&#24182;&#25253;&#34920;&#26550;&#26500;/&#20013;&#21335;&#24314;&#35774;&#21512;&#24182;-4.15/&#24800;&#27849;&#39033;&#30446;2015/2&#12289;&#21512;&#24182;&#36807;&#31243;2015/0&#12289;&#24800;&#27849;&#21512;&#24182;&#65288;1512&#6528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013;&#21335;/&#20013;&#21335;/&#24453;&#23436;&#25104;&#24037;&#20316;/0.2022&#24180;&#24037;&#20316;/1.&#26376;&#24230;&#27719;&#25253;/1&#26376;&#20221;/&#21382;&#24180;&#25910;&#20837;&#24773;&#20917;2021.12&#65288;&#26032;&#65289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ple/Desktop/C:/Users/shenl/Desktop/2022&#24180;&#27597;&#20844;&#21496;&#39044;&#31639;/2022&#24180;&#25511;&#32929;&#39044;&#31639;/&#27719;&#25253;&#24213;&#31295; 1.0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reakdown"/>
      <sheetName val="徐淮分部"/>
      <sheetName val="Stock turnover"/>
      <sheetName val="Prov-Mvmt"/>
      <sheetName val="Obsolete Stock List"/>
      <sheetName val="Negative sales"/>
      <sheetName val="XREF"/>
      <sheetName val="Tickmarks"/>
      <sheetName val="B"/>
      <sheetName val="其他应收个人"/>
      <sheetName val="04"/>
      <sheetName val="03"/>
      <sheetName val="银行存款"/>
      <sheetName val="2009年受限统计表"/>
      <sheetName val="索引"/>
      <sheetName val="35.1租赁明细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-12"/>
      <sheetName val="3 (2)"/>
      <sheetName val="4 (2)"/>
      <sheetName val="5 (2)"/>
      <sheetName val="6 (2)"/>
      <sheetName val="7 (2)"/>
      <sheetName val="8 (2)"/>
      <sheetName val="9 (2)"/>
      <sheetName val="10 (2)"/>
      <sheetName val="11 (2)"/>
      <sheetName val="12 (2)"/>
      <sheetName val="1 (2)"/>
      <sheetName val="2 (2)"/>
      <sheetName val="Summary"/>
      <sheetName val="5月"/>
      <sheetName val="6月"/>
      <sheetName val="表头"/>
      <sheetName val="预收帐款明细"/>
      <sheetName val="Investment Property"/>
      <sheetName val="1-10月明细表"/>
      <sheetName val="대외공문"/>
      <sheetName val="2004"/>
      <sheetName val="资产负债表"/>
      <sheetName val="营业费用测试"/>
      <sheetName val="利润及分配表"/>
      <sheetName val="资产方"/>
      <sheetName val="减值准备表"/>
      <sheetName val="负债方"/>
      <sheetName val="系统参数设置"/>
      <sheetName val="固定资产清单"/>
      <sheetName val="#REF!"/>
      <sheetName val="kmmc"/>
      <sheetName val="固定资产明细"/>
      <sheetName val="项目成本-制作成本明细G1-6"/>
      <sheetName val="表头（请先填写）"/>
      <sheetName val="W"/>
      <sheetName val="选择键"/>
      <sheetName val="&lt;原报&gt;资产负债表"/>
      <sheetName val="科目表"/>
      <sheetName val="现金明细（勿删）"/>
      <sheetName val="生产成本"/>
      <sheetName val="完"/>
      <sheetName val="企业表一"/>
      <sheetName val="M-5C"/>
      <sheetName val="M-5A"/>
      <sheetName val="其他应收款－个人借款明细"/>
      <sheetName val="PER SALES ORG"/>
      <sheetName val="eqpmad2"/>
      <sheetName val="本期报表"/>
      <sheetName val="Repayment Summary"/>
      <sheetName val="Breakdown-本部"/>
      <sheetName val="DATA"/>
      <sheetName val="UFPrn20061113135115"/>
      <sheetName val="KM"/>
      <sheetName val="inventory list index"/>
      <sheetName val="costing"/>
      <sheetName val="差异分摊计算表"/>
      <sheetName val="200)年受限统计表"/>
      <sheetName val="35.1租赁明滆"/>
      <sheetName val="库龄"/>
      <sheetName val="Audit Sampling Table"/>
      <sheetName val="For Ref"/>
      <sheetName val="Inventory"/>
      <sheetName val="PFS"/>
      <sheetName val="土地"/>
      <sheetName val="建筑工程"/>
      <sheetName val="装潢工程"/>
      <sheetName val="间接费用"/>
      <sheetName val="利息资本化"/>
      <sheetName val="配套工程"/>
      <sheetName val="机电工程"/>
      <sheetName val="Payment test"/>
      <sheetName val="RM"/>
      <sheetName val="在途物资"/>
      <sheetName val="WIP"/>
      <sheetName val="FG"/>
      <sheetName val="跌价准备"/>
      <sheetName val="跌价准备清单"/>
      <sheetName val="Sample Design"/>
      <sheetName val="无正式发票的支出"/>
      <sheetName val="E1020"/>
      <sheetName val="UFPrn20080707101342"/>
      <sheetName val="For Report"/>
      <sheetName val="BKD"/>
      <sheetName val="商品明細"/>
      <sheetName val="PFD"/>
      <sheetName val="开发产品-三期"/>
      <sheetName val="PFS SAR"/>
      <sheetName val="Property For Rental"/>
      <sheetName val="开发成本汇总表-南块"/>
      <sheetName val="南块会所成本调整及PFS"/>
      <sheetName val="开发成本汇总表-北块"/>
      <sheetName val="北块PFS"/>
      <sheetName val="会所"/>
      <sheetName val="PUD"/>
      <sheetName val="开发成本汇总表"/>
      <sheetName val="项目 Summary"/>
      <sheetName val="Confirmation Control"/>
      <sheetName val="Payment Detail"/>
      <sheetName val="项目"/>
      <sheetName val="2006"/>
      <sheetName val="建筑"/>
      <sheetName val="机电"/>
      <sheetName val="装潢"/>
      <sheetName val="在途存货清单及测试"/>
      <sheetName val="余额表"/>
      <sheetName val="Appendix"/>
      <sheetName val="3mon-1Year"/>
      <sheetName val="per mgt"/>
      <sheetName val="above5y"/>
      <sheetName val="1-3MON"/>
      <sheetName val="1year-5year"/>
      <sheetName val="个人借款明细"/>
      <sheetName val="POWER ASSUMPTIONS"/>
      <sheetName val="Toolbox"/>
      <sheetName val="审计调整"/>
      <sheetName val="lookup"/>
      <sheetName val="Unit Information"/>
      <sheetName val="Company Information"/>
      <sheetName val="基础数据"/>
      <sheetName val="原材料余额表"/>
      <sheetName val="21710103"/>
      <sheetName val="2171010501"/>
      <sheetName val="2171010502"/>
      <sheetName val="217102"/>
      <sheetName val="cover"/>
      <sheetName val="PTC"/>
      <sheetName val="Worksheet in 8240 COS breakdown"/>
      <sheetName val="制造费用"/>
      <sheetName val="关联交易-存款"/>
      <sheetName val="XL4Poppy"/>
      <sheetName val="Stock turnove_x0002_"/>
      <sheetName val="凤县折旧测算"/>
      <sheetName val="BALANCE SHEET"/>
      <sheetName val="1-6yue"/>
      <sheetName val="税金汇总"/>
      <sheetName val="主营业务税金及附加Dy"/>
      <sheetName val="应收账款Dy"/>
      <sheetName val="目錄"/>
      <sheetName val="FA-2"/>
      <sheetName val="7-11销售"/>
      <sheetName val="Sheet9"/>
      <sheetName val="IMPORT"/>
      <sheetName val="账龄4"/>
      <sheetName val="Sheet1"/>
      <sheetName val="YS02-02"/>
      <sheetName val="original"/>
      <sheetName val="账面外销"/>
      <sheetName val="Stock turnove_x005f_x0002_"/>
      <sheetName val="报表科目"/>
      <sheetName val="应收账款贷方余额表"/>
      <sheetName val="应收账款借方余额表"/>
      <sheetName val="应收账款余额表"/>
      <sheetName val="试算"/>
      <sheetName val="09差异分摊计算表"/>
      <sheetName val="08差异分摊计算表"/>
      <sheetName val="05大桥分卡片"/>
      <sheetName val="Ctinh 10kV"/>
      <sheetName val="内部销售明细表"/>
      <sheetName val="预付账款Dy"/>
      <sheetName val="STATPARA"/>
      <sheetName val="Lead"/>
      <sheetName val="CF"/>
      <sheetName val="preBS"/>
      <sheetName val="preCF"/>
      <sheetName val="preIS"/>
      <sheetName val="preCE"/>
      <sheetName val="TB"/>
      <sheetName val="主营业务成本Dy"/>
      <sheetName val="分录"/>
      <sheetName val="存货_包装物"/>
      <sheetName val="存货_库存商品mx"/>
      <sheetName val="存货_生产成本mx1"/>
      <sheetName val="存货_委托加工物资mx"/>
      <sheetName val="存货_制造费用Mx"/>
      <sheetName val="坏账准备_其他应收款Dy"/>
      <sheetName val="营业外收入Dy"/>
      <sheetName val="固定资产Dy"/>
      <sheetName val="累计折旧Dy"/>
      <sheetName val="界面"/>
      <sheetName val="Payroll"/>
      <sheetName val="递延税款Dy"/>
      <sheetName val="资本公积Dy"/>
      <sheetName val="盈余公积Dy"/>
      <sheetName val="未分配利润Dy"/>
      <sheetName val="补贴收入Dy"/>
      <sheetName val="所得税Dy"/>
      <sheetName val="坏账准备_应收账款Dy"/>
      <sheetName val="预收账款Dy"/>
      <sheetName val="应交税金Dy"/>
      <sheetName val="其他应交款Dy"/>
      <sheetName val="主营业务收入Dy"/>
      <sheetName val="坏账准备_应收账款Mx"/>
      <sheetName val="专项应付款Dy"/>
      <sheetName val="Ðì»´·Ö²¿"/>
      <sheetName val="工作表目录"/>
      <sheetName val="明细表"/>
      <sheetName val="固定资产(原表)"/>
      <sheetName val="Worksheet in 5440 Inventory"/>
      <sheetName val="附注汇总"/>
      <sheetName val="科目名称表"/>
      <sheetName val="表头信息"/>
      <sheetName val="国内CP2产品收入明细"/>
      <sheetName val="名称"/>
      <sheetName val="所得税明细表"/>
      <sheetName val="Control"/>
      <sheetName val="参数"/>
      <sheetName val="A3-1合并汇总报表"/>
      <sheetName val="序时账"/>
      <sheetName val="至10月末全成本汇总表（动态）"/>
      <sheetName val="应收账款"/>
      <sheetName val="累计产销存"/>
      <sheetName val="营业外收支明细"/>
      <sheetName val="PL Statement_CN_WK"/>
      <sheetName val="三兴2"/>
      <sheetName val="附注披露信息(上市公司)G4-1"/>
      <sheetName val="Aging 06-03-2002"/>
      <sheetName val="2.대외공문"/>
      <sheetName val="US Codes"/>
      <sheetName val="消费税率"/>
      <sheetName val="收入明细－按客户"/>
      <sheetName val="Pre-operating Exp"/>
      <sheetName val="Miscellaneous Exp."/>
      <sheetName val="Rental 2002"/>
      <sheetName val="Rental 2001"/>
      <sheetName val="成本倒扎"/>
      <sheetName val="Stock turnove_x005f_x005f_x005f_x0002_"/>
      <sheetName val="调整分录汇总"/>
      <sheetName val="低值易耗品"/>
      <sheetName val="劳务费"/>
      <sheetName val="折旧"/>
      <sheetName val="工资"/>
      <sheetName val="福利费"/>
      <sheetName val="水电费"/>
      <sheetName val="办公费"/>
      <sheetName val="业务招待费"/>
      <sheetName val="差"/>
      <sheetName val="机"/>
      <sheetName val="劳保"/>
      <sheetName val="通迅费"/>
      <sheetName val="修"/>
      <sheetName val="折旧测算"/>
      <sheetName val="12月份品种酒生产月报表"/>
      <sheetName val="上期试算"/>
      <sheetName val="Source"/>
      <sheetName val="试算16"/>
      <sheetName val="试算17"/>
      <sheetName val="工程结算明细账1-6月"/>
      <sheetName val="折旧测试2007"/>
      <sheetName val="剥离前"/>
      <sheetName val="中山低值"/>
      <sheetName val="C_301"/>
      <sheetName val="C_311"/>
      <sheetName val="C_318"/>
      <sheetName val="Calendar"/>
      <sheetName val="DI-ESTI"/>
      <sheetName val="N1"/>
      <sheetName val="dxnsjtempsheet"/>
      <sheetName val="试算号"/>
      <sheetName val="2-试算"/>
      <sheetName val="1-平衡表"/>
      <sheetName val="Disclosure"/>
      <sheetName val="Segment info"/>
      <sheetName val="Adjustment"/>
      <sheetName val="Count Diff"/>
      <sheetName val="General Instruction"/>
      <sheetName val="Sample"/>
      <sheetName val="InventoryList"/>
      <sheetName val="Stock List"/>
      <sheetName val="Trina Breakdown"/>
      <sheetName val="2007 Q3"/>
      <sheetName val="Breakdown-Trina"/>
      <sheetName val="Breakdown-TEI"/>
      <sheetName val="Note"/>
      <sheetName val="Audit Procedure"/>
      <sheetName val="Turnover"/>
      <sheetName val="FG Mov"/>
      <sheetName val="#REF"/>
      <sheetName val="For disclosure"/>
      <sheetName val="CZ AJE summary"/>
      <sheetName val="物料收发汇总表"/>
      <sheetName val="营业外支出Dy"/>
      <sheetName val="应付账款Dy"/>
      <sheetName val="应付账款mx"/>
      <sheetName val="待摊费用mx"/>
      <sheetName val="固定资产减值准备mx"/>
      <sheetName val="累计折旧mx"/>
      <sheetName val="应付福利费mx"/>
      <sheetName val="应付工资mx"/>
      <sheetName val="预提费用mx"/>
      <sheetName val="在建工程mx"/>
      <sheetName val="制造费用mx"/>
      <sheetName val="2008年"/>
      <sheetName val="余额表10-12"/>
      <sheetName val="Macro1"/>
      <sheetName val="披露表(标准)"/>
      <sheetName val="披露表(国资)"/>
      <sheetName val="邻酮定乙酚发出测试"/>
      <sheetName val="内部往来"/>
      <sheetName val="材料采购-入库"/>
      <sheetName val="原材料－其他"/>
      <sheetName val="材料成本差异－运费等"/>
      <sheetName val="_______"/>
      <sheetName val="核算项目余额表"/>
      <sheetName val="应交税金"/>
      <sheetName val="G.1R-Shou COP Gf"/>
      <sheetName val="成本调整明细表"/>
      <sheetName val="材料采购－原材料（购价）"/>
      <sheetName val="房屋及建筑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reakdown"/>
      <sheetName val="2004"/>
      <sheetName val="test on帐面补差"/>
      <sheetName val="XREF"/>
      <sheetName val="Tickmarks"/>
      <sheetName val="企业表一"/>
      <sheetName val="M-5C"/>
      <sheetName val="M-5A"/>
      <sheetName val="机关财务营业费用"/>
      <sheetName val="科目表"/>
      <sheetName val="存栏2"/>
      <sheetName val="索引"/>
      <sheetName val="生产成本账"/>
      <sheetName val="系统参数设置"/>
      <sheetName val="固定资产清单"/>
      <sheetName val="示范99tzfl"/>
      <sheetName val="#REF!"/>
      <sheetName val="明细科目余额表"/>
      <sheetName val="Raw materials"/>
      <sheetName val="Investment Property"/>
      <sheetName val="现金明细（勿删）"/>
      <sheetName val="本期报表"/>
      <sheetName val="XL4Poppy"/>
      <sheetName val="W"/>
      <sheetName val="生产成本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-12"/>
      <sheetName val="3 (2)"/>
      <sheetName val="4 (2)"/>
      <sheetName val="5 (2)"/>
      <sheetName val="6 (2)"/>
      <sheetName val="7 (2)"/>
      <sheetName val="8 (2)"/>
      <sheetName val="9 (2)"/>
      <sheetName val="10 (2)"/>
      <sheetName val="11 (2)"/>
      <sheetName val="12 (2)"/>
      <sheetName val="1 (2)"/>
      <sheetName val="2 (2)"/>
      <sheetName val="&lt;原报&gt;资产负债表"/>
      <sheetName val="PER SALES ORG"/>
      <sheetName val="Bilanz Aktiva"/>
      <sheetName val="Bil.Zu-Abgang"/>
      <sheetName val="Cash Flow"/>
      <sheetName val="GuV"/>
      <sheetName val="Bilanz Passiva"/>
      <sheetName val="差异调整97"/>
      <sheetName val="差异调整95"/>
      <sheetName val="差异调整96"/>
      <sheetName val="1－5月余额表"/>
      <sheetName val="1－10月余额表"/>
      <sheetName val="预付账款Dy"/>
      <sheetName val="Source"/>
      <sheetName val="Bal Sheet"/>
      <sheetName val="DATA"/>
      <sheetName val="UFPrn20061113135115"/>
      <sheetName val="基本信息"/>
      <sheetName val="Toolbox"/>
      <sheetName val="35.1租赁明细"/>
      <sheetName val="Appendix"/>
      <sheetName val="PRC BS"/>
      <sheetName val="完"/>
      <sheetName val="营业费用测试"/>
      <sheetName val="coding"/>
      <sheetName val="基础数据"/>
      <sheetName val="三兴2"/>
      <sheetName val="인사현황(부서)"/>
      <sheetName val="Cover"/>
      <sheetName val="PTC"/>
      <sheetName val="KKKKKKKK"/>
      <sheetName val="产销存"/>
      <sheetName val="1-6累计销售"/>
      <sheetName val="收入个月"/>
      <sheetName val="累计产销存"/>
      <sheetName val="AGRO-DATA"/>
      <sheetName val="表头"/>
      <sheetName val="BALANCE SHEET"/>
      <sheetName val="表头（请先填写+核心提示）"/>
      <sheetName val="基本参数"/>
      <sheetName val="账面外销"/>
      <sheetName val="应收账款余额表"/>
      <sheetName val="所得税明细表"/>
      <sheetName val="长投测试"/>
      <sheetName val="E1020"/>
      <sheetName val="2-1主营业务收入查证表1"/>
      <sheetName val="审计说明"/>
      <sheetName val="P12 TB SZ"/>
      <sheetName val="B"/>
      <sheetName val="短期投资股票投资.dbf"/>
      <sheetName val="短期投资国债投资.dbf"/>
      <sheetName val="股票投资收益.dbf"/>
      <sheetName val="其他货币海通.dbf"/>
      <sheetName val="其他货币零领路.dbf"/>
      <sheetName val="投资收益债券.dbf"/>
      <sheetName val="FA-2"/>
      <sheetName val="目錄"/>
      <sheetName val="应收账款贷方余额表"/>
      <sheetName val="应收账款借方余额表"/>
      <sheetName val="gvl"/>
      <sheetName val="STATPARA"/>
      <sheetName val="Lead"/>
      <sheetName val="CF"/>
      <sheetName val="preBS"/>
      <sheetName val="preCF"/>
      <sheetName val="preIS"/>
      <sheetName val="preCE"/>
      <sheetName val="TB"/>
      <sheetName val="标本-资产"/>
      <sheetName val="主营业务成本Dy"/>
      <sheetName val="分录"/>
      <sheetName val="存货_包装物"/>
      <sheetName val="存货_库存商品mx"/>
      <sheetName val="存货_生产成本mx1"/>
      <sheetName val="存货_委托加工物资mx"/>
      <sheetName val="存货_制造费用Mx"/>
      <sheetName val="应收账款"/>
      <sheetName val="制造成本表"/>
      <sheetName val="Summary"/>
      <sheetName val="9000"/>
      <sheetName val="9747"/>
      <sheetName val="9577"/>
      <sheetName val="COS breakdown"/>
      <sheetName val="报表科目"/>
      <sheetName val="_x0000__x0000__x0000__x0000__x0000__x0000__x0000__x0000_"/>
      <sheetName val="5月"/>
      <sheetName val="6月"/>
      <sheetName val="上期报表"/>
      <sheetName val="表头信息"/>
      <sheetName val="Sheet3"/>
      <sheetName val="分产品销售收入、成本分析表"/>
      <sheetName val="Worksheet in 8240 COS breakdown"/>
      <sheetName val="营业外收支明细"/>
      <sheetName val="7-11销售"/>
      <sheetName val="US Codes"/>
      <sheetName val="有效性"/>
      <sheetName val="总成本"/>
      <sheetName val="UFPrn20030731121657"/>
      <sheetName val="合并清单"/>
      <sheetName val="Ex Diff"/>
      <sheetName val="导引表"/>
      <sheetName val="Control"/>
      <sheetName val="选择键"/>
      <sheetName val="_x005f_x0000__x005f_x0000__x005f_x0000__x005f_x0000__x0"/>
      <sheetName val="工程物资Dy"/>
      <sheetName val="索引表"/>
      <sheetName val="12进销存"/>
      <sheetName val="表头（请先填写）"/>
      <sheetName val="劳务费"/>
      <sheetName val="折旧"/>
      <sheetName val="工资"/>
      <sheetName val="福利费"/>
      <sheetName val="水电费"/>
      <sheetName val="办公费"/>
      <sheetName val="业务招待费"/>
      <sheetName val="差"/>
      <sheetName val="机"/>
      <sheetName val="劳保"/>
      <sheetName val="通迅费"/>
      <sheetName val="修"/>
      <sheetName val="Title"/>
      <sheetName val="资产负债表"/>
      <sheetName val="YS02-02"/>
      <sheetName val="材差5月份结转"/>
      <sheetName val="生产成本6月份结转"/>
      <sheetName val="库存商品项目账"/>
      <sheetName val="管理费用(集团董事会)"/>
      <sheetName val="C_301"/>
      <sheetName val="C_311"/>
      <sheetName val="C_318"/>
      <sheetName val="1月"/>
      <sheetName val="清单12.31"/>
      <sheetName val="M3 - BS"/>
      <sheetName val="M3 - PL"/>
      <sheetName val="B-S"/>
      <sheetName val="名称（勿删）"/>
      <sheetName val="_x0000__x0000__x0000__x0000__x0"/>
      <sheetName val="营业外收入Dy"/>
      <sheetName val="固定资产Dy"/>
      <sheetName val="累计折旧Dy"/>
      <sheetName val="银行存款Dy"/>
      <sheetName val="应收利息Dy"/>
      <sheetName val="短期投资Dy"/>
      <sheetName val="货币资金Dy"/>
      <sheetName val="参数"/>
      <sheetName val="无形资产年末数构成"/>
      <sheetName val="Erection"/>
      <sheetName val="营业外支出"/>
      <sheetName val="AR"/>
      <sheetName val="委托加工材料"/>
      <sheetName val="材料采购－原材料（购价）"/>
      <sheetName val="核算项目余额表"/>
      <sheetName val="应付账款"/>
      <sheetName val="预提费用"/>
      <sheetName val="数量对比"/>
      <sheetName val="福州路仓库(3)"/>
      <sheetName val="物资采购-1"/>
      <sheetName val="物资采购-2"/>
      <sheetName val="祁连山路仓库(5)"/>
      <sheetName val="特种储备物资"/>
      <sheetName val="张江库"/>
      <sheetName val="other lia"/>
      <sheetName val="prepayment"/>
      <sheetName val="related co"/>
      <sheetName val="adm"/>
      <sheetName val="sel"/>
      <sheetName val="材料采购-入库"/>
      <sheetName val="原材料－其他"/>
      <sheetName val="材料成本差异－运费等"/>
      <sheetName val="基本情况表"/>
      <sheetName val="POWER 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项目索引"/>
      <sheetName val="合并序号"/>
      <sheetName val="基本表"/>
      <sheetName val="勾稽检查表"/>
      <sheetName val="资产负债表"/>
      <sheetName val="资产负债表（续）"/>
      <sheetName val="2013试算平衡表"/>
      <sheetName val="2013调整分录"/>
      <sheetName val="2012试算平衡表"/>
      <sheetName val="合并底稿"/>
      <sheetName val="2009试算平衡表"/>
      <sheetName val="2009调整分录"/>
      <sheetName val="附注目录"/>
      <sheetName val="word附注 核查"/>
      <sheetName val="word附注"/>
      <sheetName val="报告附注(合并横表用）"/>
      <sheetName val="报表附注(合并竖表用)"/>
      <sheetName val="附件(合并）"/>
      <sheetName val="关联交易"/>
      <sheetName val="合并外关联方"/>
      <sheetName val="固定资产"/>
      <sheetName val="高管薪酬"/>
      <sheetName val="2012调整分录"/>
      <sheetName val="专项附注"/>
      <sheetName val="专项说明"/>
      <sheetName val="专项说明(合并竖表)"/>
      <sheetName val="本期权益变动表"/>
      <sheetName val="上期权益变动表"/>
      <sheetName val="资产减值准备表"/>
      <sheetName val="利润表"/>
      <sheetName val="现金流量表"/>
      <sheetName val="趋势分析表"/>
      <sheetName val="趋势分析表（续）"/>
      <sheetName val="财务分析"/>
      <sheetName val="数据表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索引"/>
      <sheetName val="货币资金Cx"/>
      <sheetName val="货币资金Mx"/>
      <sheetName val="分录"/>
      <sheetName val="标本-资产"/>
      <sheetName val="上年审定报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表头"/>
      <sheetName val="链接"/>
      <sheetName val="合并资产负债表"/>
      <sheetName val="合并资产负债表续"/>
      <sheetName val="合并利润表"/>
      <sheetName val="合并股东权益变动"/>
      <sheetName val="公司资产负债表"/>
      <sheetName val="公司资产负债表续"/>
      <sheetName val="公司利润表"/>
      <sheetName val="公司股东权益变动"/>
      <sheetName val="所得税"/>
      <sheetName val="0418、0419、房山"/>
      <sheetName val="指标计算S26-2"/>
      <sheetName val="每股收益"/>
      <sheetName val="合并附注1712"/>
      <sheetName val="长投相关附注H1-1"/>
      <sheetName val="A3-1合并汇总报表"/>
      <sheetName val="A3-2合并抵消分录"/>
      <sheetName val="长期投资合并抵消"/>
      <sheetName val="重要联营公司判断"/>
      <sheetName val="未实现利润"/>
      <sheetName val="A2母公司汇总"/>
      <sheetName val="母公司汇总抵消"/>
      <sheetName val="1-本部"/>
      <sheetName val="2-昌平"/>
      <sheetName val="3-大兴"/>
      <sheetName val="4-房山"/>
      <sheetName val="5-怀柔"/>
      <sheetName val="6-密云"/>
      <sheetName val="7-门头沟"/>
      <sheetName val="8-平谷"/>
      <sheetName val="9-顺义"/>
      <sheetName val="10-石景山"/>
      <sheetName val="11-通州"/>
      <sheetName val="12-延庆"/>
      <sheetName val="13-海淀"/>
      <sheetName val="14-朝阳"/>
      <sheetName val="15-丰台"/>
      <sheetName val="16-城中"/>
      <sheetName val="17-亦庄"/>
      <sheetName val="18-工程管理"/>
      <sheetName val="19-数字媒体"/>
      <sheetName val="20-涿州"/>
      <sheetName val="21-歌华投资小合并"/>
      <sheetName val="歌华投资小合并抵消"/>
      <sheetName val="21-1投资"/>
      <sheetName val="21-2益网广告"/>
      <sheetName val="21-3客服"/>
      <sheetName val="22歌华益网"/>
      <sheetName val="23燕华时代"/>
      <sheetName val="B15合并风险评估程序－财务报表分析"/>
      <sheetName val="1306母公司风险评估程序－财务报表分析B7-4-2"/>
      <sheetName val="B15-4财务指标分析"/>
      <sheetName val="A1-14合并与前期数据比较横纵向"/>
      <sheetName val="1712与前期财务数据比较-利润表-比率分析A15-2"/>
      <sheetName val="A1-13母公司与前期数据比较横纵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填报说明"/>
      <sheetName val="勾稽检查表"/>
      <sheetName val="资产负债表"/>
      <sheetName val="资产负债表续"/>
      <sheetName val="利润表"/>
      <sheetName val="现金流量表"/>
      <sheetName val="合并股东权益变动表"/>
      <sheetName val="公司股东权益变动表"/>
      <sheetName val="WORD合并附注核查"/>
      <sheetName val="试算"/>
      <sheetName val="核对"/>
      <sheetName val="未审分析"/>
      <sheetName val="附注1"/>
      <sheetName val="附注2"/>
      <sheetName val="WORD粘贴"/>
      <sheetName val="分录"/>
      <sheetName val="权益抵消分录"/>
      <sheetName val="完成分析"/>
      <sheetName val="非经常性损益"/>
      <sheetName val="每股收益"/>
      <sheetName val="净资产收益率"/>
      <sheetName val="特殊"/>
      <sheetName val="未更正错报"/>
      <sheetName val="重要性水平"/>
      <sheetName val="关联交易 "/>
      <sheetName val="关联交易"/>
      <sheetName val="合并外关联方"/>
      <sheetName val="合并外关联方 "/>
      <sheetName val="识别重大账户"/>
      <sheetName val="财务指标"/>
      <sheetName val="模版参数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收入汇总2021.12"/>
      <sheetName val="Sheet4"/>
      <sheetName val="Sheet3"/>
      <sheetName val="担保明细"/>
      <sheetName val="Sheet1"/>
      <sheetName val="利息明细"/>
      <sheetName val="管理费收入"/>
      <sheetName val="分红明细"/>
      <sheetName val="投资收益"/>
      <sheetName val="租金收入"/>
    </sheetNames>
    <sheetDataSet>
      <sheetData sheetId="0"/>
      <sheetData sheetId="1"/>
      <sheetData sheetId="2"/>
      <sheetData sheetId="3">
        <row r="13">
          <cell r="E13">
            <v>6390.062083</v>
          </cell>
          <cell r="F13">
            <v>4793.62607588679</v>
          </cell>
        </row>
      </sheetData>
      <sheetData sheetId="4"/>
      <sheetData sheetId="5">
        <row r="25">
          <cell r="F25">
            <v>6935.472558</v>
          </cell>
          <cell r="G25">
            <v>2470.463774</v>
          </cell>
        </row>
      </sheetData>
      <sheetData sheetId="6">
        <row r="17">
          <cell r="D17">
            <v>-772.817291</v>
          </cell>
          <cell r="E17">
            <v>12176.22266</v>
          </cell>
        </row>
        <row r="17">
          <cell r="G17">
            <v>1959.7</v>
          </cell>
        </row>
      </sheetData>
      <sheetData sheetId="7">
        <row r="10">
          <cell r="F10">
            <v>5983.804</v>
          </cell>
          <cell r="G10">
            <v>5422.019639</v>
          </cell>
        </row>
        <row r="11">
          <cell r="F11">
            <v>6950</v>
          </cell>
          <cell r="G11">
            <v>57591</v>
          </cell>
        </row>
      </sheetData>
      <sheetData sheetId="8">
        <row r="22">
          <cell r="F22">
            <v>56768.44</v>
          </cell>
          <cell r="G22">
            <v>1417.79</v>
          </cell>
        </row>
        <row r="22">
          <cell r="I22">
            <v>9517.571781</v>
          </cell>
        </row>
        <row r="23">
          <cell r="F23">
            <v>-4024.3</v>
          </cell>
        </row>
        <row r="24">
          <cell r="H24">
            <v>1511.17</v>
          </cell>
        </row>
      </sheetData>
      <sheetData sheetId="9">
        <row r="8">
          <cell r="D8">
            <v>277.534166</v>
          </cell>
          <cell r="E8">
            <v>254.645944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1.利润表"/>
      <sheetName val="收入预算"/>
      <sheetName val="Sheet1"/>
      <sheetName val="支出预算"/>
      <sheetName val="分红"/>
      <sheetName val="担保"/>
      <sheetName val="租金"/>
      <sheetName val="2.1按部门分-控股"/>
      <sheetName val="2.2按部门分-建设"/>
      <sheetName val="3.现金流"/>
      <sheetName val="4.现金流各产业"/>
      <sheetName val="控股现金流"/>
      <sheetName val="5.融资余额"/>
      <sheetName val="6.融资收支"/>
      <sheetName val="7.投资"/>
      <sheetName val="投资情况"/>
    </sheetNames>
    <sheetDataSet>
      <sheetData sheetId="0">
        <row r="3">
          <cell r="C3">
            <v>6517</v>
          </cell>
        </row>
        <row r="4">
          <cell r="C4">
            <v>5300</v>
          </cell>
        </row>
        <row r="5">
          <cell r="C5">
            <v>3916</v>
          </cell>
        </row>
        <row r="6">
          <cell r="C6">
            <v>5762</v>
          </cell>
        </row>
        <row r="7">
          <cell r="C7">
            <v>255</v>
          </cell>
        </row>
        <row r="8">
          <cell r="C8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8">
          <cell r="E18">
            <v>36969.6367449412</v>
          </cell>
          <cell r="F18">
            <v>5382</v>
          </cell>
          <cell r="G18">
            <v>-118</v>
          </cell>
          <cell r="H18">
            <v>5353.4091862353</v>
          </cell>
          <cell r="I18">
            <v>-118</v>
          </cell>
          <cell r="J18">
            <v>-118</v>
          </cell>
          <cell r="K18">
            <v>9353.4091862353</v>
          </cell>
          <cell r="L18">
            <v>-118</v>
          </cell>
          <cell r="M18">
            <v>-118</v>
          </cell>
          <cell r="N18">
            <v>5353.4091862353</v>
          </cell>
          <cell r="O18">
            <v>2882</v>
          </cell>
          <cell r="P18">
            <v>-118</v>
          </cell>
          <cell r="Q18">
            <v>9353.4091862353</v>
          </cell>
        </row>
      </sheetData>
      <sheetData sheetId="11">
        <row r="4">
          <cell r="D4">
            <v>9776.3909732375</v>
          </cell>
          <cell r="E4">
            <v>3197.3424732375</v>
          </cell>
          <cell r="F4">
            <v>3742.19992778295</v>
          </cell>
          <cell r="G4">
            <v>3478.2049732375</v>
          </cell>
          <cell r="H4">
            <v>3443.2894732375</v>
          </cell>
          <cell r="I4">
            <v>13521.111927783</v>
          </cell>
          <cell r="J4">
            <v>3959.14385512917</v>
          </cell>
          <cell r="K4">
            <v>3914.67635512917</v>
          </cell>
          <cell r="L4">
            <v>4237.14880967462</v>
          </cell>
          <cell r="M4">
            <v>3453.78385512917</v>
          </cell>
          <cell r="N4">
            <v>3319.85635512917</v>
          </cell>
          <cell r="O4">
            <v>3815.56380967462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1"/>
  <sheetViews>
    <sheetView workbookViewId="0">
      <pane xSplit="1" ySplit="1" topLeftCell="B37" activePane="bottomRight" state="frozen"/>
      <selection/>
      <selection pane="topRight"/>
      <selection pane="bottomLeft"/>
      <selection pane="bottomRight" activeCell="B40" sqref="B40"/>
    </sheetView>
  </sheetViews>
  <sheetFormatPr defaultColWidth="9" defaultRowHeight="12.4" outlineLevelCol="2"/>
  <cols>
    <col min="1" max="1" width="59" customWidth="1"/>
    <col min="2" max="2" width="10.125" style="370" customWidth="1"/>
    <col min="3" max="3" width="16.75" style="371" customWidth="1"/>
  </cols>
  <sheetData>
    <row r="1" ht="16" spans="1:3">
      <c r="A1" s="372" t="s">
        <v>0</v>
      </c>
      <c r="B1" s="373" t="s">
        <v>1</v>
      </c>
      <c r="C1" s="374" t="s">
        <v>2</v>
      </c>
    </row>
    <row r="2" ht="18" spans="1:2">
      <c r="A2" s="375" t="s">
        <v>3</v>
      </c>
      <c r="B2" s="374"/>
    </row>
    <row r="3" ht="18" spans="1:3">
      <c r="A3" s="211" t="s">
        <v>4</v>
      </c>
      <c r="B3" s="374"/>
      <c r="C3" s="374"/>
    </row>
    <row r="4" ht="18" spans="1:3">
      <c r="A4" s="211" t="s">
        <v>5</v>
      </c>
      <c r="B4" s="161" t="s">
        <v>6</v>
      </c>
      <c r="C4" s="374" t="s">
        <v>7</v>
      </c>
    </row>
    <row r="5" ht="18" spans="1:3">
      <c r="A5" s="211" t="s">
        <v>8</v>
      </c>
      <c r="B5" s="161" t="s">
        <v>9</v>
      </c>
      <c r="C5" s="374" t="s">
        <v>7</v>
      </c>
    </row>
    <row r="6" ht="18" spans="1:3">
      <c r="A6" s="211" t="s">
        <v>10</v>
      </c>
      <c r="B6" s="161" t="s">
        <v>11</v>
      </c>
      <c r="C6" s="374" t="s">
        <v>7</v>
      </c>
    </row>
    <row r="7" ht="18" spans="1:3">
      <c r="A7" s="375" t="s">
        <v>12</v>
      </c>
      <c r="B7" s="374"/>
      <c r="C7" s="374"/>
    </row>
    <row r="8" ht="19.5" customHeight="1" spans="1:3">
      <c r="A8" s="36" t="s">
        <v>13</v>
      </c>
      <c r="B8" s="161" t="s">
        <v>14</v>
      </c>
      <c r="C8" s="374" t="s">
        <v>15</v>
      </c>
    </row>
    <row r="9" ht="19.5" customHeight="1" spans="1:3">
      <c r="A9" s="36"/>
      <c r="B9" s="161" t="s">
        <v>16</v>
      </c>
      <c r="C9" s="374" t="s">
        <v>15</v>
      </c>
    </row>
    <row r="10" ht="19.5" customHeight="1" spans="1:3">
      <c r="A10" s="36"/>
      <c r="B10" s="161" t="s">
        <v>17</v>
      </c>
      <c r="C10" s="374" t="s">
        <v>15</v>
      </c>
    </row>
    <row r="11" ht="19.5" customHeight="1" spans="1:3">
      <c r="A11" s="36"/>
      <c r="B11" s="161" t="s">
        <v>18</v>
      </c>
      <c r="C11" s="374" t="s">
        <v>15</v>
      </c>
    </row>
    <row r="12" ht="19.5" customHeight="1" spans="1:3">
      <c r="A12" s="36"/>
      <c r="B12" s="161" t="s">
        <v>19</v>
      </c>
      <c r="C12" s="374" t="s">
        <v>15</v>
      </c>
    </row>
    <row r="13" ht="19.5" customHeight="1" spans="1:3">
      <c r="A13" s="36"/>
      <c r="B13" s="161" t="s">
        <v>20</v>
      </c>
      <c r="C13" s="374" t="s">
        <v>15</v>
      </c>
    </row>
    <row r="14" ht="14.25" customHeight="1" spans="1:3">
      <c r="A14" s="36" t="s">
        <v>21</v>
      </c>
      <c r="B14" s="161" t="s">
        <v>22</v>
      </c>
      <c r="C14" s="374" t="s">
        <v>15</v>
      </c>
    </row>
    <row r="15" ht="19.5" customHeight="1" spans="1:3">
      <c r="A15" s="36"/>
      <c r="B15" s="161" t="s">
        <v>23</v>
      </c>
      <c r="C15" s="374" t="s">
        <v>15</v>
      </c>
    </row>
    <row r="16" ht="14.25" customHeight="1" spans="1:3">
      <c r="A16" s="36"/>
      <c r="B16" s="161" t="s">
        <v>24</v>
      </c>
      <c r="C16" s="374" t="s">
        <v>15</v>
      </c>
    </row>
    <row r="17" ht="19.5" customHeight="1" spans="1:3">
      <c r="A17" s="36"/>
      <c r="B17" s="161" t="s">
        <v>25</v>
      </c>
      <c r="C17" s="374" t="s">
        <v>15</v>
      </c>
    </row>
    <row r="18" ht="19.5" customHeight="1" spans="1:3">
      <c r="A18" s="36"/>
      <c r="B18" s="161" t="s">
        <v>26</v>
      </c>
      <c r="C18" s="374" t="s">
        <v>15</v>
      </c>
    </row>
    <row r="19" ht="19.5" customHeight="1" spans="1:3">
      <c r="A19" s="36"/>
      <c r="B19" s="161" t="s">
        <v>27</v>
      </c>
      <c r="C19" s="374" t="s">
        <v>15</v>
      </c>
    </row>
    <row r="20" ht="16" spans="1:3">
      <c r="A20" s="372" t="s">
        <v>28</v>
      </c>
      <c r="B20" s="374"/>
      <c r="C20" s="374"/>
    </row>
    <row r="21" ht="18" spans="1:3">
      <c r="A21" s="375" t="s">
        <v>29</v>
      </c>
      <c r="B21" s="374"/>
      <c r="C21" s="374"/>
    </row>
    <row r="22" ht="36" spans="1:3">
      <c r="A22" s="211" t="s">
        <v>30</v>
      </c>
      <c r="B22" s="161" t="s">
        <v>31</v>
      </c>
      <c r="C22" s="374" t="s">
        <v>32</v>
      </c>
    </row>
    <row r="23" ht="18" spans="1:3">
      <c r="A23" s="211" t="s">
        <v>33</v>
      </c>
      <c r="B23" s="161" t="s">
        <v>34</v>
      </c>
      <c r="C23" s="374" t="s">
        <v>32</v>
      </c>
    </row>
    <row r="24" ht="18" spans="1:3">
      <c r="A24" s="211" t="s">
        <v>35</v>
      </c>
      <c r="B24" s="161" t="s">
        <v>36</v>
      </c>
      <c r="C24" s="374" t="s">
        <v>32</v>
      </c>
    </row>
    <row r="25" ht="18" spans="1:3">
      <c r="A25" s="211" t="s">
        <v>37</v>
      </c>
      <c r="B25" s="376" t="s">
        <v>38</v>
      </c>
      <c r="C25" s="374" t="s">
        <v>32</v>
      </c>
    </row>
    <row r="26" ht="19.5" customHeight="1" spans="1:3">
      <c r="A26" s="377" t="s">
        <v>39</v>
      </c>
      <c r="B26" s="376" t="s">
        <v>40</v>
      </c>
      <c r="C26" s="374" t="s">
        <v>32</v>
      </c>
    </row>
    <row r="27" ht="19.5" customHeight="1" spans="1:3">
      <c r="A27" s="377"/>
      <c r="B27" s="376" t="s">
        <v>41</v>
      </c>
      <c r="C27" s="374" t="s">
        <v>32</v>
      </c>
    </row>
    <row r="28" ht="19.5" customHeight="1" spans="1:3">
      <c r="A28" s="377"/>
      <c r="B28" s="376" t="s">
        <v>42</v>
      </c>
      <c r="C28" s="374" t="s">
        <v>32</v>
      </c>
    </row>
    <row r="29" ht="19.5" customHeight="1" spans="1:3">
      <c r="A29" s="211" t="s">
        <v>43</v>
      </c>
      <c r="B29" s="376" t="s">
        <v>44</v>
      </c>
      <c r="C29" s="374" t="s">
        <v>32</v>
      </c>
    </row>
    <row r="30" ht="18" spans="1:2">
      <c r="A30" s="375" t="s">
        <v>45</v>
      </c>
      <c r="B30" s="374"/>
    </row>
    <row r="31" ht="36" spans="1:3">
      <c r="A31" s="211" t="s">
        <v>46</v>
      </c>
      <c r="B31" s="376" t="s">
        <v>47</v>
      </c>
      <c r="C31" s="374" t="s">
        <v>48</v>
      </c>
    </row>
    <row r="32" ht="36" spans="1:3">
      <c r="A32" s="211" t="s">
        <v>49</v>
      </c>
      <c r="B32" s="376" t="s">
        <v>50</v>
      </c>
      <c r="C32" s="374" t="s">
        <v>48</v>
      </c>
    </row>
    <row r="33" ht="18" spans="1:3">
      <c r="A33" s="211" t="s">
        <v>51</v>
      </c>
      <c r="B33" s="376" t="s">
        <v>52</v>
      </c>
      <c r="C33" s="374" t="s">
        <v>48</v>
      </c>
    </row>
    <row r="34" ht="18" spans="1:3">
      <c r="A34" s="211" t="s">
        <v>53</v>
      </c>
      <c r="B34" s="376" t="s">
        <v>54</v>
      </c>
      <c r="C34" s="374" t="s">
        <v>48</v>
      </c>
    </row>
    <row r="35" ht="18" spans="1:3">
      <c r="A35" s="211" t="s">
        <v>55</v>
      </c>
      <c r="B35" s="376" t="s">
        <v>56</v>
      </c>
      <c r="C35" s="374" t="s">
        <v>48</v>
      </c>
    </row>
    <row r="36" ht="18" spans="1:3">
      <c r="A36" s="375" t="s">
        <v>57</v>
      </c>
      <c r="B36" s="373"/>
      <c r="C36" s="374"/>
    </row>
    <row r="37" ht="36" spans="1:3">
      <c r="A37" s="211" t="s">
        <v>58</v>
      </c>
      <c r="B37" s="376" t="s">
        <v>59</v>
      </c>
      <c r="C37" s="374" t="s">
        <v>60</v>
      </c>
    </row>
    <row r="38" ht="36" spans="1:3">
      <c r="A38" s="211" t="s">
        <v>61</v>
      </c>
      <c r="B38" s="376" t="s">
        <v>62</v>
      </c>
      <c r="C38" s="374" t="s">
        <v>60</v>
      </c>
    </row>
    <row r="39" ht="18" spans="1:2">
      <c r="A39" s="375" t="s">
        <v>63</v>
      </c>
      <c r="B39" s="374"/>
    </row>
    <row r="40" spans="1:3">
      <c r="A40" s="378" t="s">
        <v>64</v>
      </c>
      <c r="B40" s="376" t="s">
        <v>65</v>
      </c>
      <c r="C40" s="374" t="s">
        <v>66</v>
      </c>
    </row>
    <row r="41" ht="18.75" customHeight="1" spans="1:3">
      <c r="A41" s="378"/>
      <c r="B41" s="161" t="s">
        <v>67</v>
      </c>
      <c r="C41" s="374" t="s">
        <v>66</v>
      </c>
    </row>
    <row r="42" ht="27.75" customHeight="1" spans="1:3">
      <c r="A42" s="378"/>
      <c r="B42" s="161" t="s">
        <v>68</v>
      </c>
      <c r="C42" s="374" t="s">
        <v>66</v>
      </c>
    </row>
    <row r="43" spans="1:3">
      <c r="A43" s="36" t="s">
        <v>69</v>
      </c>
      <c r="B43" s="161" t="s">
        <v>70</v>
      </c>
      <c r="C43" s="374" t="s">
        <v>71</v>
      </c>
    </row>
    <row r="44" spans="1:3">
      <c r="A44" s="36"/>
      <c r="B44" s="161" t="s">
        <v>72</v>
      </c>
      <c r="C44" s="374" t="s">
        <v>71</v>
      </c>
    </row>
    <row r="45" spans="1:3">
      <c r="A45" s="36"/>
      <c r="B45" s="161" t="s">
        <v>73</v>
      </c>
      <c r="C45" s="374" t="s">
        <v>71</v>
      </c>
    </row>
    <row r="46" ht="18" spans="1:3">
      <c r="A46" s="375" t="s">
        <v>74</v>
      </c>
      <c r="B46" s="374"/>
      <c r="C46" s="374"/>
    </row>
    <row r="47" ht="19.5" customHeight="1" spans="1:3">
      <c r="A47" s="36" t="s">
        <v>75</v>
      </c>
      <c r="B47" s="161" t="s">
        <v>76</v>
      </c>
      <c r="C47" s="374" t="s">
        <v>77</v>
      </c>
    </row>
    <row r="48" ht="19.5" customHeight="1" spans="1:3">
      <c r="A48" s="36"/>
      <c r="B48" s="161" t="s">
        <v>78</v>
      </c>
      <c r="C48" s="374" t="s">
        <v>77</v>
      </c>
    </row>
    <row r="49" ht="19.5" customHeight="1" spans="1:3">
      <c r="A49" s="36"/>
      <c r="B49" s="161" t="s">
        <v>79</v>
      </c>
      <c r="C49" s="374" t="s">
        <v>77</v>
      </c>
    </row>
    <row r="50" ht="19.5" customHeight="1" spans="1:3">
      <c r="A50" s="36"/>
      <c r="B50" s="161" t="s">
        <v>80</v>
      </c>
      <c r="C50" s="374" t="s">
        <v>77</v>
      </c>
    </row>
    <row r="51" ht="18" spans="1:2">
      <c r="A51" s="375" t="s">
        <v>81</v>
      </c>
      <c r="B51" s="374"/>
    </row>
    <row r="52" ht="19.5" customHeight="1" spans="1:3">
      <c r="A52" s="377" t="s">
        <v>82</v>
      </c>
      <c r="B52" s="161" t="s">
        <v>83</v>
      </c>
      <c r="C52" s="374" t="s">
        <v>84</v>
      </c>
    </row>
    <row r="53" ht="14.25" customHeight="1" spans="1:3">
      <c r="A53" s="377"/>
      <c r="B53" s="161" t="s">
        <v>85</v>
      </c>
      <c r="C53" s="374" t="s">
        <v>84</v>
      </c>
    </row>
    <row r="54" ht="14.25" customHeight="1" spans="1:3">
      <c r="A54" s="377"/>
      <c r="B54" s="161" t="s">
        <v>86</v>
      </c>
      <c r="C54" s="374" t="s">
        <v>84</v>
      </c>
    </row>
    <row r="55" ht="14.25" customHeight="1" spans="1:3">
      <c r="A55" s="377"/>
      <c r="B55" s="161" t="s">
        <v>87</v>
      </c>
      <c r="C55" s="374" t="s">
        <v>84</v>
      </c>
    </row>
    <row r="56" ht="19.5" customHeight="1" spans="1:3">
      <c r="A56" s="377"/>
      <c r="B56" s="161" t="s">
        <v>88</v>
      </c>
      <c r="C56" s="374" t="s">
        <v>84</v>
      </c>
    </row>
    <row r="57" ht="14.25" customHeight="1" spans="1:3">
      <c r="A57" s="377" t="s">
        <v>89</v>
      </c>
      <c r="B57" s="161" t="s">
        <v>90</v>
      </c>
      <c r="C57" s="374" t="s">
        <v>84</v>
      </c>
    </row>
    <row r="58" ht="14.25" customHeight="1" spans="1:3">
      <c r="A58" s="377"/>
      <c r="B58" s="161" t="s">
        <v>91</v>
      </c>
      <c r="C58" s="374" t="s">
        <v>84</v>
      </c>
    </row>
    <row r="59" ht="14.25" customHeight="1" spans="1:3">
      <c r="A59" s="377"/>
      <c r="B59" s="161" t="s">
        <v>92</v>
      </c>
      <c r="C59" s="374" t="s">
        <v>84</v>
      </c>
    </row>
    <row r="60" ht="14.25" customHeight="1" spans="1:3">
      <c r="A60" s="377"/>
      <c r="B60" s="161" t="s">
        <v>93</v>
      </c>
      <c r="C60" s="374" t="s">
        <v>84</v>
      </c>
    </row>
    <row r="61" ht="14.25" customHeight="1" spans="1:3">
      <c r="A61" s="377"/>
      <c r="B61" s="161" t="s">
        <v>94</v>
      </c>
      <c r="C61" s="374" t="s">
        <v>84</v>
      </c>
    </row>
  </sheetData>
  <mergeCells count="8">
    <mergeCell ref="A8:A13"/>
    <mergeCell ref="A14:A19"/>
    <mergeCell ref="A26:A28"/>
    <mergeCell ref="A40:A42"/>
    <mergeCell ref="A43:A45"/>
    <mergeCell ref="A47:A50"/>
    <mergeCell ref="A52:A56"/>
    <mergeCell ref="A57:A61"/>
  </mergeCells>
  <hyperlinks>
    <hyperlink ref="B4" location="'1.历年支出'!M14" display="指标1"/>
    <hyperlink ref="B5" location="'1.历年支出'!M21" display="指标2"/>
    <hyperlink ref="B6" location="'1.历年支出'!M23" display="指标3"/>
    <hyperlink ref="B8" location="'2.资本情况'!I7" display="指标4"/>
    <hyperlink ref="B14" location="'2.资本情况'!I8" display="指标10"/>
    <hyperlink ref="B15" location="'2.资本情况'!E8" display="指标11"/>
    <hyperlink ref="B16" location="'2.资本情况'!G8" display="指标12"/>
    <hyperlink ref="B17" location="'2.资本情况'!H8" display="指标13"/>
    <hyperlink ref="B18" location="'2.资本情况'!I8" display="指标14"/>
    <hyperlink ref="B19" location="'2.资本情况'!L8" display="指标15"/>
    <hyperlink ref="B22" location="'3.会计报表'!E14" display="指标16"/>
    <hyperlink ref="B23" location="'3.会计报表'!C7" display="指标17"/>
    <hyperlink ref="B24" location="'3.会计报表'!C14" display="指标18"/>
    <hyperlink ref="B25" location="'3.会计报表'!E9" display="指标19"/>
    <hyperlink ref="B27" location="'3.会计报表'!H5" display="指标21"/>
    <hyperlink ref="B29" location="'3.会计报表'!C15" display="指标23"/>
    <hyperlink ref="B26" location="'3.会计报表'!H14" display="指标20"/>
    <hyperlink ref="B28" location="'3.会计报表'!H10" display="指标22"/>
    <hyperlink ref="B31" location="'4.收入汇总表'!G12" display="指标24"/>
    <hyperlink ref="B32" location="'4.收入汇总表'!G8" display="指标25"/>
    <hyperlink ref="B33" location="'4.收入汇总表'!G5" display="指标26"/>
    <hyperlink ref="B34" location="'4.收入汇总表'!G4" display="指标27"/>
    <hyperlink ref="B35" location="'4.收入汇总表'!G7" display="指标28"/>
    <hyperlink ref="B38" location="'5.分红明细表'!F11" display="指标30"/>
    <hyperlink ref="B37" location="'5.分红明细表'!F19" display="指标29"/>
    <hyperlink ref="B40" location="'6.预算-费用表'!C21" display="指标31"/>
    <hyperlink ref="B41" location="'6.预算-费用表'!B21" display="指标32"/>
    <hyperlink ref="B42" location="'6.预算-费用表'!D21" display="指标33"/>
    <hyperlink ref="B43" location="'7.预算-经理层表'!C17" display="指标34"/>
    <hyperlink ref="B44" location="'7.预算-经理层表'!B17" display="指标35"/>
    <hyperlink ref="B45" location="'7.预算-经理层表'!D17" display="指标36"/>
    <hyperlink ref="B47" location="'8.对外投资情况表'!C16" display="指标37"/>
    <hyperlink ref="B48" location="'8.对外投资情况表'!F16" display="指标38"/>
    <hyperlink ref="B49" location="'8.对外投资情况表'!G15" display="指标39"/>
    <hyperlink ref="B50" location="'8.对外投资情况表'!H15" display="指标40"/>
    <hyperlink ref="B52" location="'9.现金流表'!E29" display="指标41"/>
    <hyperlink ref="B53" location="'9.现金流表'!E26" display="指标42"/>
    <hyperlink ref="B54" location="'9.现金流表'!E27" display="指标43"/>
    <hyperlink ref="B55" location="'9.现金流表'!E28" display="指标44"/>
    <hyperlink ref="B56" location="'9.现金流表'!E30" display="指标45"/>
    <hyperlink ref="B57" location="'9.现金流表'!C22" display="指标46"/>
    <hyperlink ref="B58" location="'9.现金流表'!C4" display="指标47"/>
    <hyperlink ref="B59" location="'9.现金流表'!C13" display="指标48"/>
    <hyperlink ref="B60" location="'9.现金流表'!C18" display="指标49"/>
    <hyperlink ref="B61" location="'9.现金流表'!C21" display="指标50"/>
    <hyperlink ref="B9" location="'2.资本情况'!E7" display="指标5"/>
    <hyperlink ref="B10" location="'2.资本情况'!G7" display="指标6"/>
    <hyperlink ref="B11" location="'2.资本情况'!H7" display="指标7"/>
    <hyperlink ref="B12" location="'2.资本情况'!I7" display="指标8"/>
    <hyperlink ref="B13" location="'2.资本情况'!L7" display="指标9"/>
  </hyperlink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B2:K29"/>
  <sheetViews>
    <sheetView showGridLines="0" zoomScale="80" zoomScaleNormal="80" workbookViewId="0">
      <selection activeCell="F16" sqref="F16"/>
    </sheetView>
  </sheetViews>
  <sheetFormatPr defaultColWidth="9" defaultRowHeight="12.4"/>
  <cols>
    <col min="2" max="2" width="21.125" customWidth="1"/>
    <col min="3" max="3" width="20.875" customWidth="1"/>
    <col min="4" max="4" width="16.25" customWidth="1"/>
    <col min="5" max="5" width="15.625" customWidth="1"/>
    <col min="6" max="7" width="20.875" customWidth="1"/>
    <col min="8" max="8" width="16.625" customWidth="1"/>
    <col min="9" max="9" width="17.875" customWidth="1"/>
    <col min="10" max="10" width="25.625" customWidth="1"/>
    <col min="11" max="11" width="23.625" customWidth="1"/>
  </cols>
  <sheetData>
    <row r="2" ht="13.15" spans="11:11">
      <c r="K2" s="44" t="s">
        <v>95</v>
      </c>
    </row>
    <row r="3" ht="26.7" spans="2:11">
      <c r="B3" s="80" t="s">
        <v>125</v>
      </c>
      <c r="C3" s="81" t="s">
        <v>283</v>
      </c>
      <c r="D3" s="81"/>
      <c r="E3" s="81" t="s">
        <v>284</v>
      </c>
      <c r="F3" s="81"/>
      <c r="G3" s="89" t="s">
        <v>285</v>
      </c>
      <c r="H3" s="81" t="s">
        <v>124</v>
      </c>
      <c r="I3" s="103" t="s">
        <v>286</v>
      </c>
      <c r="J3" s="103" t="s">
        <v>287</v>
      </c>
      <c r="K3" s="104" t="s">
        <v>288</v>
      </c>
    </row>
    <row r="4" ht="27.5" spans="2:11">
      <c r="B4" s="80"/>
      <c r="C4" s="81" t="s">
        <v>289</v>
      </c>
      <c r="D4" s="81" t="s">
        <v>290</v>
      </c>
      <c r="E4" s="81" t="s">
        <v>291</v>
      </c>
      <c r="F4" s="81" t="s">
        <v>292</v>
      </c>
      <c r="G4" s="89"/>
      <c r="H4" s="81"/>
      <c r="I4" s="103"/>
      <c r="J4" s="103"/>
      <c r="K4" s="104"/>
    </row>
    <row r="5" ht="29.5" spans="2:11">
      <c r="B5" s="82" t="s">
        <v>293</v>
      </c>
      <c r="C5" s="83">
        <v>449250.101655</v>
      </c>
      <c r="D5" s="83">
        <v>0</v>
      </c>
      <c r="E5" s="83">
        <v>0</v>
      </c>
      <c r="F5" s="83">
        <v>0</v>
      </c>
      <c r="G5" s="83">
        <v>404008.590744146</v>
      </c>
      <c r="H5" s="90">
        <v>853258.692399146</v>
      </c>
      <c r="I5" s="83">
        <v>0</v>
      </c>
      <c r="J5" s="90">
        <v>-104917.12855</v>
      </c>
      <c r="K5" s="105">
        <f>-J5/H5/3</f>
        <v>0.04098683845224</v>
      </c>
    </row>
    <row r="6" ht="29.5" spans="2:11">
      <c r="B6" s="82" t="s">
        <v>294</v>
      </c>
      <c r="C6" s="83">
        <v>0</v>
      </c>
      <c r="D6" s="83">
        <v>0</v>
      </c>
      <c r="E6" s="83">
        <v>0</v>
      </c>
      <c r="F6" s="83">
        <v>0</v>
      </c>
      <c r="G6" s="83">
        <v>0</v>
      </c>
      <c r="H6" s="83">
        <v>0</v>
      </c>
      <c r="I6" s="90">
        <v>-196000</v>
      </c>
      <c r="J6" s="90">
        <v>-5632</v>
      </c>
      <c r="K6" s="105">
        <f>-J6/50000/3</f>
        <v>0.0375466666666667</v>
      </c>
    </row>
    <row r="7" ht="29.5" spans="2:11">
      <c r="B7" s="82" t="s">
        <v>220</v>
      </c>
      <c r="C7" s="83">
        <v>1000</v>
      </c>
      <c r="D7" s="83">
        <v>0</v>
      </c>
      <c r="E7" s="83">
        <v>0</v>
      </c>
      <c r="F7" s="83">
        <v>0</v>
      </c>
      <c r="G7" s="83">
        <v>0</v>
      </c>
      <c r="H7" s="90">
        <v>1000</v>
      </c>
      <c r="I7" s="83">
        <v>0</v>
      </c>
      <c r="J7" s="90">
        <v>18317.04</v>
      </c>
      <c r="K7" s="106">
        <f>J7/H7/10</f>
        <v>1.831704</v>
      </c>
    </row>
    <row r="8" ht="29.5" spans="2:11">
      <c r="B8" s="82" t="s">
        <v>295</v>
      </c>
      <c r="C8" s="83">
        <v>12453</v>
      </c>
      <c r="D8" s="83">
        <v>35297.0591509777</v>
      </c>
      <c r="E8" s="83">
        <v>11682.6475186953</v>
      </c>
      <c r="F8" s="83">
        <v>3160</v>
      </c>
      <c r="G8" s="83">
        <v>0</v>
      </c>
      <c r="H8" s="90">
        <v>62592.706669673</v>
      </c>
      <c r="I8" s="83">
        <v>0</v>
      </c>
      <c r="J8" s="91">
        <v>0</v>
      </c>
      <c r="K8" s="107">
        <v>0</v>
      </c>
    </row>
    <row r="9" ht="29.5" spans="2:11">
      <c r="B9" s="82" t="s">
        <v>296</v>
      </c>
      <c r="C9" s="83">
        <v>29575.0467</v>
      </c>
      <c r="D9" s="83">
        <v>33277.1958054359</v>
      </c>
      <c r="E9" s="83">
        <v>57794.3643755446</v>
      </c>
      <c r="F9" s="83">
        <v>6913.882026716</v>
      </c>
      <c r="G9" s="83">
        <v>0</v>
      </c>
      <c r="H9" s="90">
        <v>127560.488907696</v>
      </c>
      <c r="I9" s="83">
        <v>0</v>
      </c>
      <c r="J9" s="91">
        <v>0</v>
      </c>
      <c r="K9" s="107">
        <v>0</v>
      </c>
    </row>
    <row r="10" ht="29.5" spans="2:11">
      <c r="B10" s="82" t="s">
        <v>297</v>
      </c>
      <c r="C10" s="83">
        <v>59393.5</v>
      </c>
      <c r="D10" s="83">
        <v>23893.9280762925</v>
      </c>
      <c r="E10" s="83">
        <v>12377</v>
      </c>
      <c r="F10" s="83">
        <v>49.2115084841266</v>
      </c>
      <c r="G10" s="83">
        <v>0</v>
      </c>
      <c r="H10" s="90">
        <v>95713.6395847766</v>
      </c>
      <c r="I10" s="83">
        <v>0</v>
      </c>
      <c r="J10" s="90">
        <v>-4313</v>
      </c>
      <c r="K10" s="106">
        <f>4313/H10/5</f>
        <v>0.00901229964446152</v>
      </c>
    </row>
    <row r="11" ht="29.5" spans="2:11">
      <c r="B11" s="82" t="s">
        <v>298</v>
      </c>
      <c r="C11" s="83">
        <v>20000</v>
      </c>
      <c r="D11" s="83">
        <v>11915.3814761678</v>
      </c>
      <c r="E11" s="83">
        <v>121600</v>
      </c>
      <c r="F11" s="83">
        <v>62130.8375403763</v>
      </c>
      <c r="G11" s="83">
        <v>0</v>
      </c>
      <c r="H11" s="90">
        <v>215646.219016544</v>
      </c>
      <c r="I11" s="83">
        <v>0</v>
      </c>
      <c r="J11" s="91">
        <v>0</v>
      </c>
      <c r="K11" s="107">
        <v>0</v>
      </c>
    </row>
    <row r="12" ht="29.5" spans="2:11">
      <c r="B12" s="82" t="s">
        <v>299</v>
      </c>
      <c r="C12" s="83">
        <v>1000</v>
      </c>
      <c r="D12" s="83">
        <v>254.76965102518</v>
      </c>
      <c r="E12" s="83">
        <v>2144.06625652808</v>
      </c>
      <c r="F12" s="83">
        <v>17.7422220891447</v>
      </c>
      <c r="G12" s="83">
        <v>0</v>
      </c>
      <c r="H12" s="90">
        <v>3416.57812964241</v>
      </c>
      <c r="I12" s="83">
        <v>0</v>
      </c>
      <c r="J12" s="91">
        <v>0</v>
      </c>
      <c r="K12" s="107">
        <v>0</v>
      </c>
    </row>
    <row r="13" ht="29.5" spans="2:11">
      <c r="B13" s="82" t="s">
        <v>300</v>
      </c>
      <c r="C13" s="83">
        <v>1000</v>
      </c>
      <c r="D13" s="83">
        <v>0</v>
      </c>
      <c r="E13" s="83">
        <v>16863.675</v>
      </c>
      <c r="F13" s="83">
        <v>1355.72879144445</v>
      </c>
      <c r="G13" s="83">
        <v>0</v>
      </c>
      <c r="H13" s="90">
        <v>19219.4037914444</v>
      </c>
      <c r="I13" s="83">
        <v>-51500</v>
      </c>
      <c r="J13" s="83">
        <v>0</v>
      </c>
      <c r="K13" s="107">
        <v>0</v>
      </c>
    </row>
    <row r="14" ht="29.5" spans="2:11">
      <c r="B14" s="82" t="s">
        <v>301</v>
      </c>
      <c r="C14" s="83">
        <v>82368.328840953</v>
      </c>
      <c r="D14" s="83">
        <v>11621.9914515734</v>
      </c>
      <c r="E14" s="83">
        <v>63560.8528468475</v>
      </c>
      <c r="F14" s="83">
        <v>5793.562647395</v>
      </c>
      <c r="G14" s="91">
        <v>0</v>
      </c>
      <c r="H14" s="90">
        <v>163344.735786769</v>
      </c>
      <c r="I14" s="83">
        <v>0</v>
      </c>
      <c r="J14" s="90">
        <v>-11503.532619</v>
      </c>
      <c r="K14" s="106">
        <f>4313/H14/10</f>
        <v>0.00264042791414485</v>
      </c>
    </row>
    <row r="15" ht="29.5" spans="2:10">
      <c r="B15" s="84" t="s">
        <v>124</v>
      </c>
      <c r="C15" s="85">
        <f>SUM(C5:C14)</f>
        <v>656039.977195953</v>
      </c>
      <c r="D15" s="85">
        <f t="shared" ref="D15:I15" si="0">SUM(D5:D14)</f>
        <v>116260.325611472</v>
      </c>
      <c r="E15" s="85">
        <f t="shared" si="0"/>
        <v>286022.605997615</v>
      </c>
      <c r="F15" s="85">
        <f t="shared" si="0"/>
        <v>79420.964736505</v>
      </c>
      <c r="G15" s="92">
        <f t="shared" si="0"/>
        <v>404008.590744146</v>
      </c>
      <c r="H15" s="93">
        <f t="shared" si="0"/>
        <v>1541752.46428569</v>
      </c>
      <c r="I15" s="85">
        <f t="shared" si="0"/>
        <v>-247500</v>
      </c>
      <c r="J15" s="85">
        <v>-108048.621169</v>
      </c>
    </row>
    <row r="16" ht="19.55" spans="2:7">
      <c r="B16" s="86" t="s">
        <v>302</v>
      </c>
      <c r="C16" s="87">
        <f>C15+D15</f>
        <v>772300.302807425</v>
      </c>
      <c r="E16" s="94" t="s">
        <v>303</v>
      </c>
      <c r="F16" s="94">
        <f>E15+F15</f>
        <v>365443.57073412</v>
      </c>
      <c r="G16" s="95"/>
    </row>
    <row r="17" ht="17.2" spans="2:2">
      <c r="B17" s="88"/>
    </row>
    <row r="18" spans="5:5">
      <c r="E18" s="44" t="s">
        <v>140</v>
      </c>
    </row>
    <row r="19" ht="20.8" spans="4:6">
      <c r="D19" s="45" t="s">
        <v>76</v>
      </c>
      <c r="E19" s="96">
        <f>C16/10000</f>
        <v>77.2300302807426</v>
      </c>
      <c r="F19" s="86" t="s">
        <v>304</v>
      </c>
    </row>
    <row r="20" ht="20.8" spans="4:6">
      <c r="D20" s="45" t="s">
        <v>78</v>
      </c>
      <c r="E20" s="97">
        <f>F16/10000</f>
        <v>36.544357073412</v>
      </c>
      <c r="F20" s="98" t="s">
        <v>305</v>
      </c>
    </row>
    <row r="21" ht="19.2" spans="4:6">
      <c r="D21" s="45" t="s">
        <v>79</v>
      </c>
      <c r="E21" s="99">
        <f>G15/10000</f>
        <v>40.4008590744146</v>
      </c>
      <c r="F21" s="100" t="s">
        <v>306</v>
      </c>
    </row>
    <row r="22" ht="19.2" spans="4:6">
      <c r="D22" s="45" t="s">
        <v>80</v>
      </c>
      <c r="E22" s="101">
        <f>H15/10000</f>
        <v>154.175246428569</v>
      </c>
      <c r="F22" s="102" t="s">
        <v>307</v>
      </c>
    </row>
    <row r="26" ht="14.25" customHeight="1" spans="4:10">
      <c r="D26" s="36"/>
      <c r="E26" s="36"/>
      <c r="F26" s="36"/>
      <c r="G26" s="36"/>
      <c r="H26" s="36"/>
      <c r="I26" s="36"/>
      <c r="J26" s="36"/>
    </row>
    <row r="27" ht="14.25" customHeight="1" spans="4:10">
      <c r="D27" s="36"/>
      <c r="E27" s="36"/>
      <c r="F27" s="36"/>
      <c r="G27" s="36"/>
      <c r="H27" s="36"/>
      <c r="I27" s="36"/>
      <c r="J27" s="36"/>
    </row>
    <row r="28" ht="14.25" customHeight="1" spans="4:10">
      <c r="D28" s="36"/>
      <c r="E28" s="36"/>
      <c r="F28" s="36"/>
      <c r="G28" s="36"/>
      <c r="H28" s="36"/>
      <c r="I28" s="36"/>
      <c r="J28" s="36"/>
    </row>
    <row r="29" ht="14.25" customHeight="1" spans="4:10">
      <c r="D29" s="36"/>
      <c r="E29" s="36"/>
      <c r="F29" s="36"/>
      <c r="G29" s="36"/>
      <c r="H29" s="36"/>
      <c r="I29" s="36"/>
      <c r="J29" s="36"/>
    </row>
  </sheetData>
  <mergeCells count="9">
    <mergeCell ref="C3:D3"/>
    <mergeCell ref="E3:F3"/>
    <mergeCell ref="B3:B4"/>
    <mergeCell ref="G3:G4"/>
    <mergeCell ref="H3:H4"/>
    <mergeCell ref="I3:I4"/>
    <mergeCell ref="J3:J4"/>
    <mergeCell ref="K3:K4"/>
    <mergeCell ref="D26:J29"/>
  </mergeCell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R58"/>
  <sheetViews>
    <sheetView topLeftCell="A16" workbookViewId="0">
      <selection activeCell="D34" sqref="D34"/>
    </sheetView>
  </sheetViews>
  <sheetFormatPr defaultColWidth="8.625" defaultRowHeight="12.4"/>
  <cols>
    <col min="1" max="1" width="11.625" style="6" customWidth="1"/>
    <col min="2" max="2" width="25.375" style="6" customWidth="1"/>
    <col min="3" max="3" width="13" style="6" customWidth="1"/>
    <col min="4" max="4" width="9.125" style="6" customWidth="1"/>
    <col min="5" max="5" width="10.125" style="6" customWidth="1"/>
    <col min="6" max="6" width="10.5" style="6" customWidth="1"/>
    <col min="7" max="7" width="11.5" style="6" customWidth="1"/>
    <col min="8" max="8" width="11.625" style="6" customWidth="1"/>
    <col min="9" max="9" width="12.5" style="6" customWidth="1"/>
    <col min="10" max="11" width="12.25" style="6" customWidth="1"/>
    <col min="12" max="12" width="11.875" style="6" customWidth="1"/>
    <col min="13" max="13" width="12.375" style="6" customWidth="1"/>
    <col min="14" max="14" width="11.125" style="6" customWidth="1"/>
    <col min="15" max="15" width="12" style="6" customWidth="1"/>
    <col min="16" max="16" width="11.375" style="6" customWidth="1"/>
    <col min="17" max="17" width="11.25" style="6" customWidth="1"/>
    <col min="18" max="18" width="12.125" style="6" customWidth="1"/>
    <col min="19" max="16384" width="8.625" style="6"/>
  </cols>
  <sheetData>
    <row r="1" ht="13.15" spans="13:13">
      <c r="M1" s="44" t="s">
        <v>95</v>
      </c>
    </row>
    <row r="2" ht="18" customHeight="1" spans="1:15">
      <c r="A2" s="7"/>
      <c r="B2" s="8" t="s">
        <v>308</v>
      </c>
      <c r="C2" s="8" t="s">
        <v>309</v>
      </c>
      <c r="D2" s="8" t="s">
        <v>310</v>
      </c>
      <c r="E2" s="8" t="s">
        <v>311</v>
      </c>
      <c r="F2" s="8" t="s">
        <v>312</v>
      </c>
      <c r="G2" s="8" t="s">
        <v>313</v>
      </c>
      <c r="H2" s="8" t="s">
        <v>314</v>
      </c>
      <c r="I2" s="8" t="s">
        <v>315</v>
      </c>
      <c r="J2" s="8" t="s">
        <v>316</v>
      </c>
      <c r="K2" s="8" t="s">
        <v>317</v>
      </c>
      <c r="L2" s="8" t="s">
        <v>318</v>
      </c>
      <c r="M2" s="8" t="s">
        <v>319</v>
      </c>
      <c r="N2" s="8" t="s">
        <v>320</v>
      </c>
      <c r="O2" s="8" t="s">
        <v>321</v>
      </c>
    </row>
    <row r="3" s="1" customFormat="1" ht="16.7" spans="1:16">
      <c r="A3" s="9"/>
      <c r="B3" s="10" t="s">
        <v>322</v>
      </c>
      <c r="C3" s="11">
        <v>1728</v>
      </c>
      <c r="D3" s="11">
        <f>C3</f>
        <v>1728</v>
      </c>
      <c r="E3" s="11">
        <f>D19</f>
        <v>-8494.6109732375</v>
      </c>
      <c r="F3" s="11">
        <f t="shared" ref="F3:O3" si="0">E19</f>
        <v>-28699.693446475</v>
      </c>
      <c r="G3" s="11">
        <f t="shared" si="0"/>
        <v>-67675.6833742579</v>
      </c>
      <c r="H3" s="11">
        <f t="shared" si="0"/>
        <v>-74622.3683474954</v>
      </c>
      <c r="I3" s="11">
        <f t="shared" si="0"/>
        <v>-97626.3178207329</v>
      </c>
      <c r="J3" s="11">
        <f t="shared" si="0"/>
        <v>-142964.159748516</v>
      </c>
      <c r="K3" s="11">
        <f t="shared" si="0"/>
        <v>-132214.383603645</v>
      </c>
      <c r="L3" s="11">
        <f t="shared" si="0"/>
        <v>-121179.819958774</v>
      </c>
      <c r="M3" s="11">
        <f t="shared" si="0"/>
        <v>-118367.138768449</v>
      </c>
      <c r="N3" s="11">
        <f t="shared" si="0"/>
        <v>-102312.782623578</v>
      </c>
      <c r="O3" s="11">
        <f t="shared" si="0"/>
        <v>-95101.6789787071</v>
      </c>
      <c r="P3" s="66"/>
    </row>
    <row r="4" s="2" customFormat="1" ht="14.7" spans="1:18">
      <c r="A4" s="12"/>
      <c r="B4" s="13" t="s">
        <v>323</v>
      </c>
      <c r="C4" s="14">
        <f>C5+C12</f>
        <v>-38108.7127883818</v>
      </c>
      <c r="D4" s="15">
        <f t="shared" ref="D4:O4" si="1">D5+D12</f>
        <v>-9776.3909732375</v>
      </c>
      <c r="E4" s="15">
        <f t="shared" si="1"/>
        <v>-3197.3424732375</v>
      </c>
      <c r="F4" s="15">
        <f t="shared" si="1"/>
        <v>66.0500722170464</v>
      </c>
      <c r="G4" s="15">
        <f t="shared" si="1"/>
        <v>-3478.2049732375</v>
      </c>
      <c r="H4" s="15">
        <f t="shared" si="1"/>
        <v>-3443.2894732375</v>
      </c>
      <c r="I4" s="15">
        <f t="shared" si="1"/>
        <v>-9712.86192778295</v>
      </c>
      <c r="J4" s="15">
        <f t="shared" si="1"/>
        <v>-3959.14385512917</v>
      </c>
      <c r="K4" s="15">
        <f t="shared" si="1"/>
        <v>2602.32364487083</v>
      </c>
      <c r="L4" s="15">
        <f t="shared" si="1"/>
        <v>-428.89880967462</v>
      </c>
      <c r="M4" s="15">
        <f t="shared" si="1"/>
        <v>-3453.78385512917</v>
      </c>
      <c r="N4" s="15">
        <f t="shared" si="1"/>
        <v>-3319.85635512917</v>
      </c>
      <c r="O4" s="15">
        <f t="shared" si="1"/>
        <v>-7.31380967461973</v>
      </c>
      <c r="P4" s="67"/>
      <c r="Q4" s="70"/>
      <c r="R4" s="71"/>
    </row>
    <row r="5" s="3" customFormat="1" ht="14.7" spans="1:16">
      <c r="A5" s="12"/>
      <c r="B5" s="16" t="s">
        <v>324</v>
      </c>
      <c r="C5" s="17">
        <f>SUM(C6:C11)</f>
        <v>21750</v>
      </c>
      <c r="D5" s="17">
        <f t="shared" ref="D5:O5" si="2">SUM(D6:D11)</f>
        <v>0</v>
      </c>
      <c r="E5" s="17">
        <f t="shared" si="2"/>
        <v>0</v>
      </c>
      <c r="F5" s="17">
        <f t="shared" si="2"/>
        <v>3808.25</v>
      </c>
      <c r="G5" s="17">
        <f t="shared" si="2"/>
        <v>0</v>
      </c>
      <c r="H5" s="17">
        <f t="shared" si="2"/>
        <v>0</v>
      </c>
      <c r="I5" s="17">
        <f t="shared" si="2"/>
        <v>3808.25</v>
      </c>
      <c r="J5" s="17">
        <f t="shared" si="2"/>
        <v>0</v>
      </c>
      <c r="K5" s="17">
        <f t="shared" si="2"/>
        <v>6517</v>
      </c>
      <c r="L5" s="17">
        <f t="shared" si="2"/>
        <v>3808.25</v>
      </c>
      <c r="M5" s="17">
        <f t="shared" si="2"/>
        <v>0</v>
      </c>
      <c r="N5" s="17">
        <f t="shared" si="2"/>
        <v>0</v>
      </c>
      <c r="O5" s="17">
        <f t="shared" si="2"/>
        <v>3808.25</v>
      </c>
      <c r="P5" s="68">
        <f t="shared" ref="P5:P18" si="3">SUM(D5:O5)-C5</f>
        <v>0</v>
      </c>
    </row>
    <row r="6" ht="13.9" spans="1:18">
      <c r="A6" s="18"/>
      <c r="B6" s="19" t="s">
        <v>325</v>
      </c>
      <c r="C6" s="20">
        <f>'[8]1.利润表'!C3</f>
        <v>6517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f>C6</f>
        <v>6517</v>
      </c>
      <c r="L6" s="20">
        <v>0</v>
      </c>
      <c r="M6" s="20">
        <v>0</v>
      </c>
      <c r="N6" s="20">
        <v>0</v>
      </c>
      <c r="O6" s="20">
        <v>0</v>
      </c>
      <c r="P6" s="68">
        <f t="shared" si="3"/>
        <v>0</v>
      </c>
      <c r="Q6" s="72"/>
      <c r="R6" s="72"/>
    </row>
    <row r="7" ht="13.9" spans="1:18">
      <c r="A7" s="18"/>
      <c r="B7" s="19" t="s">
        <v>326</v>
      </c>
      <c r="C7" s="20">
        <f>'[8]1.利润表'!C6</f>
        <v>5762</v>
      </c>
      <c r="D7" s="20">
        <v>0</v>
      </c>
      <c r="E7" s="20">
        <v>0</v>
      </c>
      <c r="F7" s="20">
        <f>C7/4</f>
        <v>1440.5</v>
      </c>
      <c r="G7" s="20">
        <v>0</v>
      </c>
      <c r="H7" s="20">
        <v>0</v>
      </c>
      <c r="I7" s="20">
        <v>1440.5</v>
      </c>
      <c r="J7" s="20">
        <v>0</v>
      </c>
      <c r="K7" s="20">
        <v>0</v>
      </c>
      <c r="L7" s="20">
        <v>1440.5</v>
      </c>
      <c r="M7" s="20">
        <v>0</v>
      </c>
      <c r="N7" s="20">
        <v>0</v>
      </c>
      <c r="O7" s="20">
        <v>1440.5</v>
      </c>
      <c r="P7" s="68">
        <f t="shared" si="3"/>
        <v>0</v>
      </c>
      <c r="Q7" s="73" t="s">
        <v>327</v>
      </c>
      <c r="R7" s="72"/>
    </row>
    <row r="8" ht="13.9" spans="1:18">
      <c r="A8" s="18"/>
      <c r="B8" s="19" t="s">
        <v>328</v>
      </c>
      <c r="C8" s="20">
        <f>'[8]1.利润表'!C4</f>
        <v>5300</v>
      </c>
      <c r="D8" s="20">
        <v>0</v>
      </c>
      <c r="E8" s="20">
        <v>0</v>
      </c>
      <c r="F8" s="20">
        <f>C8/4</f>
        <v>1325</v>
      </c>
      <c r="G8" s="20">
        <v>0</v>
      </c>
      <c r="H8" s="20">
        <v>0</v>
      </c>
      <c r="I8" s="20">
        <f>F8</f>
        <v>1325</v>
      </c>
      <c r="J8" s="20">
        <v>0</v>
      </c>
      <c r="K8" s="20">
        <v>0</v>
      </c>
      <c r="L8" s="20">
        <f>F8</f>
        <v>1325</v>
      </c>
      <c r="M8" s="20">
        <v>0</v>
      </c>
      <c r="N8" s="20">
        <v>0</v>
      </c>
      <c r="O8" s="20">
        <f>F8</f>
        <v>1325</v>
      </c>
      <c r="P8" s="68">
        <f t="shared" si="3"/>
        <v>0</v>
      </c>
      <c r="Q8" s="72"/>
      <c r="R8" s="72"/>
    </row>
    <row r="9" ht="13.9" spans="1:18">
      <c r="A9" s="18"/>
      <c r="B9" s="19" t="s">
        <v>329</v>
      </c>
      <c r="C9" s="20">
        <f>'[8]1.利润表'!C5</f>
        <v>3916</v>
      </c>
      <c r="D9" s="20">
        <v>0</v>
      </c>
      <c r="E9" s="20">
        <v>0</v>
      </c>
      <c r="F9" s="20">
        <f>C9/4</f>
        <v>979</v>
      </c>
      <c r="G9" s="20">
        <v>0</v>
      </c>
      <c r="H9" s="20">
        <v>0</v>
      </c>
      <c r="I9" s="20">
        <f>F9</f>
        <v>979</v>
      </c>
      <c r="J9" s="20">
        <v>0</v>
      </c>
      <c r="K9" s="20">
        <v>0</v>
      </c>
      <c r="L9" s="20">
        <f>F9</f>
        <v>979</v>
      </c>
      <c r="M9" s="20">
        <v>0</v>
      </c>
      <c r="N9" s="20">
        <v>0</v>
      </c>
      <c r="O9" s="20">
        <f>F9</f>
        <v>979</v>
      </c>
      <c r="P9" s="68">
        <f t="shared" si="3"/>
        <v>0</v>
      </c>
      <c r="Q9" s="72"/>
      <c r="R9" s="72"/>
    </row>
    <row r="10" ht="13.9" spans="1:18">
      <c r="A10" s="18"/>
      <c r="B10" s="19" t="s">
        <v>330</v>
      </c>
      <c r="C10" s="20">
        <f>'[8]1.利润表'!C8</f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68"/>
      <c r="Q10" s="72"/>
      <c r="R10" s="72"/>
    </row>
    <row r="11" ht="13.9" spans="1:18">
      <c r="A11" s="18"/>
      <c r="B11" s="19" t="s">
        <v>331</v>
      </c>
      <c r="C11" s="20">
        <f>'[8]1.利润表'!C7</f>
        <v>255</v>
      </c>
      <c r="D11" s="20">
        <v>0</v>
      </c>
      <c r="E11" s="20">
        <v>0</v>
      </c>
      <c r="F11" s="20">
        <f>C11/4</f>
        <v>63.75</v>
      </c>
      <c r="G11" s="20">
        <v>0</v>
      </c>
      <c r="H11" s="20">
        <v>0</v>
      </c>
      <c r="I11" s="20">
        <f>F11</f>
        <v>63.75</v>
      </c>
      <c r="J11" s="20">
        <v>0</v>
      </c>
      <c r="K11" s="20">
        <v>0</v>
      </c>
      <c r="L11" s="20">
        <f>F11</f>
        <v>63.75</v>
      </c>
      <c r="M11" s="20">
        <v>0</v>
      </c>
      <c r="N11" s="20">
        <v>0</v>
      </c>
      <c r="O11" s="20">
        <f>F11</f>
        <v>63.75</v>
      </c>
      <c r="P11" s="68">
        <f t="shared" si="3"/>
        <v>0</v>
      </c>
      <c r="Q11" s="74"/>
      <c r="R11" s="75"/>
    </row>
    <row r="12" s="2" customFormat="1" ht="14.7" spans="1:18">
      <c r="A12" s="12"/>
      <c r="B12" s="21" t="s">
        <v>332</v>
      </c>
      <c r="C12" s="22">
        <f>SUM(D12:O12)</f>
        <v>-59858.7127883818</v>
      </c>
      <c r="D12" s="22">
        <f>-[8]控股现金流!D4</f>
        <v>-9776.3909732375</v>
      </c>
      <c r="E12" s="22">
        <f>-[8]控股现金流!E4</f>
        <v>-3197.3424732375</v>
      </c>
      <c r="F12" s="22">
        <f>-[8]控股现金流!F4</f>
        <v>-3742.19992778295</v>
      </c>
      <c r="G12" s="22">
        <f>-[8]控股现金流!G4</f>
        <v>-3478.2049732375</v>
      </c>
      <c r="H12" s="22">
        <f>-[8]控股现金流!H4</f>
        <v>-3443.2894732375</v>
      </c>
      <c r="I12" s="22">
        <f>-[8]控股现金流!I4</f>
        <v>-13521.111927783</v>
      </c>
      <c r="J12" s="22">
        <f>-[8]控股现金流!J4</f>
        <v>-3959.14385512917</v>
      </c>
      <c r="K12" s="22">
        <f>-[8]控股现金流!K4</f>
        <v>-3914.67635512917</v>
      </c>
      <c r="L12" s="22">
        <f>-[8]控股现金流!L4</f>
        <v>-4237.14880967462</v>
      </c>
      <c r="M12" s="22">
        <f>-[8]控股现金流!M4</f>
        <v>-3453.78385512917</v>
      </c>
      <c r="N12" s="22">
        <f>-[8]控股现金流!N4</f>
        <v>-3319.85635512917</v>
      </c>
      <c r="O12" s="22">
        <f>-[8]控股现金流!O4</f>
        <v>-3815.56380967462</v>
      </c>
      <c r="P12" s="67"/>
      <c r="Q12" s="70"/>
      <c r="R12" s="71"/>
    </row>
    <row r="13" s="2" customFormat="1" ht="14.7" spans="1:18">
      <c r="A13" s="12"/>
      <c r="B13" s="13" t="s">
        <v>333</v>
      </c>
      <c r="C13" s="23">
        <f t="shared" ref="C13:O13" si="4">SUM(C14:C17)</f>
        <v>-87129.44</v>
      </c>
      <c r="D13" s="15">
        <f t="shared" si="4"/>
        <v>-446.22</v>
      </c>
      <c r="E13" s="15">
        <f t="shared" si="4"/>
        <v>-17007.74</v>
      </c>
      <c r="F13" s="15">
        <f t="shared" si="4"/>
        <v>-39042.04</v>
      </c>
      <c r="G13" s="15">
        <f t="shared" si="4"/>
        <v>-3468.48</v>
      </c>
      <c r="H13" s="15">
        <f t="shared" si="4"/>
        <v>-19560.66</v>
      </c>
      <c r="I13" s="15">
        <f t="shared" si="4"/>
        <v>-15624.98</v>
      </c>
      <c r="J13" s="15">
        <f t="shared" si="4"/>
        <v>14708.92</v>
      </c>
      <c r="K13" s="15">
        <f t="shared" si="4"/>
        <v>8432.24</v>
      </c>
      <c r="L13" s="15">
        <f t="shared" si="4"/>
        <v>3241.58</v>
      </c>
      <c r="M13" s="15">
        <f t="shared" si="4"/>
        <v>19508.14</v>
      </c>
      <c r="N13" s="15">
        <f t="shared" si="4"/>
        <v>10530.96</v>
      </c>
      <c r="O13" s="15">
        <f t="shared" si="4"/>
        <v>-48401.16</v>
      </c>
      <c r="P13" s="67"/>
      <c r="Q13" s="70"/>
      <c r="R13" s="71"/>
    </row>
    <row r="14" s="3" customFormat="1" ht="14.7" spans="1:16">
      <c r="A14" s="12"/>
      <c r="B14" s="16" t="s">
        <v>334</v>
      </c>
      <c r="C14" s="17">
        <f>SUM(D14:O14)</f>
        <v>12481</v>
      </c>
      <c r="D14" s="17">
        <v>0</v>
      </c>
      <c r="E14" s="17">
        <v>-13000</v>
      </c>
      <c r="F14" s="17">
        <v>-2000</v>
      </c>
      <c r="G14" s="17">
        <v>0</v>
      </c>
      <c r="H14" s="17">
        <v>270</v>
      </c>
      <c r="I14" s="17">
        <v>-4499</v>
      </c>
      <c r="J14" s="17">
        <v>15124</v>
      </c>
      <c r="K14" s="17">
        <v>9836</v>
      </c>
      <c r="L14" s="17">
        <v>15000</v>
      </c>
      <c r="M14" s="17">
        <v>20000</v>
      </c>
      <c r="N14" s="17">
        <v>11750</v>
      </c>
      <c r="O14" s="17">
        <v>-40000</v>
      </c>
      <c r="P14" s="68">
        <f t="shared" si="3"/>
        <v>0</v>
      </c>
    </row>
    <row r="15" s="3" customFormat="1" ht="14.7" spans="1:16">
      <c r="A15" s="12"/>
      <c r="B15" s="16" t="s">
        <v>335</v>
      </c>
      <c r="C15" s="17">
        <f>SUM(D15:O15)</f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-1000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1000</v>
      </c>
      <c r="P15" s="68">
        <f t="shared" si="3"/>
        <v>0</v>
      </c>
    </row>
    <row r="16" s="3" customFormat="1" ht="14.7" spans="1:16">
      <c r="A16" s="12"/>
      <c r="B16" s="16" t="s">
        <v>336</v>
      </c>
      <c r="C16" s="17">
        <f>SUM(D16:O16)</f>
        <v>-2524</v>
      </c>
      <c r="D16" s="17">
        <v>448</v>
      </c>
      <c r="E16" s="17">
        <v>3677</v>
      </c>
      <c r="F16" s="17">
        <v>-7225</v>
      </c>
      <c r="G16" s="17">
        <v>6785</v>
      </c>
      <c r="H16" s="17">
        <v>907</v>
      </c>
      <c r="I16" s="17">
        <v>-631</v>
      </c>
      <c r="J16" s="17">
        <v>1143</v>
      </c>
      <c r="K16" s="17">
        <v>-631</v>
      </c>
      <c r="L16" s="17">
        <v>-3906</v>
      </c>
      <c r="M16" s="17">
        <v>0</v>
      </c>
      <c r="N16" s="17">
        <v>-661</v>
      </c>
      <c r="O16" s="17">
        <v>-2430</v>
      </c>
      <c r="P16" s="68"/>
    </row>
    <row r="17" s="3" customFormat="1" ht="14.7" spans="1:16">
      <c r="A17" s="12"/>
      <c r="B17" s="16" t="s">
        <v>337</v>
      </c>
      <c r="C17" s="17">
        <f>SUM(D17:O17)</f>
        <v>-97086.44</v>
      </c>
      <c r="D17" s="17">
        <v>-894.22</v>
      </c>
      <c r="E17" s="17">
        <v>-7684.74</v>
      </c>
      <c r="F17" s="17">
        <v>-29817.04</v>
      </c>
      <c r="G17" s="17">
        <v>-10253.48</v>
      </c>
      <c r="H17" s="17">
        <v>-20737.66</v>
      </c>
      <c r="I17" s="17">
        <v>-9494.98</v>
      </c>
      <c r="J17" s="17">
        <v>-1558.08</v>
      </c>
      <c r="K17" s="17">
        <v>-772.76</v>
      </c>
      <c r="L17" s="17">
        <v>-7852.42</v>
      </c>
      <c r="M17" s="17">
        <v>-491.86</v>
      </c>
      <c r="N17" s="17">
        <v>-558.04</v>
      </c>
      <c r="O17" s="17">
        <v>-6971.16</v>
      </c>
      <c r="P17" s="68">
        <f t="shared" si="3"/>
        <v>0</v>
      </c>
    </row>
    <row r="18" s="2" customFormat="1" ht="14.7" spans="1:18">
      <c r="A18" s="12"/>
      <c r="B18" s="13" t="s">
        <v>338</v>
      </c>
      <c r="C18" s="24">
        <v>-50000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-20000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-30000</v>
      </c>
      <c r="P18" s="67">
        <f t="shared" si="3"/>
        <v>0</v>
      </c>
      <c r="Q18" s="70"/>
      <c r="R18" s="71"/>
    </row>
    <row r="19" s="4" customFormat="1" ht="16.7" spans="1:18">
      <c r="A19" s="9"/>
      <c r="B19" s="25" t="s">
        <v>339</v>
      </c>
      <c r="C19" s="11">
        <f t="shared" ref="C19:O19" si="5">C3+C4+C13+C18</f>
        <v>-173510.152788382</v>
      </c>
      <c r="D19" s="11">
        <f t="shared" si="5"/>
        <v>-8494.6109732375</v>
      </c>
      <c r="E19" s="11">
        <f t="shared" si="5"/>
        <v>-28699.693446475</v>
      </c>
      <c r="F19" s="11">
        <f t="shared" si="5"/>
        <v>-67675.6833742579</v>
      </c>
      <c r="G19" s="11">
        <f t="shared" si="5"/>
        <v>-74622.3683474954</v>
      </c>
      <c r="H19" s="11">
        <f t="shared" si="5"/>
        <v>-97626.3178207329</v>
      </c>
      <c r="I19" s="11">
        <f t="shared" si="5"/>
        <v>-142964.159748516</v>
      </c>
      <c r="J19" s="37">
        <f t="shared" si="5"/>
        <v>-132214.383603645</v>
      </c>
      <c r="K19" s="11">
        <f t="shared" si="5"/>
        <v>-121179.819958774</v>
      </c>
      <c r="L19" s="11">
        <f t="shared" si="5"/>
        <v>-118367.138768449</v>
      </c>
      <c r="M19" s="11">
        <f t="shared" si="5"/>
        <v>-102312.782623578</v>
      </c>
      <c r="N19" s="11">
        <f t="shared" si="5"/>
        <v>-95101.6789787071</v>
      </c>
      <c r="O19" s="37">
        <f t="shared" si="5"/>
        <v>-173510.152788382</v>
      </c>
      <c r="P19" s="66"/>
      <c r="Q19" s="76"/>
      <c r="R19" s="77"/>
    </row>
    <row r="20" ht="15.9" spans="1:18">
      <c r="A20" s="26"/>
      <c r="B20" s="27" t="s">
        <v>340</v>
      </c>
      <c r="C20" s="28">
        <f>'[8]4.现金流各产业'!E18</f>
        <v>36969.6367449412</v>
      </c>
      <c r="D20" s="28">
        <f>'[8]4.现金流各产业'!F18</f>
        <v>5382</v>
      </c>
      <c r="E20" s="28">
        <f>'[8]4.现金流各产业'!G18</f>
        <v>-118</v>
      </c>
      <c r="F20" s="28">
        <f>'[8]4.现金流各产业'!H18</f>
        <v>5353.4091862353</v>
      </c>
      <c r="G20" s="28">
        <f>'[8]4.现金流各产业'!I18</f>
        <v>-118</v>
      </c>
      <c r="H20" s="28">
        <f>'[8]4.现金流各产业'!J18</f>
        <v>-118</v>
      </c>
      <c r="I20" s="28">
        <f>'[8]4.现金流各产业'!K18</f>
        <v>9353.4091862353</v>
      </c>
      <c r="J20" s="28">
        <f>'[8]4.现金流各产业'!L18</f>
        <v>-118</v>
      </c>
      <c r="K20" s="28">
        <f>'[8]4.现金流各产业'!M18</f>
        <v>-118</v>
      </c>
      <c r="L20" s="28">
        <f>'[8]4.现金流各产业'!N18</f>
        <v>5353.4091862353</v>
      </c>
      <c r="M20" s="28">
        <f>'[8]4.现金流各产业'!O18</f>
        <v>2882</v>
      </c>
      <c r="N20" s="28">
        <f>'[8]4.现金流各产业'!P18</f>
        <v>-118</v>
      </c>
      <c r="O20" s="28">
        <f>'[8]4.现金流各产业'!Q18</f>
        <v>9353.4091862353</v>
      </c>
      <c r="P20" s="68"/>
      <c r="Q20" s="68"/>
      <c r="R20" s="68"/>
    </row>
    <row r="21" s="5" customFormat="1" ht="17.5" spans="2:18">
      <c r="B21" s="10" t="s">
        <v>341</v>
      </c>
      <c r="C21" s="29">
        <f>C19+C20</f>
        <v>-136540.516043441</v>
      </c>
      <c r="D21" s="11">
        <f>D19+D20</f>
        <v>-3112.6109732375</v>
      </c>
      <c r="E21" s="11">
        <f t="shared" ref="E21:O21" si="6">D21+E4+E13+E18+E20</f>
        <v>-23435.693446475</v>
      </c>
      <c r="F21" s="37">
        <f t="shared" si="6"/>
        <v>-57058.2741880226</v>
      </c>
      <c r="G21" s="37">
        <f t="shared" si="6"/>
        <v>-64122.9591612602</v>
      </c>
      <c r="H21" s="37">
        <f t="shared" si="6"/>
        <v>-87244.9086344977</v>
      </c>
      <c r="I21" s="37">
        <f t="shared" si="6"/>
        <v>-123229.341376045</v>
      </c>
      <c r="J21" s="37">
        <f t="shared" si="6"/>
        <v>-112597.565231174</v>
      </c>
      <c r="K21" s="37">
        <f t="shared" si="6"/>
        <v>-101681.001586304</v>
      </c>
      <c r="L21" s="37">
        <f t="shared" si="6"/>
        <v>-93514.9112097429</v>
      </c>
      <c r="M21" s="37">
        <f t="shared" si="6"/>
        <v>-74578.5550648721</v>
      </c>
      <c r="N21" s="37">
        <f t="shared" si="6"/>
        <v>-67485.4514200013</v>
      </c>
      <c r="O21" s="37">
        <f t="shared" si="6"/>
        <v>-136540.516043441</v>
      </c>
      <c r="P21" s="69"/>
      <c r="Q21" s="78"/>
      <c r="R21" s="79"/>
    </row>
    <row r="22" s="5" customFormat="1" ht="15.95" spans="2:18">
      <c r="B22" s="30" t="s">
        <v>342</v>
      </c>
      <c r="C22" s="31">
        <f>C21-C3</f>
        <v>-138268.516043441</v>
      </c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69"/>
      <c r="Q22" s="78"/>
      <c r="R22" s="78"/>
    </row>
    <row r="24" ht="13.15" spans="5:5">
      <c r="E24" s="38" t="s">
        <v>205</v>
      </c>
    </row>
    <row r="25" ht="13.9" spans="2:5">
      <c r="B25" s="33" t="s">
        <v>343</v>
      </c>
      <c r="C25" s="33" t="s">
        <v>138</v>
      </c>
      <c r="D25" s="33" t="s">
        <v>139</v>
      </c>
      <c r="E25" s="33" t="s">
        <v>124</v>
      </c>
    </row>
    <row r="26" ht="13.9" spans="2:5">
      <c r="B26" s="34" t="s">
        <v>344</v>
      </c>
      <c r="C26" s="35">
        <v>10000</v>
      </c>
      <c r="D26" s="35">
        <v>20000</v>
      </c>
      <c r="E26" s="39">
        <f>SUM(C26:D26)</f>
        <v>30000</v>
      </c>
    </row>
    <row r="27" ht="13.9" spans="2:5">
      <c r="B27" s="33" t="s">
        <v>345</v>
      </c>
      <c r="C27" s="35">
        <v>30000</v>
      </c>
      <c r="D27" s="35">
        <v>40000</v>
      </c>
      <c r="E27" s="40">
        <f t="shared" ref="E27:E30" si="7">SUM(C27:D27)</f>
        <v>70000</v>
      </c>
    </row>
    <row r="28" ht="13.9" spans="2:5">
      <c r="B28" s="33" t="s">
        <v>346</v>
      </c>
      <c r="C28" s="35">
        <v>50000</v>
      </c>
      <c r="D28" s="35">
        <v>60000</v>
      </c>
      <c r="E28" s="41">
        <f t="shared" si="7"/>
        <v>110000</v>
      </c>
    </row>
    <row r="29" ht="13.9" spans="2:5">
      <c r="B29" s="34" t="s">
        <v>124</v>
      </c>
      <c r="C29" s="35">
        <f>SUM(C26:C28)</f>
        <v>90000</v>
      </c>
      <c r="D29" s="35">
        <f>SUM(D26:D28)</f>
        <v>120000</v>
      </c>
      <c r="E29" s="42">
        <f t="shared" si="7"/>
        <v>210000</v>
      </c>
    </row>
    <row r="30" ht="13.9" spans="2:5">
      <c r="B30" s="34" t="s">
        <v>347</v>
      </c>
      <c r="C30" s="35">
        <v>10000</v>
      </c>
      <c r="D30" s="35">
        <v>20000</v>
      </c>
      <c r="E30" s="43">
        <f t="shared" si="7"/>
        <v>30000</v>
      </c>
    </row>
    <row r="31" ht="13.15" spans="7:7">
      <c r="G31" s="44" t="s">
        <v>140</v>
      </c>
    </row>
    <row r="32" ht="18" spans="6:8">
      <c r="F32" s="45" t="s">
        <v>83</v>
      </c>
      <c r="G32" s="46">
        <f>E29/10000</f>
        <v>21</v>
      </c>
      <c r="H32" s="47" t="s">
        <v>348</v>
      </c>
    </row>
    <row r="33" ht="18" spans="6:8">
      <c r="F33" s="45" t="s">
        <v>85</v>
      </c>
      <c r="G33" s="48">
        <f>E26/10000</f>
        <v>3</v>
      </c>
      <c r="H33" s="49" t="s">
        <v>349</v>
      </c>
    </row>
    <row r="34" ht="15.2" spans="6:8">
      <c r="F34" s="45" t="s">
        <v>86</v>
      </c>
      <c r="G34" s="50">
        <f>E27/10000</f>
        <v>7</v>
      </c>
      <c r="H34" s="51" t="s">
        <v>350</v>
      </c>
    </row>
    <row r="35" ht="15.2" spans="6:8">
      <c r="F35" s="45" t="s">
        <v>87</v>
      </c>
      <c r="G35" s="52">
        <f>E28/10000</f>
        <v>11</v>
      </c>
      <c r="H35" s="53" t="s">
        <v>351</v>
      </c>
    </row>
    <row r="36" ht="15.2" spans="6:8">
      <c r="F36" s="45" t="s">
        <v>88</v>
      </c>
      <c r="G36" s="54">
        <f>E30/10000</f>
        <v>3</v>
      </c>
      <c r="H36" s="55" t="s">
        <v>352</v>
      </c>
    </row>
    <row r="37" spans="6:8">
      <c r="F37" s="45" t="s">
        <v>90</v>
      </c>
      <c r="G37" s="56">
        <f>C22/10000</f>
        <v>-13.8268516043441</v>
      </c>
      <c r="H37" s="57" t="s">
        <v>353</v>
      </c>
    </row>
    <row r="38" spans="6:8">
      <c r="F38" s="45" t="s">
        <v>91</v>
      </c>
      <c r="G38" s="58">
        <f>C4/10000</f>
        <v>-3.81087127883818</v>
      </c>
      <c r="H38" s="59" t="s">
        <v>354</v>
      </c>
    </row>
    <row r="39" spans="6:8">
      <c r="F39" s="45" t="s">
        <v>92</v>
      </c>
      <c r="G39" s="60">
        <f>C13/10000</f>
        <v>-8.712944</v>
      </c>
      <c r="H39" s="61" t="s">
        <v>355</v>
      </c>
    </row>
    <row r="40" spans="6:8">
      <c r="F40" s="45" t="s">
        <v>93</v>
      </c>
      <c r="G40" s="62">
        <f>C18/10000</f>
        <v>-5</v>
      </c>
      <c r="H40" s="63" t="s">
        <v>356</v>
      </c>
    </row>
    <row r="41" spans="6:8">
      <c r="F41" s="45" t="s">
        <v>94</v>
      </c>
      <c r="G41" s="64">
        <f>C21/10000</f>
        <v>-13.6540516043441</v>
      </c>
      <c r="H41" s="65" t="s">
        <v>357</v>
      </c>
    </row>
    <row r="48" ht="14.25" customHeight="1" spans="3:8">
      <c r="C48" s="36"/>
      <c r="D48" s="36"/>
      <c r="E48" s="36"/>
      <c r="F48" s="36"/>
      <c r="G48" s="36"/>
      <c r="H48" s="36"/>
    </row>
    <row r="49" ht="14.25" customHeight="1" spans="3:8">
      <c r="C49" s="36"/>
      <c r="D49" s="36"/>
      <c r="E49" s="36"/>
      <c r="F49" s="36"/>
      <c r="G49" s="36"/>
      <c r="H49" s="36"/>
    </row>
    <row r="50" ht="14.25" customHeight="1" spans="3:8">
      <c r="C50" s="36"/>
      <c r="D50" s="36"/>
      <c r="E50" s="36"/>
      <c r="F50" s="36"/>
      <c r="G50" s="36"/>
      <c r="H50" s="36"/>
    </row>
    <row r="51" ht="14.25" customHeight="1" spans="3:8">
      <c r="C51" s="36"/>
      <c r="D51" s="36"/>
      <c r="E51" s="36"/>
      <c r="F51" s="36"/>
      <c r="G51" s="36"/>
      <c r="H51" s="36"/>
    </row>
    <row r="52" ht="14.25" customHeight="1" spans="3:8">
      <c r="C52" s="36"/>
      <c r="D52" s="36"/>
      <c r="E52" s="36"/>
      <c r="F52" s="36"/>
      <c r="G52" s="36"/>
      <c r="H52" s="36"/>
    </row>
    <row r="53" ht="14.25" customHeight="1" spans="3:8">
      <c r="C53" s="36"/>
      <c r="D53" s="36"/>
      <c r="E53" s="36"/>
      <c r="F53" s="36"/>
      <c r="G53" s="36"/>
      <c r="H53" s="36"/>
    </row>
    <row r="54" ht="14.25" customHeight="1" spans="3:8">
      <c r="C54" s="36"/>
      <c r="D54" s="36"/>
      <c r="E54" s="36"/>
      <c r="F54" s="36"/>
      <c r="G54" s="36"/>
      <c r="H54" s="36"/>
    </row>
    <row r="55" ht="14.25" customHeight="1" spans="3:8">
      <c r="C55" s="36"/>
      <c r="D55" s="36"/>
      <c r="E55" s="36"/>
      <c r="F55" s="36"/>
      <c r="G55" s="36"/>
      <c r="H55" s="36"/>
    </row>
    <row r="56" ht="14.25" customHeight="1" spans="3:8">
      <c r="C56" s="36"/>
      <c r="D56" s="36"/>
      <c r="E56" s="36"/>
      <c r="F56" s="36"/>
      <c r="G56" s="36"/>
      <c r="H56" s="36"/>
    </row>
    <row r="57" ht="14.25" customHeight="1" spans="3:8">
      <c r="C57" s="36"/>
      <c r="D57" s="36"/>
      <c r="E57" s="36"/>
      <c r="F57" s="36"/>
      <c r="G57" s="36"/>
      <c r="H57" s="36"/>
    </row>
    <row r="58" ht="14.25" customHeight="1" spans="3:8">
      <c r="C58" s="36"/>
      <c r="D58" s="36"/>
      <c r="E58" s="36"/>
      <c r="F58" s="36"/>
      <c r="G58" s="36"/>
      <c r="H58" s="36"/>
    </row>
  </sheetData>
  <mergeCells count="4">
    <mergeCell ref="C58:H58"/>
    <mergeCell ref="A6:A11"/>
    <mergeCell ref="C48:H52"/>
    <mergeCell ref="C53:H57"/>
  </mergeCells>
  <conditionalFormatting sqref="J19">
    <cfRule type="cellIs" dxfId="0" priority="5" operator="lessThan">
      <formula>0</formula>
    </cfRule>
    <cfRule type="cellIs" dxfId="1" priority="6" operator="lessThan">
      <formula>0</formula>
    </cfRule>
  </conditionalFormatting>
  <conditionalFormatting sqref="O19">
    <cfRule type="cellIs" dxfId="0" priority="3" operator="lessThan">
      <formula>0</formula>
    </cfRule>
    <cfRule type="cellIs" dxfId="1" priority="4" operator="lessThan">
      <formula>0</formula>
    </cfRule>
  </conditionalFormatting>
  <conditionalFormatting sqref="F21">
    <cfRule type="cellIs" dxfId="0" priority="1" operator="lessThan">
      <formula>0</formula>
    </cfRule>
    <cfRule type="cellIs" dxfId="1" priority="2" operator="lessThan">
      <formula>0</formula>
    </cfRule>
  </conditionalFormatting>
  <conditionalFormatting sqref="D22:O22 G21:O21">
    <cfRule type="cellIs" dxfId="0" priority="7" operator="lessThan">
      <formula>0</formula>
    </cfRule>
    <cfRule type="cellIs" dxfId="1" priority="8" operator="lessThan">
      <formula>0</formula>
    </cfRule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4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/>
  </sheetPr>
  <dimension ref="A1:P38"/>
  <sheetViews>
    <sheetView workbookViewId="0">
      <selection activeCell="N14" sqref="N14:N23"/>
    </sheetView>
  </sheetViews>
  <sheetFormatPr defaultColWidth="9" defaultRowHeight="12.4"/>
  <cols>
    <col min="1" max="1" width="9" style="331"/>
    <col min="2" max="3" width="18.75" style="331" customWidth="1"/>
    <col min="4" max="4" width="9.375" style="331" customWidth="1"/>
    <col min="5" max="5" width="7.375" style="331" customWidth="1"/>
    <col min="6" max="8" width="8.375" style="331" customWidth="1"/>
    <col min="9" max="9" width="12.375" style="331" customWidth="1"/>
    <col min="10" max="10" width="7.25" style="331" customWidth="1"/>
    <col min="11" max="11" width="7.125" style="331" customWidth="1"/>
    <col min="12" max="12" width="6.625" style="331" customWidth="1"/>
    <col min="13" max="13" width="13" style="331" customWidth="1"/>
    <col min="14" max="14" width="9.375" style="331" customWidth="1"/>
    <col min="15" max="15" width="13.25" style="331" customWidth="1"/>
    <col min="16" max="16" width="14.5" style="331" customWidth="1"/>
    <col min="17" max="17" width="10.25" style="331" customWidth="1"/>
    <col min="18" max="16384" width="9" style="331"/>
  </cols>
  <sheetData>
    <row r="1" ht="17.55" spans="13:13">
      <c r="M1" s="355" t="s">
        <v>95</v>
      </c>
    </row>
    <row r="2" ht="21.75" customHeight="1" spans="1:13">
      <c r="A2" s="332" t="s">
        <v>96</v>
      </c>
      <c r="B2" s="333"/>
      <c r="C2" s="333" t="s">
        <v>97</v>
      </c>
      <c r="D2" s="333" t="s">
        <v>98</v>
      </c>
      <c r="E2" s="333" t="s">
        <v>99</v>
      </c>
      <c r="F2" s="333" t="s">
        <v>100</v>
      </c>
      <c r="G2" s="333" t="s">
        <v>101</v>
      </c>
      <c r="H2" s="333" t="s">
        <v>102</v>
      </c>
      <c r="I2" s="352" t="s">
        <v>103</v>
      </c>
      <c r="J2" s="333" t="s">
        <v>104</v>
      </c>
      <c r="K2" s="333" t="s">
        <v>105</v>
      </c>
      <c r="L2" s="333" t="s">
        <v>106</v>
      </c>
      <c r="M2" s="356" t="s">
        <v>107</v>
      </c>
    </row>
    <row r="3" ht="16.5" spans="1:14">
      <c r="A3" s="334" t="s">
        <v>108</v>
      </c>
      <c r="B3" s="335" t="s">
        <v>109</v>
      </c>
      <c r="C3" s="335"/>
      <c r="D3" s="336">
        <v>57.06695</v>
      </c>
      <c r="E3" s="336">
        <v>401.575264</v>
      </c>
      <c r="F3" s="336">
        <v>2233.663846</v>
      </c>
      <c r="G3" s="336">
        <v>1451.408198</v>
      </c>
      <c r="H3" s="336">
        <v>1.786314</v>
      </c>
      <c r="I3" s="336">
        <v>31786.821718</v>
      </c>
      <c r="J3" s="336">
        <v>98.603537</v>
      </c>
      <c r="K3" s="336">
        <v>95.773892</v>
      </c>
      <c r="L3" s="336">
        <v>83.87475</v>
      </c>
      <c r="M3" s="357">
        <f t="shared" ref="M3:M13" si="0">SUM(D3:L3)</f>
        <v>36210.574469</v>
      </c>
      <c r="N3" s="358"/>
    </row>
    <row r="4" ht="16.5" spans="1:14">
      <c r="A4" s="334"/>
      <c r="B4" s="337" t="s">
        <v>110</v>
      </c>
      <c r="C4" s="337"/>
      <c r="D4" s="336">
        <v>46735.19043</v>
      </c>
      <c r="E4" s="336">
        <v>24124.706247</v>
      </c>
      <c r="F4" s="336">
        <v>11711.926403</v>
      </c>
      <c r="G4" s="336">
        <v>5583.327849</v>
      </c>
      <c r="H4" s="336">
        <v>3363.137924</v>
      </c>
      <c r="I4" s="336">
        <v>264.797259</v>
      </c>
      <c r="J4" s="336">
        <v>3335.527153</v>
      </c>
      <c r="K4" s="336">
        <v>5751.043994</v>
      </c>
      <c r="L4" s="336">
        <v>948.324904</v>
      </c>
      <c r="M4" s="357">
        <f t="shared" si="0"/>
        <v>101817.982163</v>
      </c>
      <c r="N4" s="358"/>
    </row>
    <row r="5" ht="16.5" spans="1:16">
      <c r="A5" s="334"/>
      <c r="B5" s="337" t="s">
        <v>111</v>
      </c>
      <c r="C5" s="337"/>
      <c r="D5" s="336">
        <v>24393.907635697</v>
      </c>
      <c r="E5" s="336">
        <v>22225.621763</v>
      </c>
      <c r="F5" s="336">
        <v>12798.708165</v>
      </c>
      <c r="G5" s="336">
        <v>12892.595308</v>
      </c>
      <c r="H5" s="336">
        <v>1547.572532</v>
      </c>
      <c r="I5" s="336">
        <v>836.430526</v>
      </c>
      <c r="J5" s="336">
        <v>1634.091117</v>
      </c>
      <c r="K5" s="336">
        <v>154.975921</v>
      </c>
      <c r="L5" s="336">
        <v>104.387155</v>
      </c>
      <c r="M5" s="357">
        <f t="shared" si="0"/>
        <v>76588.290122697</v>
      </c>
      <c r="N5" s="358"/>
      <c r="O5" s="359"/>
      <c r="P5" s="359"/>
    </row>
    <row r="6" ht="16.5" spans="1:16">
      <c r="A6" s="334"/>
      <c r="B6" s="337" t="s">
        <v>112</v>
      </c>
      <c r="C6" s="337"/>
      <c r="D6" s="336">
        <v>423.916597</v>
      </c>
      <c r="E6" s="336">
        <v>609.893211</v>
      </c>
      <c r="F6" s="336">
        <v>1251.435962</v>
      </c>
      <c r="G6" s="336">
        <v>1789.345384</v>
      </c>
      <c r="H6" s="336">
        <v>466.875382</v>
      </c>
      <c r="I6" s="336">
        <v>387.254428999996</v>
      </c>
      <c r="J6" s="336">
        <v>216.318176000001</v>
      </c>
      <c r="K6" s="336">
        <v>-1232.322306</v>
      </c>
      <c r="L6" s="336">
        <v>3174.839171</v>
      </c>
      <c r="M6" s="357">
        <f t="shared" si="0"/>
        <v>7087.556006</v>
      </c>
      <c r="N6" s="358"/>
      <c r="O6" s="360"/>
      <c r="P6" s="360"/>
    </row>
    <row r="7" ht="16.5" spans="1:14">
      <c r="A7" s="334"/>
      <c r="B7" s="337" t="s">
        <v>113</v>
      </c>
      <c r="C7" s="337"/>
      <c r="D7" s="336">
        <v>989.872192</v>
      </c>
      <c r="E7" s="336">
        <v>169.367374</v>
      </c>
      <c r="F7" s="336">
        <v>1647.749586</v>
      </c>
      <c r="G7" s="336">
        <v>2516.347255</v>
      </c>
      <c r="H7" s="336">
        <v>186.020516</v>
      </c>
      <c r="I7" s="336">
        <v>2.81</v>
      </c>
      <c r="J7" s="336">
        <v>182.9125</v>
      </c>
      <c r="K7" s="336">
        <v>4.9</v>
      </c>
      <c r="L7" s="336">
        <v>137.4007</v>
      </c>
      <c r="M7" s="357">
        <f t="shared" si="0"/>
        <v>5837.380123</v>
      </c>
      <c r="N7" s="358"/>
    </row>
    <row r="8" ht="16.5" spans="1:14">
      <c r="A8" s="334"/>
      <c r="B8" s="337" t="s">
        <v>114</v>
      </c>
      <c r="C8" s="337"/>
      <c r="D8" s="336">
        <v>603.047436</v>
      </c>
      <c r="E8" s="336">
        <v>103.743996</v>
      </c>
      <c r="F8" s="336">
        <v>530.025302</v>
      </c>
      <c r="G8" s="336">
        <v>488.917418</v>
      </c>
      <c r="H8" s="336">
        <v>516.245842</v>
      </c>
      <c r="I8" s="336">
        <v>539.167465</v>
      </c>
      <c r="J8" s="336">
        <v>627.301031</v>
      </c>
      <c r="K8" s="336">
        <v>544.368007</v>
      </c>
      <c r="L8" s="336">
        <v>485.104032</v>
      </c>
      <c r="M8" s="357">
        <f t="shared" si="0"/>
        <v>4437.920529</v>
      </c>
      <c r="N8" s="358"/>
    </row>
    <row r="9" ht="16.5" spans="1:14">
      <c r="A9" s="334"/>
      <c r="B9" s="337" t="s">
        <v>115</v>
      </c>
      <c r="C9" s="337"/>
      <c r="D9" s="336">
        <v>1537.925198</v>
      </c>
      <c r="E9" s="336">
        <v>578.515036</v>
      </c>
      <c r="F9" s="336">
        <v>1645.279315</v>
      </c>
      <c r="G9" s="336">
        <v>694.469886</v>
      </c>
      <c r="H9" s="336">
        <v>161.956978</v>
      </c>
      <c r="I9" s="336">
        <v>163.582554</v>
      </c>
      <c r="J9" s="336">
        <v>170.218339</v>
      </c>
      <c r="K9" s="336">
        <v>192.62314</v>
      </c>
      <c r="L9" s="336">
        <v>0</v>
      </c>
      <c r="M9" s="357">
        <f t="shared" si="0"/>
        <v>5144.570446</v>
      </c>
      <c r="N9" s="358"/>
    </row>
    <row r="10" ht="16.5" spans="1:14">
      <c r="A10" s="334"/>
      <c r="B10" s="337" t="s">
        <v>116</v>
      </c>
      <c r="C10" s="337"/>
      <c r="D10" s="336">
        <v>828.039893</v>
      </c>
      <c r="E10" s="336">
        <v>590.948298</v>
      </c>
      <c r="F10" s="336">
        <v>1275.12049</v>
      </c>
      <c r="G10" s="336">
        <v>639.399431</v>
      </c>
      <c r="H10" s="336">
        <v>2.0793</v>
      </c>
      <c r="I10" s="336">
        <v>4.9928</v>
      </c>
      <c r="J10" s="336">
        <v>3.81935</v>
      </c>
      <c r="K10" s="336">
        <v>6.04911</v>
      </c>
      <c r="L10" s="336">
        <v>24.59915</v>
      </c>
      <c r="M10" s="357">
        <f t="shared" si="0"/>
        <v>3375.047822</v>
      </c>
      <c r="N10" s="358"/>
    </row>
    <row r="11" ht="16.5" spans="1:14">
      <c r="A11" s="334"/>
      <c r="B11" s="337" t="s">
        <v>117</v>
      </c>
      <c r="C11" s="337"/>
      <c r="D11" s="336">
        <v>737.021453</v>
      </c>
      <c r="E11" s="336">
        <v>884.812031</v>
      </c>
      <c r="F11" s="336">
        <v>907.213022</v>
      </c>
      <c r="G11" s="336">
        <v>614.120604</v>
      </c>
      <c r="H11" s="336">
        <v>0</v>
      </c>
      <c r="I11" s="336">
        <v>1.0674</v>
      </c>
      <c r="J11" s="336">
        <v>13.22987</v>
      </c>
      <c r="K11" s="336">
        <v>74.48671</v>
      </c>
      <c r="L11" s="336">
        <v>45.298538</v>
      </c>
      <c r="M11" s="357">
        <f t="shared" si="0"/>
        <v>3277.249628</v>
      </c>
      <c r="N11" s="358"/>
    </row>
    <row r="12" ht="16.5" spans="1:14">
      <c r="A12" s="334"/>
      <c r="B12" s="337" t="s">
        <v>118</v>
      </c>
      <c r="C12" s="337"/>
      <c r="D12" s="336">
        <v>730.639538</v>
      </c>
      <c r="E12" s="336">
        <v>8724.107078</v>
      </c>
      <c r="F12" s="336">
        <v>950.829416</v>
      </c>
      <c r="G12" s="336">
        <v>0</v>
      </c>
      <c r="H12" s="336">
        <v>0</v>
      </c>
      <c r="I12" s="336">
        <v>0</v>
      </c>
      <c r="J12" s="336">
        <v>0</v>
      </c>
      <c r="K12" s="336">
        <v>79.258908</v>
      </c>
      <c r="L12" s="336">
        <v>72.653999</v>
      </c>
      <c r="M12" s="357">
        <f t="shared" si="0"/>
        <v>10557.488939</v>
      </c>
      <c r="N12" s="358"/>
    </row>
    <row r="13" ht="16.5" spans="1:14">
      <c r="A13" s="334"/>
      <c r="B13" s="337" t="s">
        <v>119</v>
      </c>
      <c r="C13" s="337"/>
      <c r="D13" s="336">
        <v>161.914111</v>
      </c>
      <c r="E13" s="336">
        <v>553.017849</v>
      </c>
      <c r="F13" s="336">
        <v>263.548232</v>
      </c>
      <c r="G13" s="336">
        <v>627.929512</v>
      </c>
      <c r="H13" s="336">
        <v>0</v>
      </c>
      <c r="I13" s="336">
        <v>3.635777</v>
      </c>
      <c r="J13" s="336">
        <v>0</v>
      </c>
      <c r="K13" s="336">
        <v>140.4902</v>
      </c>
      <c r="L13" s="336">
        <v>0</v>
      </c>
      <c r="M13" s="357">
        <f t="shared" si="0"/>
        <v>1750.535681</v>
      </c>
      <c r="N13" s="361" t="s">
        <v>120</v>
      </c>
    </row>
    <row r="14" ht="16.5" spans="1:15">
      <c r="A14" s="334"/>
      <c r="B14" s="338" t="s">
        <v>121</v>
      </c>
      <c r="C14" s="338">
        <f>SUM(C3:C13)</f>
        <v>0</v>
      </c>
      <c r="D14" s="339">
        <f t="shared" ref="D14:L14" si="1">SUM(D3:D13)</f>
        <v>77198.541433697</v>
      </c>
      <c r="E14" s="339">
        <f t="shared" si="1"/>
        <v>58966.308147</v>
      </c>
      <c r="F14" s="339">
        <f t="shared" si="1"/>
        <v>35215.499739</v>
      </c>
      <c r="G14" s="339">
        <f t="shared" si="1"/>
        <v>27297.860845</v>
      </c>
      <c r="H14" s="339">
        <f t="shared" si="1"/>
        <v>6245.674788</v>
      </c>
      <c r="I14" s="339">
        <f t="shared" si="1"/>
        <v>33990.559928</v>
      </c>
      <c r="J14" s="339">
        <f t="shared" si="1"/>
        <v>6282.021073</v>
      </c>
      <c r="K14" s="339">
        <f t="shared" si="1"/>
        <v>5811.647576</v>
      </c>
      <c r="L14" s="339">
        <f t="shared" si="1"/>
        <v>5076.482399</v>
      </c>
      <c r="M14" s="362">
        <f>SUM(C14:L14)</f>
        <v>256084.595928697</v>
      </c>
      <c r="N14" s="363">
        <f>M14/10000</f>
        <v>25.6084595928697</v>
      </c>
      <c r="O14" s="45" t="s">
        <v>6</v>
      </c>
    </row>
    <row r="15" ht="7.5" customHeight="1" spans="1:14">
      <c r="A15" s="340"/>
      <c r="B15" s="341"/>
      <c r="C15" s="341"/>
      <c r="D15" s="341"/>
      <c r="E15" s="341"/>
      <c r="F15" s="341"/>
      <c r="G15" s="341"/>
      <c r="H15" s="341"/>
      <c r="I15" s="341"/>
      <c r="J15" s="341"/>
      <c r="K15" s="341"/>
      <c r="L15" s="341"/>
      <c r="M15" s="364"/>
      <c r="N15" s="365"/>
    </row>
    <row r="16" ht="16.5" spans="1:14">
      <c r="A16" s="342" t="s">
        <v>122</v>
      </c>
      <c r="B16" s="337" t="s">
        <v>110</v>
      </c>
      <c r="C16" s="337"/>
      <c r="D16" s="336">
        <v>25642.996416</v>
      </c>
      <c r="E16" s="336">
        <v>33883.693657</v>
      </c>
      <c r="F16" s="336">
        <v>33883.693657</v>
      </c>
      <c r="G16" s="336">
        <v>31155.561313</v>
      </c>
      <c r="H16" s="336">
        <v>33219.760283</v>
      </c>
      <c r="I16" s="336">
        <v>33301.746823</v>
      </c>
      <c r="J16" s="336">
        <v>11515.360332</v>
      </c>
      <c r="K16" s="336">
        <v>3354.461688</v>
      </c>
      <c r="L16" s="336">
        <v>0</v>
      </c>
      <c r="M16" s="357">
        <f>SUM(D16:L16)</f>
        <v>205957.274169</v>
      </c>
      <c r="N16" s="366"/>
    </row>
    <row r="17" ht="16.5" spans="1:14">
      <c r="A17" s="342"/>
      <c r="B17" s="337" t="s">
        <v>123</v>
      </c>
      <c r="C17" s="337"/>
      <c r="D17" s="336">
        <v>2103.491639</v>
      </c>
      <c r="E17" s="336">
        <v>0</v>
      </c>
      <c r="F17" s="346"/>
      <c r="G17" s="336">
        <v>0</v>
      </c>
      <c r="H17" s="336">
        <v>31.084185</v>
      </c>
      <c r="I17" s="336">
        <v>1290.089453</v>
      </c>
      <c r="J17" s="336">
        <v>1016.516485</v>
      </c>
      <c r="K17" s="336">
        <v>0</v>
      </c>
      <c r="L17" s="336">
        <v>0</v>
      </c>
      <c r="M17" s="357">
        <f>SUM(D17:L17)</f>
        <v>4441.181762</v>
      </c>
      <c r="N17" s="366"/>
    </row>
    <row r="18" ht="16.5" spans="1:14">
      <c r="A18" s="342"/>
      <c r="B18" s="337" t="s">
        <v>112</v>
      </c>
      <c r="C18" s="337"/>
      <c r="D18" s="336">
        <v>41.5084</v>
      </c>
      <c r="E18" s="337">
        <v>65.3</v>
      </c>
      <c r="F18" s="336">
        <v>3599</v>
      </c>
      <c r="G18" s="336">
        <v>11831.447908</v>
      </c>
      <c r="H18" s="336">
        <v>5884</v>
      </c>
      <c r="I18" s="336">
        <v>11890.836453</v>
      </c>
      <c r="J18" s="336">
        <v>250.085945999999</v>
      </c>
      <c r="K18" s="336">
        <v>1376.027867</v>
      </c>
      <c r="L18" s="336">
        <v>0</v>
      </c>
      <c r="M18" s="357">
        <f>SUM(D18:L18)</f>
        <v>34938.206574</v>
      </c>
      <c r="N18" s="366"/>
    </row>
    <row r="19" ht="16.5" spans="1:14">
      <c r="A19" s="342"/>
      <c r="B19" s="343" t="s">
        <v>121</v>
      </c>
      <c r="C19" s="343"/>
      <c r="D19" s="344">
        <f t="shared" ref="D19:K19" si="2">SUM(D16:D18)</f>
        <v>27787.996455</v>
      </c>
      <c r="E19" s="344">
        <f t="shared" si="2"/>
        <v>33948.993657</v>
      </c>
      <c r="F19" s="344">
        <f t="shared" si="2"/>
        <v>37482.693657</v>
      </c>
      <c r="G19" s="344">
        <f t="shared" si="2"/>
        <v>42987.009221</v>
      </c>
      <c r="H19" s="344">
        <f t="shared" si="2"/>
        <v>39134.844468</v>
      </c>
      <c r="I19" s="344">
        <f t="shared" si="2"/>
        <v>46482.672729</v>
      </c>
      <c r="J19" s="344">
        <f t="shared" si="2"/>
        <v>12781.962763</v>
      </c>
      <c r="K19" s="344">
        <f t="shared" si="2"/>
        <v>4730.489555</v>
      </c>
      <c r="L19" s="353">
        <v>0</v>
      </c>
      <c r="M19" s="357">
        <f>SUM(C19:L19)</f>
        <v>245336.662505</v>
      </c>
      <c r="N19" s="366"/>
    </row>
    <row r="20" ht="13.9" spans="1:14">
      <c r="A20" s="345"/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67"/>
      <c r="N20" s="368"/>
    </row>
    <row r="21" ht="14.7" spans="1:15">
      <c r="A21" s="347" t="s">
        <v>124</v>
      </c>
      <c r="B21" s="348"/>
      <c r="C21" s="343">
        <f>SUM(C16:C19)</f>
        <v>0</v>
      </c>
      <c r="D21" s="344">
        <f t="shared" ref="D21:M21" si="3">D14+D19</f>
        <v>104986.537888697</v>
      </c>
      <c r="E21" s="344">
        <f t="shared" si="3"/>
        <v>92915.301804</v>
      </c>
      <c r="F21" s="344">
        <f t="shared" si="3"/>
        <v>72698.193396</v>
      </c>
      <c r="G21" s="344">
        <f t="shared" si="3"/>
        <v>70284.870066</v>
      </c>
      <c r="H21" s="344">
        <f t="shared" si="3"/>
        <v>45380.519256</v>
      </c>
      <c r="I21" s="344">
        <f t="shared" si="3"/>
        <v>80473.232657</v>
      </c>
      <c r="J21" s="344">
        <f t="shared" si="3"/>
        <v>19063.983836</v>
      </c>
      <c r="K21" s="344">
        <f t="shared" si="3"/>
        <v>10542.137131</v>
      </c>
      <c r="L21" s="339">
        <f t="shared" si="3"/>
        <v>5076.482399</v>
      </c>
      <c r="M21" s="362">
        <f t="shared" si="3"/>
        <v>501421.258433697</v>
      </c>
      <c r="N21" s="363">
        <f>M21/10000</f>
        <v>50.1421258433697</v>
      </c>
      <c r="O21" s="45" t="s">
        <v>9</v>
      </c>
    </row>
    <row r="22" ht="13.9" spans="1:14">
      <c r="A22" s="345"/>
      <c r="B22" s="346"/>
      <c r="C22" s="346"/>
      <c r="D22" s="346"/>
      <c r="E22" s="346"/>
      <c r="F22" s="346"/>
      <c r="G22" s="346"/>
      <c r="H22" s="346"/>
      <c r="I22" s="346"/>
      <c r="J22" s="346"/>
      <c r="K22" s="346"/>
      <c r="L22" s="346"/>
      <c r="M22" s="367"/>
      <c r="N22" s="368"/>
    </row>
    <row r="23" ht="14.7" spans="1:15">
      <c r="A23" s="349"/>
      <c r="B23" s="350"/>
      <c r="C23" s="350"/>
      <c r="D23" s="350"/>
      <c r="E23" s="350"/>
      <c r="F23" s="350"/>
      <c r="G23" s="350"/>
      <c r="H23" s="350"/>
      <c r="I23" s="350"/>
      <c r="J23" s="350"/>
      <c r="K23" s="350"/>
      <c r="L23" s="354" t="s">
        <v>124</v>
      </c>
      <c r="M23" s="369">
        <f>M14+M21</f>
        <v>757505.854362394</v>
      </c>
      <c r="N23" s="363">
        <f>M23/10000</f>
        <v>75.7505854362394</v>
      </c>
      <c r="O23" s="45" t="s">
        <v>11</v>
      </c>
    </row>
    <row r="33" spans="7:9">
      <c r="G33" s="331">
        <v>0</v>
      </c>
      <c r="I33" s="331">
        <f>D33+D38</f>
        <v>0</v>
      </c>
    </row>
    <row r="38" spans="2:4">
      <c r="B38" s="351"/>
      <c r="C38" s="351"/>
      <c r="D38" s="351"/>
    </row>
  </sheetData>
  <mergeCells count="5">
    <mergeCell ref="A2:B2"/>
    <mergeCell ref="A15:M15"/>
    <mergeCell ref="A21:B21"/>
    <mergeCell ref="A3:A14"/>
    <mergeCell ref="A16:A19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C4:M40"/>
  <sheetViews>
    <sheetView topLeftCell="A11" workbookViewId="0">
      <selection activeCell="I18" sqref="I18:K29"/>
    </sheetView>
  </sheetViews>
  <sheetFormatPr defaultColWidth="9" defaultRowHeight="12.4"/>
  <cols>
    <col min="3" max="3" width="15.625" customWidth="1"/>
    <col min="4" max="4" width="19.75" customWidth="1"/>
    <col min="5" max="5" width="18.25" customWidth="1"/>
    <col min="6" max="6" width="20.5" customWidth="1"/>
    <col min="7" max="7" width="20.75" customWidth="1"/>
    <col min="8" max="9" width="19.5" customWidth="1"/>
    <col min="10" max="12" width="19.875" customWidth="1"/>
    <col min="13" max="13" width="18.625" customWidth="1"/>
  </cols>
  <sheetData>
    <row r="4" ht="13.15" spans="13:13">
      <c r="M4" s="44" t="s">
        <v>95</v>
      </c>
    </row>
    <row r="5" ht="60" customHeight="1" spans="3:13">
      <c r="C5" s="292" t="s">
        <v>125</v>
      </c>
      <c r="D5" s="293" t="s">
        <v>126</v>
      </c>
      <c r="E5" s="300"/>
      <c r="F5" s="301" t="s">
        <v>127</v>
      </c>
      <c r="G5" s="302" t="s">
        <v>128</v>
      </c>
      <c r="H5" s="303" t="s">
        <v>129</v>
      </c>
      <c r="I5" s="306" t="s">
        <v>130</v>
      </c>
      <c r="J5" s="320"/>
      <c r="K5" s="320"/>
      <c r="L5" s="321"/>
      <c r="M5" s="327" t="s">
        <v>131</v>
      </c>
    </row>
    <row r="6" ht="52.5" spans="3:13">
      <c r="C6" s="294"/>
      <c r="D6" s="81" t="s">
        <v>132</v>
      </c>
      <c r="E6" s="81" t="s">
        <v>133</v>
      </c>
      <c r="F6" s="304"/>
      <c r="G6" s="305"/>
      <c r="H6" s="306"/>
      <c r="I6" s="322" t="s">
        <v>134</v>
      </c>
      <c r="J6" s="322" t="s">
        <v>135</v>
      </c>
      <c r="K6" s="322" t="s">
        <v>136</v>
      </c>
      <c r="L6" s="322" t="s">
        <v>137</v>
      </c>
      <c r="M6" s="328"/>
    </row>
    <row r="7" ht="45.75" customHeight="1" spans="3:13">
      <c r="C7" s="295" t="s">
        <v>138</v>
      </c>
      <c r="D7" s="296">
        <v>363747.499999</v>
      </c>
      <c r="E7" s="307">
        <v>0.095</v>
      </c>
      <c r="F7" s="308">
        <v>196000</v>
      </c>
      <c r="G7" s="309">
        <f>D7+F7</f>
        <v>559747.499999</v>
      </c>
      <c r="H7" s="310">
        <v>256084.595928697</v>
      </c>
      <c r="I7" s="309">
        <v>100000</v>
      </c>
      <c r="J7">
        <v>20000</v>
      </c>
      <c r="K7" s="323">
        <f>G7-H7</f>
        <v>303662.904070303</v>
      </c>
      <c r="L7" s="324">
        <f>SUM(I7:K7)</f>
        <v>423662.904070303</v>
      </c>
      <c r="M7" s="329">
        <v>-7689.5666669</v>
      </c>
    </row>
    <row r="8" ht="45.75" customHeight="1" spans="3:13">
      <c r="C8" s="295" t="s">
        <v>139</v>
      </c>
      <c r="D8" s="296">
        <v>178193</v>
      </c>
      <c r="E8" s="307">
        <v>0.096</v>
      </c>
      <c r="F8" s="308">
        <v>0</v>
      </c>
      <c r="G8" s="309">
        <f>D8+F8</f>
        <v>178193</v>
      </c>
      <c r="H8" s="310">
        <v>245336.662505</v>
      </c>
      <c r="I8" s="309">
        <v>50000</v>
      </c>
      <c r="J8">
        <v>100000</v>
      </c>
      <c r="K8" s="323">
        <v>200</v>
      </c>
      <c r="L8" s="324">
        <f>SUM(I8:K8)</f>
        <v>150200</v>
      </c>
      <c r="M8" s="329">
        <v>-58606.56222</v>
      </c>
    </row>
    <row r="9" ht="45.75" customHeight="1" spans="3:13">
      <c r="C9" s="297" t="s">
        <v>124</v>
      </c>
      <c r="D9" s="298">
        <f>SUM(D7:D8)</f>
        <v>541940.499999</v>
      </c>
      <c r="E9" s="311">
        <v>0.0956</v>
      </c>
      <c r="F9" s="298">
        <f>SUM(F7:F8)</f>
        <v>196000</v>
      </c>
      <c r="G9" s="298">
        <f>SUM(G7:G8)</f>
        <v>737940.499999</v>
      </c>
      <c r="H9" s="298">
        <f>SUM(H7:H8)</f>
        <v>501421.258433697</v>
      </c>
      <c r="I9" s="298">
        <f>SUM(I7:I8)</f>
        <v>150000</v>
      </c>
      <c r="J9" s="298">
        <f t="shared" ref="J9:M9" si="0">SUM(J7:J8)</f>
        <v>120000</v>
      </c>
      <c r="K9" s="298">
        <f t="shared" si="0"/>
        <v>303862.904070303</v>
      </c>
      <c r="L9" s="325">
        <f t="shared" si="0"/>
        <v>573862.904070303</v>
      </c>
      <c r="M9" s="330">
        <f t="shared" si="0"/>
        <v>-66296.1288869</v>
      </c>
    </row>
    <row r="11" spans="5:5">
      <c r="E11" s="44" t="s">
        <v>140</v>
      </c>
    </row>
    <row r="12" ht="18" spans="3:13">
      <c r="C12" s="299"/>
      <c r="D12" s="45" t="s">
        <v>14</v>
      </c>
      <c r="E12" s="312">
        <f>I7/10000</f>
        <v>10</v>
      </c>
      <c r="F12" s="313" t="s">
        <v>141</v>
      </c>
      <c r="G12" s="299"/>
      <c r="H12" s="299"/>
      <c r="I12" s="299"/>
      <c r="J12" s="299"/>
      <c r="K12" s="299"/>
      <c r="L12" s="299"/>
      <c r="M12" s="299"/>
    </row>
    <row r="13" ht="18" spans="3:13">
      <c r="C13" s="299"/>
      <c r="D13" s="45" t="s">
        <v>16</v>
      </c>
      <c r="E13" s="312">
        <f>D7/10000</f>
        <v>36.3747499999</v>
      </c>
      <c r="F13" s="314" t="s">
        <v>142</v>
      </c>
      <c r="G13" s="299"/>
      <c r="H13" s="299"/>
      <c r="I13" s="299"/>
      <c r="J13" s="299"/>
      <c r="K13" s="299"/>
      <c r="L13" s="299"/>
      <c r="M13" s="299"/>
    </row>
    <row r="14" spans="4:6">
      <c r="D14" s="45" t="s">
        <v>17</v>
      </c>
      <c r="E14" s="312">
        <f>F7/10000</f>
        <v>19.6</v>
      </c>
      <c r="F14" s="315" t="s">
        <v>143</v>
      </c>
    </row>
    <row r="15" spans="4:6">
      <c r="D15" s="45" t="s">
        <v>18</v>
      </c>
      <c r="E15" s="312">
        <f>G7/10000</f>
        <v>55.9747499999</v>
      </c>
      <c r="F15" s="316" t="s">
        <v>144</v>
      </c>
    </row>
    <row r="16" spans="4:6">
      <c r="D16" s="45" t="s">
        <v>19</v>
      </c>
      <c r="E16" s="312">
        <f>H7/10000</f>
        <v>25.6084595928697</v>
      </c>
      <c r="F16" s="317" t="s">
        <v>141</v>
      </c>
    </row>
    <row r="17" spans="4:6">
      <c r="D17" s="45" t="s">
        <v>20</v>
      </c>
      <c r="E17" s="312">
        <f>L7/10000</f>
        <v>42.3662904070303</v>
      </c>
      <c r="F17" s="318" t="s">
        <v>145</v>
      </c>
    </row>
    <row r="18" ht="18" spans="4:12">
      <c r="D18" s="45" t="s">
        <v>22</v>
      </c>
      <c r="E18" s="312">
        <f>I8/10000</f>
        <v>5</v>
      </c>
      <c r="F18" s="313" t="s">
        <v>146</v>
      </c>
      <c r="I18" s="326"/>
      <c r="J18" s="326"/>
      <c r="K18" s="326"/>
      <c r="L18" s="326"/>
    </row>
    <row r="19" ht="18" spans="4:12">
      <c r="D19" s="45" t="s">
        <v>23</v>
      </c>
      <c r="E19" s="312">
        <f>D8/10000</f>
        <v>17.8193</v>
      </c>
      <c r="F19" s="314" t="s">
        <v>147</v>
      </c>
      <c r="I19" s="326"/>
      <c r="J19" s="326"/>
      <c r="K19" s="326"/>
      <c r="L19" s="326"/>
    </row>
    <row r="20" spans="4:12">
      <c r="D20" s="45" t="s">
        <v>24</v>
      </c>
      <c r="E20" s="312">
        <f>F8/10000</f>
        <v>0</v>
      </c>
      <c r="F20" s="315" t="s">
        <v>148</v>
      </c>
      <c r="I20" s="326"/>
      <c r="J20" s="326"/>
      <c r="K20" s="326"/>
      <c r="L20" s="326"/>
    </row>
    <row r="21" spans="4:12">
      <c r="D21" s="45" t="s">
        <v>25</v>
      </c>
      <c r="E21" s="312">
        <f>G8/10000</f>
        <v>17.8193</v>
      </c>
      <c r="F21" s="316" t="s">
        <v>149</v>
      </c>
      <c r="I21" s="326"/>
      <c r="J21" s="326"/>
      <c r="K21" s="326"/>
      <c r="L21" s="326"/>
    </row>
    <row r="22" spans="4:6">
      <c r="D22" s="45" t="s">
        <v>26</v>
      </c>
      <c r="E22" s="312">
        <f>H8/10000</f>
        <v>24.5336662505</v>
      </c>
      <c r="F22" s="317" t="s">
        <v>146</v>
      </c>
    </row>
    <row r="23" spans="4:6">
      <c r="D23" s="45" t="s">
        <v>27</v>
      </c>
      <c r="E23" s="312">
        <f>L8/10000</f>
        <v>15.02</v>
      </c>
      <c r="F23" s="318" t="s">
        <v>150</v>
      </c>
    </row>
    <row r="24" spans="9:11">
      <c r="I24" s="326"/>
      <c r="J24" s="326"/>
      <c r="K24" s="326"/>
    </row>
    <row r="25" spans="9:11">
      <c r="I25" s="326"/>
      <c r="J25" s="326"/>
      <c r="K25" s="326"/>
    </row>
    <row r="26" spans="9:11">
      <c r="I26" s="326"/>
      <c r="J26" s="326"/>
      <c r="K26" s="326"/>
    </row>
    <row r="27" ht="19.5" customHeight="1" spans="8:11">
      <c r="H27" s="319"/>
      <c r="I27" s="326"/>
      <c r="J27" s="326"/>
      <c r="K27" s="326"/>
    </row>
    <row r="28" ht="18" spans="8:11">
      <c r="H28" s="319"/>
      <c r="I28" s="326"/>
      <c r="J28" s="326"/>
      <c r="K28" s="326"/>
    </row>
    <row r="29" ht="14.25" customHeight="1" spans="8:9">
      <c r="H29" s="319"/>
      <c r="I29" s="319"/>
    </row>
    <row r="30" ht="14.25" customHeight="1" spans="8:9">
      <c r="H30" s="319"/>
      <c r="I30" s="319"/>
    </row>
    <row r="31" ht="14.25" customHeight="1" spans="8:9">
      <c r="H31" s="319"/>
      <c r="I31" s="319"/>
    </row>
    <row r="32" ht="14.25" customHeight="1" spans="8:9">
      <c r="H32" s="319"/>
      <c r="I32" s="319"/>
    </row>
    <row r="33" ht="14.25" customHeight="1" spans="8:9">
      <c r="H33" s="319"/>
      <c r="I33" s="319"/>
    </row>
    <row r="34" ht="14.25" customHeight="1" spans="8:9">
      <c r="H34" s="319"/>
      <c r="I34" s="319"/>
    </row>
    <row r="35" ht="14.25" customHeight="1" spans="8:9">
      <c r="H35" s="319"/>
      <c r="I35" s="319"/>
    </row>
    <row r="36" ht="14.25" customHeight="1" spans="8:9">
      <c r="H36" s="319"/>
      <c r="I36" s="319"/>
    </row>
    <row r="37" ht="14.25" customHeight="1" spans="8:9">
      <c r="H37" s="319"/>
      <c r="I37" s="319"/>
    </row>
    <row r="38" ht="14.25" customHeight="1" spans="8:9">
      <c r="H38" s="319"/>
      <c r="I38" s="319"/>
    </row>
    <row r="39" ht="14.25" customHeight="1" spans="8:9">
      <c r="H39" s="319"/>
      <c r="I39" s="319"/>
    </row>
    <row r="40" ht="14.25" customHeight="1" spans="8:9">
      <c r="H40" s="319"/>
      <c r="I40" s="319"/>
    </row>
  </sheetData>
  <mergeCells count="9">
    <mergeCell ref="D5:E5"/>
    <mergeCell ref="I5:L5"/>
    <mergeCell ref="C5:C6"/>
    <mergeCell ref="F5:F6"/>
    <mergeCell ref="G5:G6"/>
    <mergeCell ref="H5:H6"/>
    <mergeCell ref="M5:M6"/>
    <mergeCell ref="I18:K21"/>
    <mergeCell ref="I24:K28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B1:M26"/>
  <sheetViews>
    <sheetView zoomScale="70" zoomScaleNormal="70" workbookViewId="0">
      <pane xSplit="4" ySplit="3" topLeftCell="E5" activePane="bottomRight" state="frozen"/>
      <selection/>
      <selection pane="topRight"/>
      <selection pane="bottomLeft"/>
      <selection pane="bottomRight" activeCell="G16" sqref="H14 G16"/>
    </sheetView>
  </sheetViews>
  <sheetFormatPr defaultColWidth="9" defaultRowHeight="12.4"/>
  <cols>
    <col min="1" max="2" width="9" style="108"/>
    <col min="3" max="3" width="19.875" style="108" customWidth="1"/>
    <col min="4" max="4" width="35.125" style="108" customWidth="1"/>
    <col min="5" max="6" width="16.5" style="108" customWidth="1"/>
    <col min="7" max="7" width="12.5" style="108" customWidth="1"/>
    <col min="8" max="8" width="17.375" style="108" customWidth="1"/>
    <col min="9" max="9" width="15.125" style="108" customWidth="1"/>
    <col min="10" max="11" width="11.625" style="108" customWidth="1"/>
    <col min="12" max="12" width="13.625" style="108" customWidth="1"/>
    <col min="13" max="16384" width="9" style="108"/>
  </cols>
  <sheetData>
    <row r="1" ht="13.15"/>
    <row r="2" ht="38.25" customHeight="1" spans="2:11">
      <c r="B2" s="237"/>
      <c r="C2" s="238"/>
      <c r="D2" s="239" t="s">
        <v>151</v>
      </c>
      <c r="E2" s="255" t="s">
        <v>138</v>
      </c>
      <c r="F2" s="255"/>
      <c r="G2" s="256"/>
      <c r="H2" s="255" t="s">
        <v>139</v>
      </c>
      <c r="I2" s="255"/>
      <c r="J2" s="283"/>
      <c r="K2" s="44" t="s">
        <v>95</v>
      </c>
    </row>
    <row r="3" ht="21.75" spans="2:10">
      <c r="B3" s="240"/>
      <c r="C3" s="138"/>
      <c r="D3" s="241"/>
      <c r="E3" s="257" t="s">
        <v>152</v>
      </c>
      <c r="F3" s="257" t="s">
        <v>153</v>
      </c>
      <c r="G3" s="257" t="s">
        <v>154</v>
      </c>
      <c r="H3" s="257" t="s">
        <v>152</v>
      </c>
      <c r="I3" s="257" t="s">
        <v>153</v>
      </c>
      <c r="J3" s="284" t="s">
        <v>154</v>
      </c>
    </row>
    <row r="4" ht="29.5" spans="2:12">
      <c r="B4" s="240"/>
      <c r="C4" s="138"/>
      <c r="D4" s="242" t="s">
        <v>155</v>
      </c>
      <c r="E4" s="258">
        <v>11757.531157</v>
      </c>
      <c r="F4" s="258">
        <v>18678.067576</v>
      </c>
      <c r="G4" s="259">
        <f>(E4-F4)/F4</f>
        <v>-0.370516724540198</v>
      </c>
      <c r="H4" s="260" t="s">
        <v>156</v>
      </c>
      <c r="I4" s="261" t="s">
        <v>156</v>
      </c>
      <c r="J4" s="285" t="s">
        <v>156</v>
      </c>
      <c r="L4" s="286"/>
    </row>
    <row r="5" ht="29.5" spans="2:10">
      <c r="B5" s="240"/>
      <c r="C5" s="138"/>
      <c r="D5" s="242" t="s">
        <v>157</v>
      </c>
      <c r="E5" s="261">
        <v>57148.102607</v>
      </c>
      <c r="F5" s="258">
        <v>22957.543358</v>
      </c>
      <c r="G5" s="262">
        <f t="shared" ref="G5:G12" si="0">(E5-F5)/F5</f>
        <v>1.4892952053202</v>
      </c>
      <c r="H5" s="263">
        <v>6425.707365</v>
      </c>
      <c r="I5" s="261">
        <v>54091.02608</v>
      </c>
      <c r="J5" s="287">
        <f t="shared" ref="J5" si="1">(H5-I5)/I5</f>
        <v>-0.881205666990002</v>
      </c>
    </row>
    <row r="6" ht="29.5" spans="2:10">
      <c r="B6" s="240"/>
      <c r="C6" s="138"/>
      <c r="D6" s="242" t="s">
        <v>158</v>
      </c>
      <c r="E6" s="261">
        <v>6238.360518</v>
      </c>
      <c r="F6" s="261">
        <v>5134.496619</v>
      </c>
      <c r="G6" s="262">
        <f t="shared" si="0"/>
        <v>0.214989702187201</v>
      </c>
      <c r="H6" s="261" t="s">
        <v>156</v>
      </c>
      <c r="I6" s="261" t="s">
        <v>156</v>
      </c>
      <c r="J6" s="285" t="s">
        <v>156</v>
      </c>
    </row>
    <row r="7" ht="29.5" spans="2:10">
      <c r="B7" s="243" t="s">
        <v>159</v>
      </c>
      <c r="C7" s="244">
        <f>SUM(E4:E7)</f>
        <v>76216.592504</v>
      </c>
      <c r="D7" s="245" t="s">
        <v>160</v>
      </c>
      <c r="E7" s="264">
        <v>1072.598222</v>
      </c>
      <c r="F7" s="264">
        <v>2426.4648</v>
      </c>
      <c r="G7" s="265">
        <f t="shared" si="0"/>
        <v>-0.557958466160317</v>
      </c>
      <c r="H7" s="264" t="s">
        <v>156</v>
      </c>
      <c r="I7" s="264" t="s">
        <v>156</v>
      </c>
      <c r="J7" s="288" t="s">
        <v>156</v>
      </c>
    </row>
    <row r="8" ht="28.75" spans="2:10">
      <c r="B8" s="246"/>
      <c r="C8" s="247"/>
      <c r="D8" s="242" t="s">
        <v>161</v>
      </c>
      <c r="E8" s="258">
        <v>730.639538</v>
      </c>
      <c r="F8" s="258">
        <v>8724.107078</v>
      </c>
      <c r="G8" s="266">
        <f t="shared" si="0"/>
        <v>-0.916250507763426</v>
      </c>
      <c r="H8" s="258" t="s">
        <v>156</v>
      </c>
      <c r="I8" s="258" t="s">
        <v>156</v>
      </c>
      <c r="J8" s="289" t="s">
        <v>156</v>
      </c>
    </row>
    <row r="9" ht="29.5" spans="2:13">
      <c r="B9" s="246"/>
      <c r="C9" s="247"/>
      <c r="D9" s="242" t="s">
        <v>162</v>
      </c>
      <c r="E9" s="267">
        <v>21610.860197</v>
      </c>
      <c r="F9" s="268">
        <v>25106.026347</v>
      </c>
      <c r="G9" s="266">
        <f t="shared" si="0"/>
        <v>-0.13921622249941</v>
      </c>
      <c r="H9" s="261">
        <v>41.5084</v>
      </c>
      <c r="I9" s="258">
        <v>65.3</v>
      </c>
      <c r="J9" s="287">
        <f t="shared" ref="J9:J10" si="2">(H9-I9)/I9</f>
        <v>-0.364343032159265</v>
      </c>
      <c r="M9" s="277"/>
    </row>
    <row r="10" ht="29.5" spans="2:13">
      <c r="B10" s="246"/>
      <c r="C10" s="247"/>
      <c r="D10" s="242" t="s">
        <v>163</v>
      </c>
      <c r="E10" s="268">
        <v>46735.19043</v>
      </c>
      <c r="F10" s="268">
        <v>24124.706247</v>
      </c>
      <c r="G10" s="266">
        <f t="shared" si="0"/>
        <v>0.937233554328219</v>
      </c>
      <c r="H10" s="261">
        <v>25642.996416</v>
      </c>
      <c r="I10" s="261">
        <v>27898.984505</v>
      </c>
      <c r="J10" s="287">
        <f t="shared" si="2"/>
        <v>-0.0808627313512321</v>
      </c>
      <c r="M10" s="277"/>
    </row>
    <row r="11" ht="29.5" spans="2:12">
      <c r="B11" s="246"/>
      <c r="C11" s="247"/>
      <c r="D11" s="242" t="s">
        <v>164</v>
      </c>
      <c r="E11" s="268">
        <v>423.916597</v>
      </c>
      <c r="F11" s="268">
        <v>609.893211</v>
      </c>
      <c r="G11" s="266">
        <f t="shared" si="0"/>
        <v>-0.304933077866315</v>
      </c>
      <c r="H11" s="261" t="s">
        <v>156</v>
      </c>
      <c r="I11" s="261" t="s">
        <v>156</v>
      </c>
      <c r="J11" s="285" t="s">
        <v>156</v>
      </c>
      <c r="L11" s="277"/>
    </row>
    <row r="12" ht="29.5" spans="2:10">
      <c r="B12" s="246"/>
      <c r="C12" s="247"/>
      <c r="D12" s="242" t="s">
        <v>165</v>
      </c>
      <c r="E12" s="258">
        <v>57.06695</v>
      </c>
      <c r="F12" s="258">
        <v>391.871596</v>
      </c>
      <c r="G12" s="266">
        <f t="shared" si="0"/>
        <v>-0.854373344272699</v>
      </c>
      <c r="H12" s="261" t="s">
        <v>156</v>
      </c>
      <c r="I12" s="261" t="s">
        <v>156</v>
      </c>
      <c r="J12" s="285" t="s">
        <v>156</v>
      </c>
    </row>
    <row r="13" ht="29.5" spans="2:10">
      <c r="B13" s="246"/>
      <c r="C13" s="247"/>
      <c r="D13" s="242" t="s">
        <v>166</v>
      </c>
      <c r="E13" s="261" t="s">
        <v>156</v>
      </c>
      <c r="F13" s="261" t="s">
        <v>156</v>
      </c>
      <c r="G13" s="262" t="s">
        <v>156</v>
      </c>
      <c r="H13" s="261">
        <v>2103.491639</v>
      </c>
      <c r="I13" s="261" t="s">
        <v>156</v>
      </c>
      <c r="J13" s="285" t="s">
        <v>156</v>
      </c>
    </row>
    <row r="14" s="236" customFormat="1" ht="29.5" spans="2:11">
      <c r="B14" s="248" t="s">
        <v>167</v>
      </c>
      <c r="C14" s="249">
        <f>SUM(E8:E13)</f>
        <v>69557.673712</v>
      </c>
      <c r="D14" s="250" t="s">
        <v>168</v>
      </c>
      <c r="E14" s="269">
        <v>6658.918792</v>
      </c>
      <c r="F14" s="270">
        <v>-9760.032126</v>
      </c>
      <c r="G14" s="271">
        <f>-(E14-F14)/F14</f>
        <v>1.68226402393299</v>
      </c>
      <c r="H14" s="272">
        <v>-21362.28909</v>
      </c>
      <c r="I14" s="270">
        <v>26126.741575</v>
      </c>
      <c r="J14" s="290">
        <f>(H14-I14)/I14</f>
        <v>-1.81764076965652</v>
      </c>
      <c r="K14" s="108"/>
    </row>
    <row r="15" ht="29.5" spans="2:10">
      <c r="B15" s="251" t="s">
        <v>169</v>
      </c>
      <c r="C15" s="252">
        <f>E14+H14</f>
        <v>-14703.370298</v>
      </c>
      <c r="D15" s="253" t="s">
        <v>170</v>
      </c>
      <c r="E15" s="273">
        <v>-76895.666669</v>
      </c>
      <c r="F15" s="273">
        <v>-83554.585461</v>
      </c>
      <c r="G15" s="274">
        <f>-(E15-F15)/F15</f>
        <v>0.0796954320969985</v>
      </c>
      <c r="H15" s="275">
        <v>-58606.56222</v>
      </c>
      <c r="I15" s="275">
        <v>-37244.27313</v>
      </c>
      <c r="J15" s="291">
        <f>-(H15-I15)/I15</f>
        <v>-0.573572452748254</v>
      </c>
    </row>
    <row r="16" ht="46.5" customHeight="1" spans="5:5">
      <c r="E16" s="44" t="s">
        <v>140</v>
      </c>
    </row>
    <row r="17" ht="27.75" customHeight="1" spans="4:7">
      <c r="D17" s="45" t="s">
        <v>31</v>
      </c>
      <c r="E17" s="276">
        <f>E14/10000</f>
        <v>0.6658918792</v>
      </c>
      <c r="F17" s="86" t="s">
        <v>171</v>
      </c>
      <c r="G17" s="277"/>
    </row>
    <row r="18" ht="27.75" customHeight="1" spans="4:6">
      <c r="D18" s="45" t="s">
        <v>34</v>
      </c>
      <c r="E18" s="278">
        <f>C7/10000</f>
        <v>7.6216592504</v>
      </c>
      <c r="F18" s="98" t="s">
        <v>172</v>
      </c>
    </row>
    <row r="19" ht="27.75" customHeight="1" spans="4:6">
      <c r="D19" s="45" t="s">
        <v>36</v>
      </c>
      <c r="E19" s="278">
        <f>C14/10000</f>
        <v>6.9557673712</v>
      </c>
      <c r="F19" s="100" t="s">
        <v>173</v>
      </c>
    </row>
    <row r="20" ht="27.75" customHeight="1" spans="4:6">
      <c r="D20" s="45" t="s">
        <v>38</v>
      </c>
      <c r="E20" s="278">
        <f>E9/10000</f>
        <v>2.1610860197</v>
      </c>
      <c r="F20" s="102" t="s">
        <v>174</v>
      </c>
    </row>
    <row r="21" ht="27.75" customHeight="1" spans="4:6">
      <c r="D21" s="45" t="s">
        <v>40</v>
      </c>
      <c r="E21" s="278">
        <f>H14/10000</f>
        <v>-2.136228909</v>
      </c>
      <c r="F21" s="201" t="s">
        <v>175</v>
      </c>
    </row>
    <row r="22" ht="27.75" customHeight="1" spans="4:11">
      <c r="D22" s="45" t="s">
        <v>41</v>
      </c>
      <c r="E22" s="278">
        <f>H5/10000</f>
        <v>0.6425707365</v>
      </c>
      <c r="F22" s="279" t="s">
        <v>176</v>
      </c>
      <c r="K22" s="36"/>
    </row>
    <row r="23" ht="27.75" customHeight="1" spans="4:11">
      <c r="D23" s="45" t="s">
        <v>42</v>
      </c>
      <c r="E23" s="280">
        <f>H10/10000</f>
        <v>2.5642996416</v>
      </c>
      <c r="F23" s="281" t="s">
        <v>177</v>
      </c>
      <c r="K23" s="36"/>
    </row>
    <row r="24" ht="27.75" customHeight="1" spans="4:11">
      <c r="D24" s="45" t="s">
        <v>44</v>
      </c>
      <c r="E24" s="278">
        <f>C15/10000</f>
        <v>-1.4703370298</v>
      </c>
      <c r="F24" s="282" t="s">
        <v>178</v>
      </c>
      <c r="K24" s="36"/>
    </row>
    <row r="25" ht="27.75" customHeight="1" spans="4:11">
      <c r="D25" s="254"/>
      <c r="E25" s="254"/>
      <c r="K25" s="36"/>
    </row>
    <row r="26" ht="18" spans="11:11">
      <c r="K26" s="211"/>
    </row>
  </sheetData>
  <mergeCells count="4">
    <mergeCell ref="E2:G2"/>
    <mergeCell ref="H2:J2"/>
    <mergeCell ref="D2:D3"/>
    <mergeCell ref="K22:K25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  <pageSetUpPr fitToPage="1"/>
  </sheetPr>
  <dimension ref="C2:P40"/>
  <sheetViews>
    <sheetView topLeftCell="B1" workbookViewId="0">
      <pane xSplit="4" ySplit="12" topLeftCell="F30" activePane="bottomRight" state="frozen"/>
      <selection/>
      <selection pane="topRight"/>
      <selection pane="bottomLeft"/>
      <selection pane="bottomRight" activeCell="G4" sqref="G4"/>
    </sheetView>
  </sheetViews>
  <sheetFormatPr defaultColWidth="9" defaultRowHeight="12.4"/>
  <cols>
    <col min="1" max="1" width="9" style="179"/>
    <col min="2" max="2" width="14.125" style="179" customWidth="1"/>
    <col min="3" max="3" width="7.375" style="180" customWidth="1"/>
    <col min="4" max="4" width="9.125" style="180" customWidth="1"/>
    <col min="5" max="5" width="20.625" style="181" customWidth="1"/>
    <col min="6" max="11" width="12.875" style="181" customWidth="1"/>
    <col min="12" max="12" width="18.5" style="181" customWidth="1"/>
    <col min="13" max="13" width="18.25" style="181" customWidth="1"/>
    <col min="14" max="14" width="16.375" style="181" customWidth="1"/>
    <col min="15" max="15" width="17.25" style="181" customWidth="1"/>
    <col min="16" max="16" width="17" style="181" customWidth="1"/>
    <col min="17" max="17" width="9" style="179"/>
    <col min="18" max="18" width="16" style="179" customWidth="1"/>
    <col min="19" max="19" width="10.625" style="179" customWidth="1"/>
    <col min="20" max="20" width="11.5" style="179" customWidth="1"/>
    <col min="21" max="21" width="13.75" style="179" customWidth="1"/>
    <col min="22" max="16384" width="9" style="179"/>
  </cols>
  <sheetData>
    <row r="2" ht="45.75" customHeight="1" spans="3:15">
      <c r="C2" s="182" t="s">
        <v>179</v>
      </c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</row>
    <row r="3" s="176" customFormat="1" ht="20.1" customHeight="1" spans="3:16">
      <c r="C3" s="184"/>
      <c r="D3" s="185" t="s">
        <v>180</v>
      </c>
      <c r="E3" s="185" t="s">
        <v>181</v>
      </c>
      <c r="F3" s="185" t="s">
        <v>182</v>
      </c>
      <c r="G3" s="185" t="s">
        <v>152</v>
      </c>
      <c r="H3" s="185" t="s">
        <v>153</v>
      </c>
      <c r="I3" s="212" t="s">
        <v>183</v>
      </c>
      <c r="J3" s="185" t="s">
        <v>184</v>
      </c>
      <c r="K3" s="185" t="s">
        <v>185</v>
      </c>
      <c r="L3" s="185" t="s">
        <v>186</v>
      </c>
      <c r="M3" s="185" t="s">
        <v>187</v>
      </c>
      <c r="N3" s="185" t="s">
        <v>188</v>
      </c>
      <c r="O3" s="185" t="s">
        <v>189</v>
      </c>
      <c r="P3" s="225" t="s">
        <v>190</v>
      </c>
    </row>
    <row r="4" s="177" customFormat="1" ht="20.1" customHeight="1" spans="3:16">
      <c r="C4" s="186" t="s">
        <v>124</v>
      </c>
      <c r="D4" s="187">
        <v>1</v>
      </c>
      <c r="E4" s="197" t="s">
        <v>191</v>
      </c>
      <c r="F4" s="198">
        <f t="shared" ref="F4:P11" si="0">F13+F23</f>
        <v>16960.8081588868</v>
      </c>
      <c r="G4" s="102"/>
      <c r="H4" s="198">
        <f t="shared" si="0"/>
        <v>6390.062083</v>
      </c>
      <c r="I4" s="198">
        <f t="shared" si="0"/>
        <v>4793.62607588679</v>
      </c>
      <c r="J4" s="198">
        <f t="shared" si="0"/>
        <v>4812.75</v>
      </c>
      <c r="K4" s="198">
        <f t="shared" si="0"/>
        <v>177.97</v>
      </c>
      <c r="L4" s="198">
        <f t="shared" si="0"/>
        <v>186.4</v>
      </c>
      <c r="M4" s="198">
        <f t="shared" si="0"/>
        <v>0</v>
      </c>
      <c r="N4" s="198">
        <f t="shared" si="0"/>
        <v>0</v>
      </c>
      <c r="O4" s="198">
        <f t="shared" si="0"/>
        <v>600</v>
      </c>
      <c r="P4" s="226">
        <f t="shared" si="0"/>
        <v>0</v>
      </c>
    </row>
    <row r="5" s="177" customFormat="1" ht="20.1" customHeight="1" spans="3:16">
      <c r="C5" s="186"/>
      <c r="D5" s="187">
        <v>2</v>
      </c>
      <c r="E5" s="197" t="s">
        <v>192</v>
      </c>
      <c r="F5" s="198">
        <f t="shared" si="0"/>
        <v>49572.356181</v>
      </c>
      <c r="G5" s="199"/>
      <c r="H5" s="198">
        <f t="shared" si="0"/>
        <v>6935.472558</v>
      </c>
      <c r="I5" s="198">
        <f t="shared" si="0"/>
        <v>2470.463774</v>
      </c>
      <c r="J5" s="198">
        <f t="shared" si="0"/>
        <v>12025.29</v>
      </c>
      <c r="K5" s="198">
        <f t="shared" si="0"/>
        <v>9393.240449</v>
      </c>
      <c r="L5" s="198">
        <f t="shared" si="0"/>
        <v>4021.824487</v>
      </c>
      <c r="M5" s="198">
        <f t="shared" si="0"/>
        <v>5318.504602</v>
      </c>
      <c r="N5" s="198">
        <f t="shared" si="0"/>
        <v>5533.333334</v>
      </c>
      <c r="O5" s="198">
        <f t="shared" si="0"/>
        <v>1711.946977</v>
      </c>
      <c r="P5" s="226">
        <f t="shared" si="0"/>
        <v>2162.28</v>
      </c>
    </row>
    <row r="6" s="177" customFormat="1" ht="20.1" customHeight="1" spans="3:16">
      <c r="C6" s="186"/>
      <c r="D6" s="187">
        <v>3</v>
      </c>
      <c r="E6" s="197" t="s">
        <v>193</v>
      </c>
      <c r="F6" s="198">
        <f t="shared" si="0"/>
        <v>18263.215369</v>
      </c>
      <c r="G6" s="200"/>
      <c r="H6" s="198">
        <f t="shared" si="0"/>
        <v>-772.817291</v>
      </c>
      <c r="I6" s="198">
        <f t="shared" si="0"/>
        <v>12176.22266</v>
      </c>
      <c r="J6" s="198">
        <f t="shared" si="0"/>
        <v>2642.48</v>
      </c>
      <c r="K6" s="198">
        <f t="shared" si="0"/>
        <v>1959.7</v>
      </c>
      <c r="L6" s="198">
        <f t="shared" si="0"/>
        <v>9</v>
      </c>
      <c r="M6" s="198">
        <f t="shared" si="0"/>
        <v>11</v>
      </c>
      <c r="N6" s="198">
        <f t="shared" si="0"/>
        <v>2217.36</v>
      </c>
      <c r="O6" s="198">
        <f t="shared" si="0"/>
        <v>0</v>
      </c>
      <c r="P6" s="226">
        <f t="shared" si="0"/>
        <v>20.27</v>
      </c>
    </row>
    <row r="7" s="177" customFormat="1" ht="20.1" customHeight="1" spans="3:16">
      <c r="C7" s="186"/>
      <c r="D7" s="188">
        <v>4</v>
      </c>
      <c r="E7" s="197" t="s">
        <v>194</v>
      </c>
      <c r="F7" s="198">
        <f t="shared" si="0"/>
        <v>133909.250656</v>
      </c>
      <c r="G7" s="201"/>
      <c r="H7" s="198">
        <f t="shared" si="0"/>
        <v>12933.804</v>
      </c>
      <c r="I7" s="198">
        <f t="shared" si="0"/>
        <v>63013.019639</v>
      </c>
      <c r="J7" s="198">
        <f t="shared" si="0"/>
        <v>23028.5817</v>
      </c>
      <c r="K7" s="198">
        <f t="shared" si="0"/>
        <v>7061.565417</v>
      </c>
      <c r="L7" s="198">
        <f t="shared" si="0"/>
        <v>4278.8013</v>
      </c>
      <c r="M7" s="198">
        <f t="shared" si="0"/>
        <v>11251.9386</v>
      </c>
      <c r="N7" s="198">
        <f t="shared" si="0"/>
        <v>722.6</v>
      </c>
      <c r="O7" s="198">
        <f t="shared" si="0"/>
        <v>10898.94</v>
      </c>
      <c r="P7" s="226">
        <f t="shared" si="0"/>
        <v>720</v>
      </c>
    </row>
    <row r="8" s="177" customFormat="1" ht="20.1" customHeight="1" spans="3:16">
      <c r="C8" s="186"/>
      <c r="D8" s="188">
        <v>5</v>
      </c>
      <c r="E8" s="197" t="s">
        <v>157</v>
      </c>
      <c r="F8" s="198">
        <f t="shared" si="0"/>
        <v>49836.331781</v>
      </c>
      <c r="G8" s="98"/>
      <c r="H8" s="198">
        <f t="shared" si="0"/>
        <v>52744.14</v>
      </c>
      <c r="I8" s="198">
        <f t="shared" si="0"/>
        <v>1417.79</v>
      </c>
      <c r="J8" s="198">
        <f t="shared" si="0"/>
        <v>-13929.6</v>
      </c>
      <c r="K8" s="198">
        <f t="shared" si="0"/>
        <v>9517.571781</v>
      </c>
      <c r="L8" s="198">
        <f t="shared" si="0"/>
        <v>1143.53</v>
      </c>
      <c r="M8" s="198">
        <f t="shared" si="0"/>
        <v>0</v>
      </c>
      <c r="N8" s="198">
        <f t="shared" si="0"/>
        <v>-445</v>
      </c>
      <c r="O8" s="198">
        <f t="shared" si="0"/>
        <v>-612.1</v>
      </c>
      <c r="P8" s="226">
        <f t="shared" si="0"/>
        <v>0</v>
      </c>
    </row>
    <row r="9" s="177" customFormat="1" ht="20.1" customHeight="1" spans="3:16">
      <c r="C9" s="186"/>
      <c r="D9" s="188">
        <v>6</v>
      </c>
      <c r="E9" s="197" t="s">
        <v>195</v>
      </c>
      <c r="F9" s="198">
        <f t="shared" si="0"/>
        <v>15447.389244</v>
      </c>
      <c r="G9" s="200"/>
      <c r="H9" s="198">
        <f t="shared" si="0"/>
        <v>588.3</v>
      </c>
      <c r="I9" s="198">
        <f t="shared" si="0"/>
        <v>5131.44</v>
      </c>
      <c r="J9" s="198">
        <f t="shared" si="0"/>
        <v>38.749244</v>
      </c>
      <c r="K9" s="198">
        <f t="shared" si="0"/>
        <v>20</v>
      </c>
      <c r="L9" s="198">
        <f t="shared" si="0"/>
        <v>0</v>
      </c>
      <c r="M9" s="198">
        <f t="shared" si="0"/>
        <v>6162.07</v>
      </c>
      <c r="N9" s="198">
        <f t="shared" si="0"/>
        <v>0.489999999999782</v>
      </c>
      <c r="O9" s="198">
        <f t="shared" si="0"/>
        <v>2389</v>
      </c>
      <c r="P9" s="226">
        <f t="shared" si="0"/>
        <v>1117.34</v>
      </c>
    </row>
    <row r="10" s="177" customFormat="1" ht="20.1" customHeight="1" spans="3:16">
      <c r="C10" s="186"/>
      <c r="D10" s="188">
        <v>7</v>
      </c>
      <c r="E10" s="197" t="s">
        <v>196</v>
      </c>
      <c r="F10" s="198">
        <f t="shared" si="0"/>
        <v>103928.159425</v>
      </c>
      <c r="G10" s="200"/>
      <c r="H10" s="198">
        <f t="shared" si="0"/>
        <v>45.58</v>
      </c>
      <c r="I10" s="198">
        <f t="shared" si="0"/>
        <v>17535.525711</v>
      </c>
      <c r="J10" s="198">
        <f t="shared" si="0"/>
        <v>0</v>
      </c>
      <c r="K10" s="198">
        <f t="shared" si="0"/>
        <v>1308.9</v>
      </c>
      <c r="L10" s="198">
        <f t="shared" si="0"/>
        <v>116.85</v>
      </c>
      <c r="M10" s="198">
        <f t="shared" si="0"/>
        <v>66868.413714</v>
      </c>
      <c r="N10" s="198">
        <f t="shared" si="0"/>
        <v>18052.89</v>
      </c>
      <c r="O10" s="198">
        <f t="shared" si="0"/>
        <v>0</v>
      </c>
      <c r="P10" s="226">
        <f t="shared" si="0"/>
        <v>0</v>
      </c>
    </row>
    <row r="11" s="177" customFormat="1" ht="20.1" customHeight="1" spans="3:16">
      <c r="C11" s="189"/>
      <c r="D11" s="190">
        <v>8</v>
      </c>
      <c r="E11" s="202" t="s">
        <v>197</v>
      </c>
      <c r="F11" s="203">
        <f t="shared" si="0"/>
        <v>1223.91811</v>
      </c>
      <c r="G11" s="204"/>
      <c r="H11" s="203">
        <f t="shared" si="0"/>
        <v>277.534166</v>
      </c>
      <c r="I11" s="203">
        <f t="shared" si="0"/>
        <v>254.645944</v>
      </c>
      <c r="J11" s="203">
        <f t="shared" si="0"/>
        <v>0</v>
      </c>
      <c r="K11" s="203">
        <f t="shared" si="0"/>
        <v>0</v>
      </c>
      <c r="L11" s="203">
        <f t="shared" si="0"/>
        <v>0</v>
      </c>
      <c r="M11" s="203">
        <f t="shared" si="0"/>
        <v>0</v>
      </c>
      <c r="N11" s="203">
        <f t="shared" si="0"/>
        <v>0</v>
      </c>
      <c r="O11" s="203">
        <f t="shared" si="0"/>
        <v>294.018</v>
      </c>
      <c r="P11" s="227">
        <f t="shared" si="0"/>
        <v>397.72</v>
      </c>
    </row>
    <row r="12" s="178" customFormat="1" ht="20.1" customHeight="1" spans="3:16">
      <c r="C12" s="191"/>
      <c r="D12" s="192"/>
      <c r="E12" s="205" t="s">
        <v>198</v>
      </c>
      <c r="F12" s="206">
        <f t="shared" ref="F12:P12" si="1">F22+F32</f>
        <v>390618.178924887</v>
      </c>
      <c r="G12" s="167">
        <f>SUM(G4:G11)</f>
        <v>0</v>
      </c>
      <c r="H12" s="206">
        <f t="shared" si="1"/>
        <v>79142.075516</v>
      </c>
      <c r="I12" s="206">
        <f t="shared" si="1"/>
        <v>106792.733803887</v>
      </c>
      <c r="J12" s="206">
        <f t="shared" si="1"/>
        <v>29439.950944</v>
      </c>
      <c r="K12" s="206">
        <f t="shared" si="1"/>
        <v>29438.947647</v>
      </c>
      <c r="L12" s="206">
        <f t="shared" si="1"/>
        <v>10270.655787</v>
      </c>
      <c r="M12" s="206">
        <f t="shared" si="1"/>
        <v>89611.926916</v>
      </c>
      <c r="N12" s="206">
        <f t="shared" si="1"/>
        <v>26081.673334</v>
      </c>
      <c r="O12" s="206">
        <f t="shared" si="1"/>
        <v>15281.804977</v>
      </c>
      <c r="P12" s="228">
        <f t="shared" si="1"/>
        <v>4559.11</v>
      </c>
    </row>
    <row r="13" s="177" customFormat="1" ht="20.1" customHeight="1" spans="3:16">
      <c r="C13" s="184" t="s">
        <v>138</v>
      </c>
      <c r="D13" s="193">
        <v>1</v>
      </c>
      <c r="E13" s="207" t="s">
        <v>191</v>
      </c>
      <c r="F13" s="207">
        <f t="shared" ref="F13:F30" si="2">SUM(H13:P13)</f>
        <v>16960.8081588868</v>
      </c>
      <c r="G13" s="207"/>
      <c r="H13" s="207">
        <f>[7]担保明细!E13</f>
        <v>6390.062083</v>
      </c>
      <c r="I13" s="213">
        <f>[7]担保明细!F13</f>
        <v>4793.62607588679</v>
      </c>
      <c r="J13" s="214">
        <v>4812.75</v>
      </c>
      <c r="K13" s="215">
        <f>188.47-10.5</f>
        <v>177.97</v>
      </c>
      <c r="L13" s="215">
        <v>186.4</v>
      </c>
      <c r="M13" s="217">
        <v>0</v>
      </c>
      <c r="N13" s="217">
        <v>0</v>
      </c>
      <c r="O13" s="215">
        <v>600</v>
      </c>
      <c r="P13" s="229">
        <v>0</v>
      </c>
    </row>
    <row r="14" s="177" customFormat="1" ht="20.1" customHeight="1" spans="3:16">
      <c r="C14" s="186"/>
      <c r="D14" s="187">
        <v>2</v>
      </c>
      <c r="E14" s="197" t="s">
        <v>192</v>
      </c>
      <c r="F14" s="197">
        <f t="shared" si="2"/>
        <v>44185.736181</v>
      </c>
      <c r="G14" s="197"/>
      <c r="H14" s="197">
        <f>[7]利息明细!F25</f>
        <v>6935.472558</v>
      </c>
      <c r="I14" s="216">
        <f>[7]利息明细!G25</f>
        <v>2470.463774</v>
      </c>
      <c r="J14" s="200">
        <v>12025.29</v>
      </c>
      <c r="K14" s="198">
        <f>9606.540449-133-80.3</f>
        <v>9393.240449</v>
      </c>
      <c r="L14" s="198">
        <v>2670.574487</v>
      </c>
      <c r="M14" s="198">
        <f>1283.134602</f>
        <v>1283.134602</v>
      </c>
      <c r="N14" s="198">
        <v>5533.333334</v>
      </c>
      <c r="O14" s="198">
        <v>1711.946977</v>
      </c>
      <c r="P14" s="230">
        <v>2162.28</v>
      </c>
    </row>
    <row r="15" s="177" customFormat="1" ht="20.1" customHeight="1" spans="3:16">
      <c r="C15" s="186"/>
      <c r="D15" s="187">
        <v>3</v>
      </c>
      <c r="E15" s="197" t="s">
        <v>199</v>
      </c>
      <c r="F15" s="197">
        <f t="shared" si="2"/>
        <v>18263.215369</v>
      </c>
      <c r="G15" s="197"/>
      <c r="H15" s="197">
        <f>[7]管理费收入!D17</f>
        <v>-772.817291</v>
      </c>
      <c r="I15" s="216">
        <f>[7]管理费收入!E17</f>
        <v>12176.22266</v>
      </c>
      <c r="J15" s="200">
        <v>2642.48</v>
      </c>
      <c r="K15" s="198">
        <f>[7]管理费收入!G17</f>
        <v>1959.7</v>
      </c>
      <c r="L15" s="217">
        <f>6.5+2.5</f>
        <v>9</v>
      </c>
      <c r="M15" s="217">
        <v>11</v>
      </c>
      <c r="N15" s="198">
        <f>1922-56+339.36+12</f>
        <v>2217.36</v>
      </c>
      <c r="O15" s="198">
        <v>0</v>
      </c>
      <c r="P15" s="230">
        <v>20.27</v>
      </c>
    </row>
    <row r="16" s="177" customFormat="1" ht="20.1" customHeight="1" spans="3:16">
      <c r="C16" s="186"/>
      <c r="D16" s="188">
        <v>4</v>
      </c>
      <c r="E16" s="197" t="s">
        <v>194</v>
      </c>
      <c r="F16" s="197">
        <f t="shared" si="2"/>
        <v>18542.122106</v>
      </c>
      <c r="G16" s="197"/>
      <c r="H16" s="197">
        <f>[7]分红明细!F10</f>
        <v>5983.804</v>
      </c>
      <c r="I16" s="216">
        <f>[7]分红明细!G10</f>
        <v>5422.019639</v>
      </c>
      <c r="J16" s="200">
        <v>298.29</v>
      </c>
      <c r="K16" s="198">
        <v>3285.357267</v>
      </c>
      <c r="L16" s="198">
        <v>1266.2512</v>
      </c>
      <c r="M16" s="198">
        <v>123.8</v>
      </c>
      <c r="N16" s="198">
        <v>722.6</v>
      </c>
      <c r="O16" s="198">
        <v>720</v>
      </c>
      <c r="P16" s="230">
        <v>720</v>
      </c>
    </row>
    <row r="17" s="177" customFormat="1" ht="20.1" customHeight="1" spans="3:16">
      <c r="C17" s="186"/>
      <c r="D17" s="188">
        <v>5</v>
      </c>
      <c r="E17" s="197" t="s">
        <v>157</v>
      </c>
      <c r="F17" s="197">
        <f t="shared" si="2"/>
        <v>52822.081781</v>
      </c>
      <c r="G17" s="197"/>
      <c r="H17" s="197">
        <f>[7]投资收益!F22</f>
        <v>56768.44</v>
      </c>
      <c r="I17" s="216">
        <f>[7]投资收益!G22</f>
        <v>1417.79</v>
      </c>
      <c r="J17" s="200">
        <f>-1500+1131.25-10530-4542.02</f>
        <v>-15440.77</v>
      </c>
      <c r="K17" s="198">
        <f>[7]投资收益!I22</f>
        <v>9517.571781</v>
      </c>
      <c r="L17" s="198">
        <v>1218.75</v>
      </c>
      <c r="M17" s="217">
        <v>0</v>
      </c>
      <c r="N17" s="198">
        <v>-47.6</v>
      </c>
      <c r="O17" s="198">
        <f>-566.38-45.72</f>
        <v>-612.1</v>
      </c>
      <c r="P17" s="229">
        <v>0</v>
      </c>
    </row>
    <row r="18" s="177" customFormat="1" ht="20.1" customHeight="1" spans="3:16">
      <c r="C18" s="186"/>
      <c r="D18" s="188">
        <v>6</v>
      </c>
      <c r="E18" s="197" t="s">
        <v>200</v>
      </c>
      <c r="F18" s="197">
        <f t="shared" si="2"/>
        <v>15447.389244</v>
      </c>
      <c r="G18" s="197"/>
      <c r="H18" s="197">
        <f>85.9+0.15+500+2.25</f>
        <v>588.3</v>
      </c>
      <c r="I18" s="216">
        <v>5131.44</v>
      </c>
      <c r="J18" s="200">
        <v>38.749244</v>
      </c>
      <c r="K18" s="217">
        <v>20</v>
      </c>
      <c r="L18" s="217">
        <v>0</v>
      </c>
      <c r="M18" s="198">
        <f>3072.07+3090</f>
        <v>6162.07</v>
      </c>
      <c r="N18" s="198">
        <f>3090.49-3090</f>
        <v>0.489999999999782</v>
      </c>
      <c r="O18" s="198">
        <v>2389</v>
      </c>
      <c r="P18" s="230">
        <v>1117.34</v>
      </c>
    </row>
    <row r="19" s="177" customFormat="1" ht="20.1" customHeight="1" spans="3:16">
      <c r="C19" s="186"/>
      <c r="D19" s="188">
        <v>7</v>
      </c>
      <c r="E19" s="197" t="s">
        <v>196</v>
      </c>
      <c r="F19" s="197">
        <f t="shared" si="2"/>
        <v>41404.309425</v>
      </c>
      <c r="G19" s="197"/>
      <c r="H19" s="197">
        <v>45.58</v>
      </c>
      <c r="I19" s="216">
        <v>17535.525711</v>
      </c>
      <c r="J19" s="218">
        <v>0</v>
      </c>
      <c r="K19" s="217">
        <v>1308.9</v>
      </c>
      <c r="L19" s="217">
        <v>116.85</v>
      </c>
      <c r="M19" s="198">
        <f>21816.123714+1308.9-1308.9</f>
        <v>21816.123714</v>
      </c>
      <c r="N19" s="198">
        <v>581.33</v>
      </c>
      <c r="O19" s="217">
        <v>0</v>
      </c>
      <c r="P19" s="229">
        <v>0</v>
      </c>
    </row>
    <row r="20" s="177" customFormat="1" ht="20.1" customHeight="1" spans="3:16">
      <c r="C20" s="189"/>
      <c r="D20" s="190">
        <v>8</v>
      </c>
      <c r="E20" s="202" t="s">
        <v>197</v>
      </c>
      <c r="F20" s="197">
        <f t="shared" si="2"/>
        <v>1223.91811</v>
      </c>
      <c r="G20" s="197"/>
      <c r="H20" s="197">
        <f>[7]租金收入!D8</f>
        <v>277.534166</v>
      </c>
      <c r="I20" s="219">
        <f>[7]租金收入!E8</f>
        <v>254.645944</v>
      </c>
      <c r="J20" s="220"/>
      <c r="K20" s="221"/>
      <c r="L20" s="221"/>
      <c r="M20" s="221"/>
      <c r="N20" s="221"/>
      <c r="O20" s="231">
        <v>294.018</v>
      </c>
      <c r="P20" s="232">
        <v>397.72</v>
      </c>
    </row>
    <row r="21" s="177" customFormat="1" ht="20.1" customHeight="1" spans="3:16">
      <c r="C21" s="189"/>
      <c r="D21" s="190"/>
      <c r="E21" s="202" t="s">
        <v>201</v>
      </c>
      <c r="F21" s="197">
        <f t="shared" si="2"/>
        <v>1476.75</v>
      </c>
      <c r="G21" s="202"/>
      <c r="H21" s="202"/>
      <c r="I21" s="222"/>
      <c r="J21" s="223">
        <f>685+136</f>
        <v>821</v>
      </c>
      <c r="K21" s="222"/>
      <c r="L21" s="222">
        <v>514.25</v>
      </c>
      <c r="M21" s="222"/>
      <c r="N21" s="222"/>
      <c r="O21" s="233"/>
      <c r="P21" s="234">
        <v>141.5</v>
      </c>
    </row>
    <row r="22" s="177" customFormat="1" ht="20.1" customHeight="1" spans="3:16">
      <c r="C22" s="191"/>
      <c r="D22" s="194"/>
      <c r="E22" s="208" t="s">
        <v>137</v>
      </c>
      <c r="F22" s="209">
        <f>SUM(F13:F21)</f>
        <v>210326.330374887</v>
      </c>
      <c r="G22" s="209"/>
      <c r="H22" s="209">
        <f>SUM(H13:H21)</f>
        <v>76216.375516</v>
      </c>
      <c r="I22" s="209">
        <f>SUM(I13:I21)</f>
        <v>49201.7338038868</v>
      </c>
      <c r="J22" s="209">
        <f t="shared" ref="J22:P22" si="3">SUM(J13:J21)</f>
        <v>5197.789244</v>
      </c>
      <c r="K22" s="209">
        <f t="shared" si="3"/>
        <v>25662.739497</v>
      </c>
      <c r="L22" s="209">
        <f t="shared" si="3"/>
        <v>5982.075687</v>
      </c>
      <c r="M22" s="209">
        <f t="shared" si="3"/>
        <v>29396.128316</v>
      </c>
      <c r="N22" s="209">
        <f t="shared" si="3"/>
        <v>9007.513334</v>
      </c>
      <c r="O22" s="209">
        <f t="shared" si="3"/>
        <v>5102.864977</v>
      </c>
      <c r="P22" s="209">
        <f t="shared" si="3"/>
        <v>4559.11</v>
      </c>
    </row>
    <row r="23" s="177" customFormat="1" ht="20.1" customHeight="1" spans="3:16">
      <c r="C23" s="195" t="s">
        <v>139</v>
      </c>
      <c r="D23" s="196">
        <v>1</v>
      </c>
      <c r="E23" s="210" t="s">
        <v>191</v>
      </c>
      <c r="F23" s="197">
        <f t="shared" si="2"/>
        <v>0</v>
      </c>
      <c r="G23" s="210"/>
      <c r="H23" s="210"/>
      <c r="I23" s="217">
        <v>0</v>
      </c>
      <c r="J23" s="217">
        <v>0</v>
      </c>
      <c r="K23" s="217">
        <v>0</v>
      </c>
      <c r="L23" s="217">
        <v>0</v>
      </c>
      <c r="M23" s="217">
        <v>0</v>
      </c>
      <c r="N23" s="217">
        <v>0</v>
      </c>
      <c r="O23" s="217">
        <v>0</v>
      </c>
      <c r="P23" s="229">
        <v>0</v>
      </c>
    </row>
    <row r="24" s="177" customFormat="1" ht="20.1" customHeight="1" spans="3:16">
      <c r="C24" s="186"/>
      <c r="D24" s="187">
        <v>2</v>
      </c>
      <c r="E24" s="197" t="s">
        <v>192</v>
      </c>
      <c r="F24" s="197">
        <f t="shared" si="2"/>
        <v>5386.62</v>
      </c>
      <c r="G24" s="197"/>
      <c r="H24" s="197"/>
      <c r="I24" s="217">
        <v>0</v>
      </c>
      <c r="J24" s="217">
        <v>0</v>
      </c>
      <c r="K24" s="217">
        <v>0</v>
      </c>
      <c r="L24" s="198">
        <v>1351.25</v>
      </c>
      <c r="M24" s="198">
        <v>4035.37</v>
      </c>
      <c r="N24" s="217">
        <v>0</v>
      </c>
      <c r="O24" s="217">
        <v>0</v>
      </c>
      <c r="P24" s="229">
        <v>0</v>
      </c>
    </row>
    <row r="25" s="177" customFormat="1" ht="20.1" customHeight="1" spans="3:16">
      <c r="C25" s="186"/>
      <c r="D25" s="187">
        <v>3</v>
      </c>
      <c r="E25" s="197" t="s">
        <v>199</v>
      </c>
      <c r="F25" s="197">
        <f t="shared" si="2"/>
        <v>0</v>
      </c>
      <c r="G25" s="197"/>
      <c r="H25" s="197"/>
      <c r="I25" s="217">
        <v>0</v>
      </c>
      <c r="J25" s="217">
        <v>0</v>
      </c>
      <c r="K25" s="217">
        <v>0</v>
      </c>
      <c r="L25" s="217">
        <v>0</v>
      </c>
      <c r="M25" s="217">
        <v>0</v>
      </c>
      <c r="N25" s="217">
        <v>0</v>
      </c>
      <c r="O25" s="217">
        <v>0</v>
      </c>
      <c r="P25" s="229">
        <v>0</v>
      </c>
    </row>
    <row r="26" s="177" customFormat="1" ht="20.1" customHeight="1" spans="3:16">
      <c r="C26" s="186"/>
      <c r="D26" s="188">
        <v>4</v>
      </c>
      <c r="E26" s="197" t="s">
        <v>194</v>
      </c>
      <c r="F26" s="197">
        <f t="shared" si="2"/>
        <v>115367.12855</v>
      </c>
      <c r="G26" s="197"/>
      <c r="H26" s="197">
        <f>[7]分红明细!F11</f>
        <v>6950</v>
      </c>
      <c r="I26" s="197">
        <f>[7]分红明细!G11</f>
        <v>57591</v>
      </c>
      <c r="J26" s="198">
        <v>22730.2917</v>
      </c>
      <c r="K26" s="198">
        <v>3776.20815</v>
      </c>
      <c r="L26" s="198">
        <v>3012.5501</v>
      </c>
      <c r="M26" s="198">
        <f>3213.3868+7914.7518</f>
        <v>11128.1386</v>
      </c>
      <c r="N26" s="198">
        <f>7914.7518-7914.7518</f>
        <v>0</v>
      </c>
      <c r="O26" s="198">
        <v>10178.94</v>
      </c>
      <c r="P26" s="229">
        <v>0</v>
      </c>
    </row>
    <row r="27" s="177" customFormat="1" ht="20.1" customHeight="1" spans="3:16">
      <c r="C27" s="186"/>
      <c r="D27" s="188">
        <v>5</v>
      </c>
      <c r="E27" s="197" t="s">
        <v>157</v>
      </c>
      <c r="F27" s="197">
        <f t="shared" si="2"/>
        <v>-2985.75</v>
      </c>
      <c r="G27" s="197"/>
      <c r="H27" s="197">
        <f>[7]投资收益!F23</f>
        <v>-4024.3</v>
      </c>
      <c r="I27" s="217">
        <v>0</v>
      </c>
      <c r="J27" s="217">
        <f>[7]投资收益!H24</f>
        <v>1511.17</v>
      </c>
      <c r="K27" s="217">
        <v>0</v>
      </c>
      <c r="L27" s="198">
        <v>-75.22</v>
      </c>
      <c r="M27" s="217">
        <v>0</v>
      </c>
      <c r="N27" s="217">
        <v>-397.4</v>
      </c>
      <c r="O27" s="217">
        <v>0</v>
      </c>
      <c r="P27" s="229">
        <v>0</v>
      </c>
    </row>
    <row r="28" ht="20.1" customHeight="1" spans="3:16">
      <c r="C28" s="186"/>
      <c r="D28" s="188">
        <v>6</v>
      </c>
      <c r="E28" s="197" t="s">
        <v>200</v>
      </c>
      <c r="F28" s="197">
        <f t="shared" si="2"/>
        <v>0</v>
      </c>
      <c r="G28" s="197"/>
      <c r="H28" s="197"/>
      <c r="I28" s="217">
        <v>0</v>
      </c>
      <c r="J28" s="217">
        <v>0</v>
      </c>
      <c r="K28" s="217">
        <v>0</v>
      </c>
      <c r="L28" s="217">
        <v>0</v>
      </c>
      <c r="M28" s="217">
        <v>0</v>
      </c>
      <c r="N28" s="217">
        <v>0</v>
      </c>
      <c r="O28" s="217">
        <v>0</v>
      </c>
      <c r="P28" s="229">
        <v>0</v>
      </c>
    </row>
    <row r="29" ht="20.1" customHeight="1" spans="3:16">
      <c r="C29" s="186"/>
      <c r="D29" s="188">
        <v>7</v>
      </c>
      <c r="E29" s="197" t="s">
        <v>196</v>
      </c>
      <c r="F29" s="197">
        <f t="shared" si="2"/>
        <v>62523.85</v>
      </c>
      <c r="G29" s="197"/>
      <c r="H29" s="197"/>
      <c r="I29" s="217">
        <v>0</v>
      </c>
      <c r="J29" s="217">
        <v>0</v>
      </c>
      <c r="K29" s="217">
        <v>0</v>
      </c>
      <c r="L29" s="217">
        <v>0</v>
      </c>
      <c r="M29" s="198">
        <v>45052.29</v>
      </c>
      <c r="N29" s="198">
        <v>17471.56</v>
      </c>
      <c r="O29" s="217">
        <v>0</v>
      </c>
      <c r="P29" s="229">
        <v>0</v>
      </c>
    </row>
    <row r="30" ht="20.1" customHeight="1" spans="3:16">
      <c r="C30" s="189"/>
      <c r="D30" s="190">
        <v>8</v>
      </c>
      <c r="E30" s="202" t="s">
        <v>197</v>
      </c>
      <c r="F30" s="197">
        <f t="shared" si="2"/>
        <v>0</v>
      </c>
      <c r="G30" s="202"/>
      <c r="H30" s="202"/>
      <c r="I30" s="217">
        <v>0</v>
      </c>
      <c r="J30" s="217">
        <v>0</v>
      </c>
      <c r="K30" s="217">
        <v>0</v>
      </c>
      <c r="L30" s="217">
        <v>0</v>
      </c>
      <c r="M30" s="217">
        <v>0</v>
      </c>
      <c r="N30" s="217">
        <v>0</v>
      </c>
      <c r="O30" s="217">
        <v>0</v>
      </c>
      <c r="P30" s="229">
        <v>0</v>
      </c>
    </row>
    <row r="31" ht="20.1" customHeight="1" spans="3:16">
      <c r="C31" s="189"/>
      <c r="D31" s="190">
        <v>9</v>
      </c>
      <c r="E31" s="202" t="s">
        <v>201</v>
      </c>
      <c r="F31" s="202"/>
      <c r="G31" s="202"/>
      <c r="H31" s="202"/>
      <c r="I31" s="224"/>
      <c r="J31" s="224">
        <v>0.7</v>
      </c>
      <c r="K31" s="224"/>
      <c r="L31" s="224"/>
      <c r="M31" s="224"/>
      <c r="N31" s="224"/>
      <c r="O31" s="224"/>
      <c r="P31" s="235"/>
    </row>
    <row r="32" ht="20.1" customHeight="1" spans="3:16">
      <c r="C32" s="191"/>
      <c r="D32" s="194"/>
      <c r="E32" s="208" t="s">
        <v>137</v>
      </c>
      <c r="F32" s="208">
        <f>SUM(F23:F30)</f>
        <v>180291.84855</v>
      </c>
      <c r="G32" s="208"/>
      <c r="H32" s="208">
        <f>SUM(H23:H30)</f>
        <v>2925.7</v>
      </c>
      <c r="I32" s="208">
        <f t="shared" ref="I32:P32" si="4">SUM(I23:I30)</f>
        <v>57591</v>
      </c>
      <c r="J32" s="208">
        <f>SUM(J23:J31)</f>
        <v>24242.1617</v>
      </c>
      <c r="K32" s="208">
        <f t="shared" si="4"/>
        <v>3776.20815</v>
      </c>
      <c r="L32" s="208">
        <f t="shared" si="4"/>
        <v>4288.5801</v>
      </c>
      <c r="M32" s="208">
        <f t="shared" si="4"/>
        <v>60215.7986</v>
      </c>
      <c r="N32" s="208">
        <f t="shared" si="4"/>
        <v>17074.16</v>
      </c>
      <c r="O32" s="208">
        <f t="shared" si="4"/>
        <v>10178.94</v>
      </c>
      <c r="P32" s="209">
        <f t="shared" si="4"/>
        <v>0</v>
      </c>
    </row>
    <row r="34" spans="7:7">
      <c r="G34" s="44" t="s">
        <v>140</v>
      </c>
    </row>
    <row r="35" ht="18.8" spans="6:8">
      <c r="F35" s="45" t="s">
        <v>47</v>
      </c>
      <c r="G35" s="181">
        <f>G12/10000</f>
        <v>0</v>
      </c>
      <c r="H35" s="86" t="s">
        <v>202</v>
      </c>
    </row>
    <row r="36" ht="18.8" spans="6:8">
      <c r="F36" s="45" t="s">
        <v>50</v>
      </c>
      <c r="G36" s="181">
        <f>G8/10000</f>
        <v>0</v>
      </c>
      <c r="H36" s="98" t="s">
        <v>148</v>
      </c>
    </row>
    <row r="37" ht="17.2" spans="6:8">
      <c r="F37" s="45" t="s">
        <v>52</v>
      </c>
      <c r="G37" s="181">
        <f>G5/10000</f>
        <v>0</v>
      </c>
      <c r="H37" s="100" t="s">
        <v>203</v>
      </c>
    </row>
    <row r="38" ht="17.2" spans="6:8">
      <c r="F38" s="45" t="s">
        <v>54</v>
      </c>
      <c r="G38" s="181">
        <f>G4/10000</f>
        <v>0</v>
      </c>
      <c r="H38" s="102" t="s">
        <v>204</v>
      </c>
    </row>
    <row r="39" ht="17.2" spans="6:8">
      <c r="F39" s="45" t="s">
        <v>56</v>
      </c>
      <c r="G39" s="181">
        <f>G7/10000</f>
        <v>0</v>
      </c>
      <c r="H39" s="201" t="s">
        <v>143</v>
      </c>
    </row>
    <row r="40" ht="18" spans="6:6">
      <c r="F40" s="211"/>
    </row>
  </sheetData>
  <mergeCells count="4">
    <mergeCell ref="C2:O2"/>
    <mergeCell ref="C4:C12"/>
    <mergeCell ref="C13:C22"/>
    <mergeCell ref="C23:C32"/>
  </mergeCells>
  <printOptions horizontalCentered="1"/>
  <pageMargins left="0.708333333333333" right="0.708333333333333" top="0.747916666666667" bottom="0.747916666666667" header="0.314583333333333" footer="0.314583333333333"/>
  <pageSetup paperSize="9" scale="74" orientation="landscape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B1:S20"/>
  <sheetViews>
    <sheetView topLeftCell="B1" workbookViewId="0">
      <selection activeCell="F11" sqref="F11"/>
    </sheetView>
  </sheetViews>
  <sheetFormatPr defaultColWidth="9" defaultRowHeight="12"/>
  <cols>
    <col min="1" max="1" width="9" style="149"/>
    <col min="2" max="2" width="7.375" style="150" customWidth="1"/>
    <col min="3" max="3" width="20.25" style="149" customWidth="1"/>
    <col min="4" max="4" width="40.875" style="149" customWidth="1"/>
    <col min="5" max="6" width="12.75" style="149" customWidth="1"/>
    <col min="7" max="7" width="17.375" style="149" customWidth="1"/>
    <col min="8" max="9" width="11.875" style="149" customWidth="1"/>
    <col min="10" max="10" width="10.625" style="149" customWidth="1"/>
    <col min="11" max="11" width="11.625" style="149" customWidth="1"/>
    <col min="12" max="12" width="11.25" style="149" customWidth="1"/>
    <col min="13" max="13" width="10.625" style="149" customWidth="1"/>
    <col min="14" max="14" width="15.5" style="149" customWidth="1"/>
    <col min="15" max="15" width="11.5" style="149" customWidth="1"/>
    <col min="16" max="16" width="12" style="149" customWidth="1"/>
    <col min="17" max="260" width="9" style="149"/>
    <col min="261" max="261" width="40" style="149" customWidth="1"/>
    <col min="262" max="262" width="14.375" style="149" customWidth="1"/>
    <col min="263" max="263" width="22.75" style="149" customWidth="1"/>
    <col min="264" max="264" width="16.5" style="149" customWidth="1"/>
    <col min="265" max="265" width="13" style="149" customWidth="1"/>
    <col min="266" max="266" width="14.75" style="149" customWidth="1"/>
    <col min="267" max="267" width="15.125" style="149" customWidth="1"/>
    <col min="268" max="516" width="9" style="149"/>
    <col min="517" max="517" width="40" style="149" customWidth="1"/>
    <col min="518" max="518" width="14.375" style="149" customWidth="1"/>
    <col min="519" max="519" width="22.75" style="149" customWidth="1"/>
    <col min="520" max="520" width="16.5" style="149" customWidth="1"/>
    <col min="521" max="521" width="13" style="149" customWidth="1"/>
    <col min="522" max="522" width="14.75" style="149" customWidth="1"/>
    <col min="523" max="523" width="15.125" style="149" customWidth="1"/>
    <col min="524" max="772" width="9" style="149"/>
    <col min="773" max="773" width="40" style="149" customWidth="1"/>
    <col min="774" max="774" width="14.375" style="149" customWidth="1"/>
    <col min="775" max="775" width="22.75" style="149" customWidth="1"/>
    <col min="776" max="776" width="16.5" style="149" customWidth="1"/>
    <col min="777" max="777" width="13" style="149" customWidth="1"/>
    <col min="778" max="778" width="14.75" style="149" customWidth="1"/>
    <col min="779" max="779" width="15.125" style="149" customWidth="1"/>
    <col min="780" max="1028" width="9" style="149"/>
    <col min="1029" max="1029" width="40" style="149" customWidth="1"/>
    <col min="1030" max="1030" width="14.375" style="149" customWidth="1"/>
    <col min="1031" max="1031" width="22.75" style="149" customWidth="1"/>
    <col min="1032" max="1032" width="16.5" style="149" customWidth="1"/>
    <col min="1033" max="1033" width="13" style="149" customWidth="1"/>
    <col min="1034" max="1034" width="14.75" style="149" customWidth="1"/>
    <col min="1035" max="1035" width="15.125" style="149" customWidth="1"/>
    <col min="1036" max="1284" width="9" style="149"/>
    <col min="1285" max="1285" width="40" style="149" customWidth="1"/>
    <col min="1286" max="1286" width="14.375" style="149" customWidth="1"/>
    <col min="1287" max="1287" width="22.75" style="149" customWidth="1"/>
    <col min="1288" max="1288" width="16.5" style="149" customWidth="1"/>
    <col min="1289" max="1289" width="13" style="149" customWidth="1"/>
    <col min="1290" max="1290" width="14.75" style="149" customWidth="1"/>
    <col min="1291" max="1291" width="15.125" style="149" customWidth="1"/>
    <col min="1292" max="1540" width="9" style="149"/>
    <col min="1541" max="1541" width="40" style="149" customWidth="1"/>
    <col min="1542" max="1542" width="14.375" style="149" customWidth="1"/>
    <col min="1543" max="1543" width="22.75" style="149" customWidth="1"/>
    <col min="1544" max="1544" width="16.5" style="149" customWidth="1"/>
    <col min="1545" max="1545" width="13" style="149" customWidth="1"/>
    <col min="1546" max="1546" width="14.75" style="149" customWidth="1"/>
    <col min="1547" max="1547" width="15.125" style="149" customWidth="1"/>
    <col min="1548" max="1796" width="9" style="149"/>
    <col min="1797" max="1797" width="40" style="149" customWidth="1"/>
    <col min="1798" max="1798" width="14.375" style="149" customWidth="1"/>
    <col min="1799" max="1799" width="22.75" style="149" customWidth="1"/>
    <col min="1800" max="1800" width="16.5" style="149" customWidth="1"/>
    <col min="1801" max="1801" width="13" style="149" customWidth="1"/>
    <col min="1802" max="1802" width="14.75" style="149" customWidth="1"/>
    <col min="1803" max="1803" width="15.125" style="149" customWidth="1"/>
    <col min="1804" max="2052" width="9" style="149"/>
    <col min="2053" max="2053" width="40" style="149" customWidth="1"/>
    <col min="2054" max="2054" width="14.375" style="149" customWidth="1"/>
    <col min="2055" max="2055" width="22.75" style="149" customWidth="1"/>
    <col min="2056" max="2056" width="16.5" style="149" customWidth="1"/>
    <col min="2057" max="2057" width="13" style="149" customWidth="1"/>
    <col min="2058" max="2058" width="14.75" style="149" customWidth="1"/>
    <col min="2059" max="2059" width="15.125" style="149" customWidth="1"/>
    <col min="2060" max="2308" width="9" style="149"/>
    <col min="2309" max="2309" width="40" style="149" customWidth="1"/>
    <col min="2310" max="2310" width="14.375" style="149" customWidth="1"/>
    <col min="2311" max="2311" width="22.75" style="149" customWidth="1"/>
    <col min="2312" max="2312" width="16.5" style="149" customWidth="1"/>
    <col min="2313" max="2313" width="13" style="149" customWidth="1"/>
    <col min="2314" max="2314" width="14.75" style="149" customWidth="1"/>
    <col min="2315" max="2315" width="15.125" style="149" customWidth="1"/>
    <col min="2316" max="2564" width="9" style="149"/>
    <col min="2565" max="2565" width="40" style="149" customWidth="1"/>
    <col min="2566" max="2566" width="14.375" style="149" customWidth="1"/>
    <col min="2567" max="2567" width="22.75" style="149" customWidth="1"/>
    <col min="2568" max="2568" width="16.5" style="149" customWidth="1"/>
    <col min="2569" max="2569" width="13" style="149" customWidth="1"/>
    <col min="2570" max="2570" width="14.75" style="149" customWidth="1"/>
    <col min="2571" max="2571" width="15.125" style="149" customWidth="1"/>
    <col min="2572" max="2820" width="9" style="149"/>
    <col min="2821" max="2821" width="40" style="149" customWidth="1"/>
    <col min="2822" max="2822" width="14.375" style="149" customWidth="1"/>
    <col min="2823" max="2823" width="22.75" style="149" customWidth="1"/>
    <col min="2824" max="2824" width="16.5" style="149" customWidth="1"/>
    <col min="2825" max="2825" width="13" style="149" customWidth="1"/>
    <col min="2826" max="2826" width="14.75" style="149" customWidth="1"/>
    <col min="2827" max="2827" width="15.125" style="149" customWidth="1"/>
    <col min="2828" max="3076" width="9" style="149"/>
    <col min="3077" max="3077" width="40" style="149" customWidth="1"/>
    <col min="3078" max="3078" width="14.375" style="149" customWidth="1"/>
    <col min="3079" max="3079" width="22.75" style="149" customWidth="1"/>
    <col min="3080" max="3080" width="16.5" style="149" customWidth="1"/>
    <col min="3081" max="3081" width="13" style="149" customWidth="1"/>
    <col min="3082" max="3082" width="14.75" style="149" customWidth="1"/>
    <col min="3083" max="3083" width="15.125" style="149" customWidth="1"/>
    <col min="3084" max="3332" width="9" style="149"/>
    <col min="3333" max="3333" width="40" style="149" customWidth="1"/>
    <col min="3334" max="3334" width="14.375" style="149" customWidth="1"/>
    <col min="3335" max="3335" width="22.75" style="149" customWidth="1"/>
    <col min="3336" max="3336" width="16.5" style="149" customWidth="1"/>
    <col min="3337" max="3337" width="13" style="149" customWidth="1"/>
    <col min="3338" max="3338" width="14.75" style="149" customWidth="1"/>
    <col min="3339" max="3339" width="15.125" style="149" customWidth="1"/>
    <col min="3340" max="3588" width="9" style="149"/>
    <col min="3589" max="3589" width="40" style="149" customWidth="1"/>
    <col min="3590" max="3590" width="14.375" style="149" customWidth="1"/>
    <col min="3591" max="3591" width="22.75" style="149" customWidth="1"/>
    <col min="3592" max="3592" width="16.5" style="149" customWidth="1"/>
    <col min="3593" max="3593" width="13" style="149" customWidth="1"/>
    <col min="3594" max="3594" width="14.75" style="149" customWidth="1"/>
    <col min="3595" max="3595" width="15.125" style="149" customWidth="1"/>
    <col min="3596" max="3844" width="9" style="149"/>
    <col min="3845" max="3845" width="40" style="149" customWidth="1"/>
    <col min="3846" max="3846" width="14.375" style="149" customWidth="1"/>
    <col min="3847" max="3847" width="22.75" style="149" customWidth="1"/>
    <col min="3848" max="3848" width="16.5" style="149" customWidth="1"/>
    <col min="3849" max="3849" width="13" style="149" customWidth="1"/>
    <col min="3850" max="3850" width="14.75" style="149" customWidth="1"/>
    <col min="3851" max="3851" width="15.125" style="149" customWidth="1"/>
    <col min="3852" max="4100" width="9" style="149"/>
    <col min="4101" max="4101" width="40" style="149" customWidth="1"/>
    <col min="4102" max="4102" width="14.375" style="149" customWidth="1"/>
    <col min="4103" max="4103" width="22.75" style="149" customWidth="1"/>
    <col min="4104" max="4104" width="16.5" style="149" customWidth="1"/>
    <col min="4105" max="4105" width="13" style="149" customWidth="1"/>
    <col min="4106" max="4106" width="14.75" style="149" customWidth="1"/>
    <col min="4107" max="4107" width="15.125" style="149" customWidth="1"/>
    <col min="4108" max="4356" width="9" style="149"/>
    <col min="4357" max="4357" width="40" style="149" customWidth="1"/>
    <col min="4358" max="4358" width="14.375" style="149" customWidth="1"/>
    <col min="4359" max="4359" width="22.75" style="149" customWidth="1"/>
    <col min="4360" max="4360" width="16.5" style="149" customWidth="1"/>
    <col min="4361" max="4361" width="13" style="149" customWidth="1"/>
    <col min="4362" max="4362" width="14.75" style="149" customWidth="1"/>
    <col min="4363" max="4363" width="15.125" style="149" customWidth="1"/>
    <col min="4364" max="4612" width="9" style="149"/>
    <col min="4613" max="4613" width="40" style="149" customWidth="1"/>
    <col min="4614" max="4614" width="14.375" style="149" customWidth="1"/>
    <col min="4615" max="4615" width="22.75" style="149" customWidth="1"/>
    <col min="4616" max="4616" width="16.5" style="149" customWidth="1"/>
    <col min="4617" max="4617" width="13" style="149" customWidth="1"/>
    <col min="4618" max="4618" width="14.75" style="149" customWidth="1"/>
    <col min="4619" max="4619" width="15.125" style="149" customWidth="1"/>
    <col min="4620" max="4868" width="9" style="149"/>
    <col min="4869" max="4869" width="40" style="149" customWidth="1"/>
    <col min="4870" max="4870" width="14.375" style="149" customWidth="1"/>
    <col min="4871" max="4871" width="22.75" style="149" customWidth="1"/>
    <col min="4872" max="4872" width="16.5" style="149" customWidth="1"/>
    <col min="4873" max="4873" width="13" style="149" customWidth="1"/>
    <col min="4874" max="4874" width="14.75" style="149" customWidth="1"/>
    <col min="4875" max="4875" width="15.125" style="149" customWidth="1"/>
    <col min="4876" max="5124" width="9" style="149"/>
    <col min="5125" max="5125" width="40" style="149" customWidth="1"/>
    <col min="5126" max="5126" width="14.375" style="149" customWidth="1"/>
    <col min="5127" max="5127" width="22.75" style="149" customWidth="1"/>
    <col min="5128" max="5128" width="16.5" style="149" customWidth="1"/>
    <col min="5129" max="5129" width="13" style="149" customWidth="1"/>
    <col min="5130" max="5130" width="14.75" style="149" customWidth="1"/>
    <col min="5131" max="5131" width="15.125" style="149" customWidth="1"/>
    <col min="5132" max="5380" width="9" style="149"/>
    <col min="5381" max="5381" width="40" style="149" customWidth="1"/>
    <col min="5382" max="5382" width="14.375" style="149" customWidth="1"/>
    <col min="5383" max="5383" width="22.75" style="149" customWidth="1"/>
    <col min="5384" max="5384" width="16.5" style="149" customWidth="1"/>
    <col min="5385" max="5385" width="13" style="149" customWidth="1"/>
    <col min="5386" max="5386" width="14.75" style="149" customWidth="1"/>
    <col min="5387" max="5387" width="15.125" style="149" customWidth="1"/>
    <col min="5388" max="5636" width="9" style="149"/>
    <col min="5637" max="5637" width="40" style="149" customWidth="1"/>
    <col min="5638" max="5638" width="14.375" style="149" customWidth="1"/>
    <col min="5639" max="5639" width="22.75" style="149" customWidth="1"/>
    <col min="5640" max="5640" width="16.5" style="149" customWidth="1"/>
    <col min="5641" max="5641" width="13" style="149" customWidth="1"/>
    <col min="5642" max="5642" width="14.75" style="149" customWidth="1"/>
    <col min="5643" max="5643" width="15.125" style="149" customWidth="1"/>
    <col min="5644" max="5892" width="9" style="149"/>
    <col min="5893" max="5893" width="40" style="149" customWidth="1"/>
    <col min="5894" max="5894" width="14.375" style="149" customWidth="1"/>
    <col min="5895" max="5895" width="22.75" style="149" customWidth="1"/>
    <col min="5896" max="5896" width="16.5" style="149" customWidth="1"/>
    <col min="5897" max="5897" width="13" style="149" customWidth="1"/>
    <col min="5898" max="5898" width="14.75" style="149" customWidth="1"/>
    <col min="5899" max="5899" width="15.125" style="149" customWidth="1"/>
    <col min="5900" max="6148" width="9" style="149"/>
    <col min="6149" max="6149" width="40" style="149" customWidth="1"/>
    <col min="6150" max="6150" width="14.375" style="149" customWidth="1"/>
    <col min="6151" max="6151" width="22.75" style="149" customWidth="1"/>
    <col min="6152" max="6152" width="16.5" style="149" customWidth="1"/>
    <col min="6153" max="6153" width="13" style="149" customWidth="1"/>
    <col min="6154" max="6154" width="14.75" style="149" customWidth="1"/>
    <col min="6155" max="6155" width="15.125" style="149" customWidth="1"/>
    <col min="6156" max="6404" width="9" style="149"/>
    <col min="6405" max="6405" width="40" style="149" customWidth="1"/>
    <col min="6406" max="6406" width="14.375" style="149" customWidth="1"/>
    <col min="6407" max="6407" width="22.75" style="149" customWidth="1"/>
    <col min="6408" max="6408" width="16.5" style="149" customWidth="1"/>
    <col min="6409" max="6409" width="13" style="149" customWidth="1"/>
    <col min="6410" max="6410" width="14.75" style="149" customWidth="1"/>
    <col min="6411" max="6411" width="15.125" style="149" customWidth="1"/>
    <col min="6412" max="6660" width="9" style="149"/>
    <col min="6661" max="6661" width="40" style="149" customWidth="1"/>
    <col min="6662" max="6662" width="14.375" style="149" customWidth="1"/>
    <col min="6663" max="6663" width="22.75" style="149" customWidth="1"/>
    <col min="6664" max="6664" width="16.5" style="149" customWidth="1"/>
    <col min="6665" max="6665" width="13" style="149" customWidth="1"/>
    <col min="6666" max="6666" width="14.75" style="149" customWidth="1"/>
    <col min="6667" max="6667" width="15.125" style="149" customWidth="1"/>
    <col min="6668" max="6916" width="9" style="149"/>
    <col min="6917" max="6917" width="40" style="149" customWidth="1"/>
    <col min="6918" max="6918" width="14.375" style="149" customWidth="1"/>
    <col min="6919" max="6919" width="22.75" style="149" customWidth="1"/>
    <col min="6920" max="6920" width="16.5" style="149" customWidth="1"/>
    <col min="6921" max="6921" width="13" style="149" customWidth="1"/>
    <col min="6922" max="6922" width="14.75" style="149" customWidth="1"/>
    <col min="6923" max="6923" width="15.125" style="149" customWidth="1"/>
    <col min="6924" max="7172" width="9" style="149"/>
    <col min="7173" max="7173" width="40" style="149" customWidth="1"/>
    <col min="7174" max="7174" width="14.375" style="149" customWidth="1"/>
    <col min="7175" max="7175" width="22.75" style="149" customWidth="1"/>
    <col min="7176" max="7176" width="16.5" style="149" customWidth="1"/>
    <col min="7177" max="7177" width="13" style="149" customWidth="1"/>
    <col min="7178" max="7178" width="14.75" style="149" customWidth="1"/>
    <col min="7179" max="7179" width="15.125" style="149" customWidth="1"/>
    <col min="7180" max="7428" width="9" style="149"/>
    <col min="7429" max="7429" width="40" style="149" customWidth="1"/>
    <col min="7430" max="7430" width="14.375" style="149" customWidth="1"/>
    <col min="7431" max="7431" width="22.75" style="149" customWidth="1"/>
    <col min="7432" max="7432" width="16.5" style="149" customWidth="1"/>
    <col min="7433" max="7433" width="13" style="149" customWidth="1"/>
    <col min="7434" max="7434" width="14.75" style="149" customWidth="1"/>
    <col min="7435" max="7435" width="15.125" style="149" customWidth="1"/>
    <col min="7436" max="7684" width="9" style="149"/>
    <col min="7685" max="7685" width="40" style="149" customWidth="1"/>
    <col min="7686" max="7686" width="14.375" style="149" customWidth="1"/>
    <col min="7687" max="7687" width="22.75" style="149" customWidth="1"/>
    <col min="7688" max="7688" width="16.5" style="149" customWidth="1"/>
    <col min="7689" max="7689" width="13" style="149" customWidth="1"/>
    <col min="7690" max="7690" width="14.75" style="149" customWidth="1"/>
    <col min="7691" max="7691" width="15.125" style="149" customWidth="1"/>
    <col min="7692" max="7940" width="9" style="149"/>
    <col min="7941" max="7941" width="40" style="149" customWidth="1"/>
    <col min="7942" max="7942" width="14.375" style="149" customWidth="1"/>
    <col min="7943" max="7943" width="22.75" style="149" customWidth="1"/>
    <col min="7944" max="7944" width="16.5" style="149" customWidth="1"/>
    <col min="7945" max="7945" width="13" style="149" customWidth="1"/>
    <col min="7946" max="7946" width="14.75" style="149" customWidth="1"/>
    <col min="7947" max="7947" width="15.125" style="149" customWidth="1"/>
    <col min="7948" max="8196" width="9" style="149"/>
    <col min="8197" max="8197" width="40" style="149" customWidth="1"/>
    <col min="8198" max="8198" width="14.375" style="149" customWidth="1"/>
    <col min="8199" max="8199" width="22.75" style="149" customWidth="1"/>
    <col min="8200" max="8200" width="16.5" style="149" customWidth="1"/>
    <col min="8201" max="8201" width="13" style="149" customWidth="1"/>
    <col min="8202" max="8202" width="14.75" style="149" customWidth="1"/>
    <col min="8203" max="8203" width="15.125" style="149" customWidth="1"/>
    <col min="8204" max="8452" width="9" style="149"/>
    <col min="8453" max="8453" width="40" style="149" customWidth="1"/>
    <col min="8454" max="8454" width="14.375" style="149" customWidth="1"/>
    <col min="8455" max="8455" width="22.75" style="149" customWidth="1"/>
    <col min="8456" max="8456" width="16.5" style="149" customWidth="1"/>
    <col min="8457" max="8457" width="13" style="149" customWidth="1"/>
    <col min="8458" max="8458" width="14.75" style="149" customWidth="1"/>
    <col min="8459" max="8459" width="15.125" style="149" customWidth="1"/>
    <col min="8460" max="8708" width="9" style="149"/>
    <col min="8709" max="8709" width="40" style="149" customWidth="1"/>
    <col min="8710" max="8710" width="14.375" style="149" customWidth="1"/>
    <col min="8711" max="8711" width="22.75" style="149" customWidth="1"/>
    <col min="8712" max="8712" width="16.5" style="149" customWidth="1"/>
    <col min="8713" max="8713" width="13" style="149" customWidth="1"/>
    <col min="8714" max="8714" width="14.75" style="149" customWidth="1"/>
    <col min="8715" max="8715" width="15.125" style="149" customWidth="1"/>
    <col min="8716" max="8964" width="9" style="149"/>
    <col min="8965" max="8965" width="40" style="149" customWidth="1"/>
    <col min="8966" max="8966" width="14.375" style="149" customWidth="1"/>
    <col min="8967" max="8967" width="22.75" style="149" customWidth="1"/>
    <col min="8968" max="8968" width="16.5" style="149" customWidth="1"/>
    <col min="8969" max="8969" width="13" style="149" customWidth="1"/>
    <col min="8970" max="8970" width="14.75" style="149" customWidth="1"/>
    <col min="8971" max="8971" width="15.125" style="149" customWidth="1"/>
    <col min="8972" max="9220" width="9" style="149"/>
    <col min="9221" max="9221" width="40" style="149" customWidth="1"/>
    <col min="9222" max="9222" width="14.375" style="149" customWidth="1"/>
    <col min="9223" max="9223" width="22.75" style="149" customWidth="1"/>
    <col min="9224" max="9224" width="16.5" style="149" customWidth="1"/>
    <col min="9225" max="9225" width="13" style="149" customWidth="1"/>
    <col min="9226" max="9226" width="14.75" style="149" customWidth="1"/>
    <col min="9227" max="9227" width="15.125" style="149" customWidth="1"/>
    <col min="9228" max="9476" width="9" style="149"/>
    <col min="9477" max="9477" width="40" style="149" customWidth="1"/>
    <col min="9478" max="9478" width="14.375" style="149" customWidth="1"/>
    <col min="9479" max="9479" width="22.75" style="149" customWidth="1"/>
    <col min="9480" max="9480" width="16.5" style="149" customWidth="1"/>
    <col min="9481" max="9481" width="13" style="149" customWidth="1"/>
    <col min="9482" max="9482" width="14.75" style="149" customWidth="1"/>
    <col min="9483" max="9483" width="15.125" style="149" customWidth="1"/>
    <col min="9484" max="9732" width="9" style="149"/>
    <col min="9733" max="9733" width="40" style="149" customWidth="1"/>
    <col min="9734" max="9734" width="14.375" style="149" customWidth="1"/>
    <col min="9735" max="9735" width="22.75" style="149" customWidth="1"/>
    <col min="9736" max="9736" width="16.5" style="149" customWidth="1"/>
    <col min="9737" max="9737" width="13" style="149" customWidth="1"/>
    <col min="9738" max="9738" width="14.75" style="149" customWidth="1"/>
    <col min="9739" max="9739" width="15.125" style="149" customWidth="1"/>
    <col min="9740" max="9988" width="9" style="149"/>
    <col min="9989" max="9989" width="40" style="149" customWidth="1"/>
    <col min="9990" max="9990" width="14.375" style="149" customWidth="1"/>
    <col min="9991" max="9991" width="22.75" style="149" customWidth="1"/>
    <col min="9992" max="9992" width="16.5" style="149" customWidth="1"/>
    <col min="9993" max="9993" width="13" style="149" customWidth="1"/>
    <col min="9994" max="9994" width="14.75" style="149" customWidth="1"/>
    <col min="9995" max="9995" width="15.125" style="149" customWidth="1"/>
    <col min="9996" max="10244" width="9" style="149"/>
    <col min="10245" max="10245" width="40" style="149" customWidth="1"/>
    <col min="10246" max="10246" width="14.375" style="149" customWidth="1"/>
    <col min="10247" max="10247" width="22.75" style="149" customWidth="1"/>
    <col min="10248" max="10248" width="16.5" style="149" customWidth="1"/>
    <col min="10249" max="10249" width="13" style="149" customWidth="1"/>
    <col min="10250" max="10250" width="14.75" style="149" customWidth="1"/>
    <col min="10251" max="10251" width="15.125" style="149" customWidth="1"/>
    <col min="10252" max="10500" width="9" style="149"/>
    <col min="10501" max="10501" width="40" style="149" customWidth="1"/>
    <col min="10502" max="10502" width="14.375" style="149" customWidth="1"/>
    <col min="10503" max="10503" width="22.75" style="149" customWidth="1"/>
    <col min="10504" max="10504" width="16.5" style="149" customWidth="1"/>
    <col min="10505" max="10505" width="13" style="149" customWidth="1"/>
    <col min="10506" max="10506" width="14.75" style="149" customWidth="1"/>
    <col min="10507" max="10507" width="15.125" style="149" customWidth="1"/>
    <col min="10508" max="10756" width="9" style="149"/>
    <col min="10757" max="10757" width="40" style="149" customWidth="1"/>
    <col min="10758" max="10758" width="14.375" style="149" customWidth="1"/>
    <col min="10759" max="10759" width="22.75" style="149" customWidth="1"/>
    <col min="10760" max="10760" width="16.5" style="149" customWidth="1"/>
    <col min="10761" max="10761" width="13" style="149" customWidth="1"/>
    <col min="10762" max="10762" width="14.75" style="149" customWidth="1"/>
    <col min="10763" max="10763" width="15.125" style="149" customWidth="1"/>
    <col min="10764" max="11012" width="9" style="149"/>
    <col min="11013" max="11013" width="40" style="149" customWidth="1"/>
    <col min="11014" max="11014" width="14.375" style="149" customWidth="1"/>
    <col min="11015" max="11015" width="22.75" style="149" customWidth="1"/>
    <col min="11016" max="11016" width="16.5" style="149" customWidth="1"/>
    <col min="11017" max="11017" width="13" style="149" customWidth="1"/>
    <col min="11018" max="11018" width="14.75" style="149" customWidth="1"/>
    <col min="11019" max="11019" width="15.125" style="149" customWidth="1"/>
    <col min="11020" max="11268" width="9" style="149"/>
    <col min="11269" max="11269" width="40" style="149" customWidth="1"/>
    <col min="11270" max="11270" width="14.375" style="149" customWidth="1"/>
    <col min="11271" max="11271" width="22.75" style="149" customWidth="1"/>
    <col min="11272" max="11272" width="16.5" style="149" customWidth="1"/>
    <col min="11273" max="11273" width="13" style="149" customWidth="1"/>
    <col min="11274" max="11274" width="14.75" style="149" customWidth="1"/>
    <col min="11275" max="11275" width="15.125" style="149" customWidth="1"/>
    <col min="11276" max="11524" width="9" style="149"/>
    <col min="11525" max="11525" width="40" style="149" customWidth="1"/>
    <col min="11526" max="11526" width="14.375" style="149" customWidth="1"/>
    <col min="11527" max="11527" width="22.75" style="149" customWidth="1"/>
    <col min="11528" max="11528" width="16.5" style="149" customWidth="1"/>
    <col min="11529" max="11529" width="13" style="149" customWidth="1"/>
    <col min="11530" max="11530" width="14.75" style="149" customWidth="1"/>
    <col min="11531" max="11531" width="15.125" style="149" customWidth="1"/>
    <col min="11532" max="11780" width="9" style="149"/>
    <col min="11781" max="11781" width="40" style="149" customWidth="1"/>
    <col min="11782" max="11782" width="14.375" style="149" customWidth="1"/>
    <col min="11783" max="11783" width="22.75" style="149" customWidth="1"/>
    <col min="11784" max="11784" width="16.5" style="149" customWidth="1"/>
    <col min="11785" max="11785" width="13" style="149" customWidth="1"/>
    <col min="11786" max="11786" width="14.75" style="149" customWidth="1"/>
    <col min="11787" max="11787" width="15.125" style="149" customWidth="1"/>
    <col min="11788" max="12036" width="9" style="149"/>
    <col min="12037" max="12037" width="40" style="149" customWidth="1"/>
    <col min="12038" max="12038" width="14.375" style="149" customWidth="1"/>
    <col min="12039" max="12039" width="22.75" style="149" customWidth="1"/>
    <col min="12040" max="12040" width="16.5" style="149" customWidth="1"/>
    <col min="12041" max="12041" width="13" style="149" customWidth="1"/>
    <col min="12042" max="12042" width="14.75" style="149" customWidth="1"/>
    <col min="12043" max="12043" width="15.125" style="149" customWidth="1"/>
    <col min="12044" max="12292" width="9" style="149"/>
    <col min="12293" max="12293" width="40" style="149" customWidth="1"/>
    <col min="12294" max="12294" width="14.375" style="149" customWidth="1"/>
    <col min="12295" max="12295" width="22.75" style="149" customWidth="1"/>
    <col min="12296" max="12296" width="16.5" style="149" customWidth="1"/>
    <col min="12297" max="12297" width="13" style="149" customWidth="1"/>
    <col min="12298" max="12298" width="14.75" style="149" customWidth="1"/>
    <col min="12299" max="12299" width="15.125" style="149" customWidth="1"/>
    <col min="12300" max="12548" width="9" style="149"/>
    <col min="12549" max="12549" width="40" style="149" customWidth="1"/>
    <col min="12550" max="12550" width="14.375" style="149" customWidth="1"/>
    <col min="12551" max="12551" width="22.75" style="149" customWidth="1"/>
    <col min="12552" max="12552" width="16.5" style="149" customWidth="1"/>
    <col min="12553" max="12553" width="13" style="149" customWidth="1"/>
    <col min="12554" max="12554" width="14.75" style="149" customWidth="1"/>
    <col min="12555" max="12555" width="15.125" style="149" customWidth="1"/>
    <col min="12556" max="12804" width="9" style="149"/>
    <col min="12805" max="12805" width="40" style="149" customWidth="1"/>
    <col min="12806" max="12806" width="14.375" style="149" customWidth="1"/>
    <col min="12807" max="12807" width="22.75" style="149" customWidth="1"/>
    <col min="12808" max="12808" width="16.5" style="149" customWidth="1"/>
    <col min="12809" max="12809" width="13" style="149" customWidth="1"/>
    <col min="12810" max="12810" width="14.75" style="149" customWidth="1"/>
    <col min="12811" max="12811" width="15.125" style="149" customWidth="1"/>
    <col min="12812" max="13060" width="9" style="149"/>
    <col min="13061" max="13061" width="40" style="149" customWidth="1"/>
    <col min="13062" max="13062" width="14.375" style="149" customWidth="1"/>
    <col min="13063" max="13063" width="22.75" style="149" customWidth="1"/>
    <col min="13064" max="13064" width="16.5" style="149" customWidth="1"/>
    <col min="13065" max="13065" width="13" style="149" customWidth="1"/>
    <col min="13066" max="13066" width="14.75" style="149" customWidth="1"/>
    <col min="13067" max="13067" width="15.125" style="149" customWidth="1"/>
    <col min="13068" max="13316" width="9" style="149"/>
    <col min="13317" max="13317" width="40" style="149" customWidth="1"/>
    <col min="13318" max="13318" width="14.375" style="149" customWidth="1"/>
    <col min="13319" max="13319" width="22.75" style="149" customWidth="1"/>
    <col min="13320" max="13320" width="16.5" style="149" customWidth="1"/>
    <col min="13321" max="13321" width="13" style="149" customWidth="1"/>
    <col min="13322" max="13322" width="14.75" style="149" customWidth="1"/>
    <col min="13323" max="13323" width="15.125" style="149" customWidth="1"/>
    <col min="13324" max="13572" width="9" style="149"/>
    <col min="13573" max="13573" width="40" style="149" customWidth="1"/>
    <col min="13574" max="13574" width="14.375" style="149" customWidth="1"/>
    <col min="13575" max="13575" width="22.75" style="149" customWidth="1"/>
    <col min="13576" max="13576" width="16.5" style="149" customWidth="1"/>
    <col min="13577" max="13577" width="13" style="149" customWidth="1"/>
    <col min="13578" max="13578" width="14.75" style="149" customWidth="1"/>
    <col min="13579" max="13579" width="15.125" style="149" customWidth="1"/>
    <col min="13580" max="13828" width="9" style="149"/>
    <col min="13829" max="13829" width="40" style="149" customWidth="1"/>
    <col min="13830" max="13830" width="14.375" style="149" customWidth="1"/>
    <col min="13831" max="13831" width="22.75" style="149" customWidth="1"/>
    <col min="13832" max="13832" width="16.5" style="149" customWidth="1"/>
    <col min="13833" max="13833" width="13" style="149" customWidth="1"/>
    <col min="13834" max="13834" width="14.75" style="149" customWidth="1"/>
    <col min="13835" max="13835" width="15.125" style="149" customWidth="1"/>
    <col min="13836" max="14084" width="9" style="149"/>
    <col min="14085" max="14085" width="40" style="149" customWidth="1"/>
    <col min="14086" max="14086" width="14.375" style="149" customWidth="1"/>
    <col min="14087" max="14087" width="22.75" style="149" customWidth="1"/>
    <col min="14088" max="14088" width="16.5" style="149" customWidth="1"/>
    <col min="14089" max="14089" width="13" style="149" customWidth="1"/>
    <col min="14090" max="14090" width="14.75" style="149" customWidth="1"/>
    <col min="14091" max="14091" width="15.125" style="149" customWidth="1"/>
    <col min="14092" max="14340" width="9" style="149"/>
    <col min="14341" max="14341" width="40" style="149" customWidth="1"/>
    <col min="14342" max="14342" width="14.375" style="149" customWidth="1"/>
    <col min="14343" max="14343" width="22.75" style="149" customWidth="1"/>
    <col min="14344" max="14344" width="16.5" style="149" customWidth="1"/>
    <col min="14345" max="14345" width="13" style="149" customWidth="1"/>
    <col min="14346" max="14346" width="14.75" style="149" customWidth="1"/>
    <col min="14347" max="14347" width="15.125" style="149" customWidth="1"/>
    <col min="14348" max="14596" width="9" style="149"/>
    <col min="14597" max="14597" width="40" style="149" customWidth="1"/>
    <col min="14598" max="14598" width="14.375" style="149" customWidth="1"/>
    <col min="14599" max="14599" width="22.75" style="149" customWidth="1"/>
    <col min="14600" max="14600" width="16.5" style="149" customWidth="1"/>
    <col min="14601" max="14601" width="13" style="149" customWidth="1"/>
    <col min="14602" max="14602" width="14.75" style="149" customWidth="1"/>
    <col min="14603" max="14603" width="15.125" style="149" customWidth="1"/>
    <col min="14604" max="14852" width="9" style="149"/>
    <col min="14853" max="14853" width="40" style="149" customWidth="1"/>
    <col min="14854" max="14854" width="14.375" style="149" customWidth="1"/>
    <col min="14855" max="14855" width="22.75" style="149" customWidth="1"/>
    <col min="14856" max="14856" width="16.5" style="149" customWidth="1"/>
    <col min="14857" max="14857" width="13" style="149" customWidth="1"/>
    <col min="14858" max="14858" width="14.75" style="149" customWidth="1"/>
    <col min="14859" max="14859" width="15.125" style="149" customWidth="1"/>
    <col min="14860" max="15108" width="9" style="149"/>
    <col min="15109" max="15109" width="40" style="149" customWidth="1"/>
    <col min="15110" max="15110" width="14.375" style="149" customWidth="1"/>
    <col min="15111" max="15111" width="22.75" style="149" customWidth="1"/>
    <col min="15112" max="15112" width="16.5" style="149" customWidth="1"/>
    <col min="15113" max="15113" width="13" style="149" customWidth="1"/>
    <col min="15114" max="15114" width="14.75" style="149" customWidth="1"/>
    <col min="15115" max="15115" width="15.125" style="149" customWidth="1"/>
    <col min="15116" max="15364" width="9" style="149"/>
    <col min="15365" max="15365" width="40" style="149" customWidth="1"/>
    <col min="15366" max="15366" width="14.375" style="149" customWidth="1"/>
    <col min="15367" max="15367" width="22.75" style="149" customWidth="1"/>
    <col min="15368" max="15368" width="16.5" style="149" customWidth="1"/>
    <col min="15369" max="15369" width="13" style="149" customWidth="1"/>
    <col min="15370" max="15370" width="14.75" style="149" customWidth="1"/>
    <col min="15371" max="15371" width="15.125" style="149" customWidth="1"/>
    <col min="15372" max="15620" width="9" style="149"/>
    <col min="15621" max="15621" width="40" style="149" customWidth="1"/>
    <col min="15622" max="15622" width="14.375" style="149" customWidth="1"/>
    <col min="15623" max="15623" width="22.75" style="149" customWidth="1"/>
    <col min="15624" max="15624" width="16.5" style="149" customWidth="1"/>
    <col min="15625" max="15625" width="13" style="149" customWidth="1"/>
    <col min="15626" max="15626" width="14.75" style="149" customWidth="1"/>
    <col min="15627" max="15627" width="15.125" style="149" customWidth="1"/>
    <col min="15628" max="15876" width="9" style="149"/>
    <col min="15877" max="15877" width="40" style="149" customWidth="1"/>
    <col min="15878" max="15878" width="14.375" style="149" customWidth="1"/>
    <col min="15879" max="15879" width="22.75" style="149" customWidth="1"/>
    <col min="15880" max="15880" width="16.5" style="149" customWidth="1"/>
    <col min="15881" max="15881" width="13" style="149" customWidth="1"/>
    <col min="15882" max="15882" width="14.75" style="149" customWidth="1"/>
    <col min="15883" max="15883" width="15.125" style="149" customWidth="1"/>
    <col min="15884" max="16132" width="9" style="149"/>
    <col min="16133" max="16133" width="40" style="149" customWidth="1"/>
    <col min="16134" max="16134" width="14.375" style="149" customWidth="1"/>
    <col min="16135" max="16135" width="22.75" style="149" customWidth="1"/>
    <col min="16136" max="16136" width="16.5" style="149" customWidth="1"/>
    <col min="16137" max="16137" width="13" style="149" customWidth="1"/>
    <col min="16138" max="16138" width="14.75" style="149" customWidth="1"/>
    <col min="16139" max="16139" width="15.125" style="149" customWidth="1"/>
    <col min="16140" max="16384" width="9" style="149"/>
  </cols>
  <sheetData>
    <row r="1" ht="30" customHeight="1" spans="2:19">
      <c r="B1" s="151"/>
      <c r="C1" s="151"/>
      <c r="D1" s="152"/>
      <c r="E1" s="162"/>
      <c r="F1" s="163" t="s">
        <v>152</v>
      </c>
      <c r="G1" s="163" t="s">
        <v>153</v>
      </c>
      <c r="H1" s="164" t="s">
        <v>183</v>
      </c>
      <c r="I1" s="163" t="s">
        <v>184</v>
      </c>
      <c r="J1" s="164" t="s">
        <v>185</v>
      </c>
      <c r="K1" s="163" t="s">
        <v>186</v>
      </c>
      <c r="L1" s="164" t="s">
        <v>187</v>
      </c>
      <c r="M1" s="163" t="s">
        <v>188</v>
      </c>
      <c r="N1" s="164" t="s">
        <v>189</v>
      </c>
      <c r="O1" s="163" t="s">
        <v>190</v>
      </c>
      <c r="P1" s="108" t="s">
        <v>205</v>
      </c>
      <c r="Q1" s="148"/>
      <c r="R1" s="148"/>
      <c r="S1" s="148"/>
    </row>
    <row r="3" s="148" customFormat="1" ht="39.75" customHeight="1" spans="2:16">
      <c r="B3" s="153" t="s">
        <v>180</v>
      </c>
      <c r="C3" s="153" t="s">
        <v>206</v>
      </c>
      <c r="D3" s="153" t="s">
        <v>207</v>
      </c>
      <c r="E3" s="153" t="s">
        <v>182</v>
      </c>
      <c r="F3" s="163" t="s">
        <v>152</v>
      </c>
      <c r="G3" s="153" t="s">
        <v>153</v>
      </c>
      <c r="H3" s="153" t="s">
        <v>183</v>
      </c>
      <c r="I3" s="153" t="s">
        <v>184</v>
      </c>
      <c r="J3" s="171" t="s">
        <v>185</v>
      </c>
      <c r="K3" s="171" t="s">
        <v>186</v>
      </c>
      <c r="L3" s="171" t="s">
        <v>187</v>
      </c>
      <c r="M3" s="171" t="s">
        <v>188</v>
      </c>
      <c r="N3" s="171" t="s">
        <v>189</v>
      </c>
      <c r="O3" s="171" t="s">
        <v>190</v>
      </c>
      <c r="P3" s="171" t="s">
        <v>208</v>
      </c>
    </row>
    <row r="4" ht="16" spans="2:16">
      <c r="B4" s="151">
        <v>1</v>
      </c>
      <c r="C4" s="151" t="s">
        <v>209</v>
      </c>
      <c r="D4" s="152" t="s">
        <v>210</v>
      </c>
      <c r="E4" s="162">
        <f>SUM(G4:O4)</f>
        <v>4312.5</v>
      </c>
      <c r="F4" s="162"/>
      <c r="G4" s="162"/>
      <c r="H4" s="165">
        <v>0</v>
      </c>
      <c r="I4" s="165">
        <v>0</v>
      </c>
      <c r="J4" s="172">
        <f>1725+1437.5</f>
        <v>3162.5</v>
      </c>
      <c r="K4" s="172">
        <v>1150</v>
      </c>
      <c r="L4" s="165">
        <v>0</v>
      </c>
      <c r="M4" s="165">
        <v>0</v>
      </c>
      <c r="N4" s="165">
        <v>0</v>
      </c>
      <c r="O4" s="165">
        <v>0</v>
      </c>
      <c r="P4" s="174"/>
    </row>
    <row r="5" ht="16" spans="2:16">
      <c r="B5" s="151">
        <v>2</v>
      </c>
      <c r="C5" s="151" t="s">
        <v>209</v>
      </c>
      <c r="D5" s="154" t="s">
        <v>211</v>
      </c>
      <c r="E5" s="162">
        <f>SUM(G5:O5)</f>
        <v>5856.007807</v>
      </c>
      <c r="F5" s="162"/>
      <c r="G5" s="162">
        <v>1535.806</v>
      </c>
      <c r="H5" s="162">
        <v>1535.808</v>
      </c>
      <c r="I5" s="162">
        <v>288.68534</v>
      </c>
      <c r="J5" s="172">
        <v>113.257267</v>
      </c>
      <c r="K5" s="172">
        <v>107.2512</v>
      </c>
      <c r="L5" s="172">
        <v>115.2</v>
      </c>
      <c r="M5" s="172">
        <v>720</v>
      </c>
      <c r="N5" s="172">
        <v>720</v>
      </c>
      <c r="O5" s="172">
        <v>720</v>
      </c>
      <c r="P5" s="174"/>
    </row>
    <row r="6" ht="16" spans="2:16">
      <c r="B6" s="151">
        <v>3</v>
      </c>
      <c r="C6" s="151" t="s">
        <v>209</v>
      </c>
      <c r="D6" s="154" t="s">
        <v>212</v>
      </c>
      <c r="E6" s="162">
        <f t="shared" ref="E6:E9" si="0">SUM(G6:O6)</f>
        <v>58</v>
      </c>
      <c r="F6" s="162"/>
      <c r="G6" s="162">
        <v>9</v>
      </c>
      <c r="H6" s="165">
        <v>9.6</v>
      </c>
      <c r="I6" s="162">
        <v>9.6</v>
      </c>
      <c r="J6" s="172">
        <v>9.6</v>
      </c>
      <c r="K6" s="172">
        <v>9</v>
      </c>
      <c r="L6" s="172">
        <v>8.6</v>
      </c>
      <c r="M6" s="172">
        <v>2.6</v>
      </c>
      <c r="N6" s="165">
        <v>0</v>
      </c>
      <c r="O6" s="165">
        <v>0</v>
      </c>
      <c r="P6" s="174"/>
    </row>
    <row r="7" ht="16" spans="2:16">
      <c r="B7" s="151">
        <v>4</v>
      </c>
      <c r="C7" s="151" t="s">
        <v>209</v>
      </c>
      <c r="D7" s="154" t="s">
        <v>213</v>
      </c>
      <c r="E7" s="162">
        <f t="shared" si="0"/>
        <v>2982.969639</v>
      </c>
      <c r="F7" s="162"/>
      <c r="G7" s="166">
        <v>1778.358</v>
      </c>
      <c r="H7" s="166">
        <v>1204.611639</v>
      </c>
      <c r="I7" s="165">
        <v>0</v>
      </c>
      <c r="J7" s="165">
        <v>0</v>
      </c>
      <c r="K7" s="165">
        <v>0</v>
      </c>
      <c r="L7" s="165">
        <v>0</v>
      </c>
      <c r="M7" s="165">
        <v>0</v>
      </c>
      <c r="N7" s="165">
        <v>0</v>
      </c>
      <c r="O7" s="165">
        <v>0</v>
      </c>
      <c r="P7" s="174" t="s">
        <v>214</v>
      </c>
    </row>
    <row r="8" ht="16" spans="2:16">
      <c r="B8" s="151">
        <v>5</v>
      </c>
      <c r="C8" s="151" t="s">
        <v>209</v>
      </c>
      <c r="D8" s="154" t="s">
        <v>215</v>
      </c>
      <c r="E8" s="162">
        <f t="shared" si="0"/>
        <v>2672</v>
      </c>
      <c r="F8" s="162"/>
      <c r="G8" s="162"/>
      <c r="H8" s="166">
        <v>2672</v>
      </c>
      <c r="I8" s="165">
        <v>0</v>
      </c>
      <c r="J8" s="165">
        <v>0</v>
      </c>
      <c r="K8" s="165">
        <v>0</v>
      </c>
      <c r="L8" s="165">
        <v>0</v>
      </c>
      <c r="M8" s="165">
        <v>0</v>
      </c>
      <c r="N8" s="165">
        <v>0</v>
      </c>
      <c r="O8" s="165">
        <v>0</v>
      </c>
      <c r="P8" s="174" t="s">
        <v>214</v>
      </c>
    </row>
    <row r="9" ht="18.8" spans="2:16">
      <c r="B9" s="151">
        <v>6</v>
      </c>
      <c r="C9" s="151" t="s">
        <v>209</v>
      </c>
      <c r="D9" s="154" t="s">
        <v>216</v>
      </c>
      <c r="E9" s="162">
        <f t="shared" si="0"/>
        <v>2660.64</v>
      </c>
      <c r="F9" s="167"/>
      <c r="G9" s="166">
        <v>2660.64</v>
      </c>
      <c r="H9" s="166"/>
      <c r="I9" s="165"/>
      <c r="J9" s="165"/>
      <c r="K9" s="165"/>
      <c r="L9" s="165"/>
      <c r="M9" s="165"/>
      <c r="N9" s="165"/>
      <c r="O9" s="165"/>
      <c r="P9" s="174" t="s">
        <v>214</v>
      </c>
    </row>
    <row r="10" ht="30" customHeight="1" spans="2:16">
      <c r="B10" s="151"/>
      <c r="C10" s="155" t="s">
        <v>137</v>
      </c>
      <c r="D10" s="156"/>
      <c r="E10" s="162">
        <f t="shared" ref="E10:O10" si="1">SUM(E4:E9)</f>
        <v>18542.117446</v>
      </c>
      <c r="F10" s="162"/>
      <c r="G10" s="162">
        <f t="shared" si="1"/>
        <v>5983.804</v>
      </c>
      <c r="H10" s="162">
        <f t="shared" si="1"/>
        <v>5422.019639</v>
      </c>
      <c r="I10" s="162">
        <f t="shared" si="1"/>
        <v>298.28534</v>
      </c>
      <c r="J10" s="162">
        <f t="shared" si="1"/>
        <v>3285.357267</v>
      </c>
      <c r="K10" s="162">
        <f t="shared" si="1"/>
        <v>1266.2512</v>
      </c>
      <c r="L10" s="162">
        <f t="shared" si="1"/>
        <v>123.8</v>
      </c>
      <c r="M10" s="162">
        <f t="shared" si="1"/>
        <v>722.6</v>
      </c>
      <c r="N10" s="162">
        <f t="shared" si="1"/>
        <v>720</v>
      </c>
      <c r="O10" s="162">
        <f t="shared" si="1"/>
        <v>720</v>
      </c>
      <c r="P10" s="174"/>
    </row>
    <row r="11" ht="18.8" spans="2:16">
      <c r="B11" s="151">
        <v>6</v>
      </c>
      <c r="C11" s="151" t="s">
        <v>217</v>
      </c>
      <c r="D11" s="152" t="s">
        <v>218</v>
      </c>
      <c r="E11" s="162">
        <f>SUM(G11:O11)</f>
        <v>115367.12855</v>
      </c>
      <c r="F11" s="168"/>
      <c r="G11" s="162">
        <v>6950</v>
      </c>
      <c r="H11" s="162">
        <f>54091+3500</f>
        <v>57591</v>
      </c>
      <c r="I11" s="162">
        <v>22730.2917</v>
      </c>
      <c r="J11" s="173">
        <v>3776.20815</v>
      </c>
      <c r="K11" s="173">
        <v>3012.5501</v>
      </c>
      <c r="L11" s="173">
        <v>3213.3868</v>
      </c>
      <c r="M11" s="173">
        <v>7914.7518</v>
      </c>
      <c r="N11" s="173">
        <v>10178.94</v>
      </c>
      <c r="O11" s="165">
        <v>0</v>
      </c>
      <c r="P11" s="174"/>
    </row>
    <row r="12" ht="30" customHeight="1" spans="2:16">
      <c r="B12" s="157"/>
      <c r="C12" s="157"/>
      <c r="D12" s="158" t="s">
        <v>124</v>
      </c>
      <c r="E12" s="169">
        <f>SUM(E10:E11)</f>
        <v>133909.245996</v>
      </c>
      <c r="F12" s="169"/>
      <c r="G12" s="169">
        <f t="shared" ref="G12:O12" si="2">SUM(G10:G11)</f>
        <v>12933.804</v>
      </c>
      <c r="H12" s="169">
        <f t="shared" si="2"/>
        <v>63013.019639</v>
      </c>
      <c r="I12" s="169">
        <f t="shared" si="2"/>
        <v>23028.57704</v>
      </c>
      <c r="J12" s="169">
        <f t="shared" si="2"/>
        <v>7061.565417</v>
      </c>
      <c r="K12" s="169">
        <f t="shared" si="2"/>
        <v>4278.8013</v>
      </c>
      <c r="L12" s="169">
        <f t="shared" si="2"/>
        <v>3337.1868</v>
      </c>
      <c r="M12" s="169">
        <f t="shared" si="2"/>
        <v>8637.3518</v>
      </c>
      <c r="N12" s="169">
        <f t="shared" si="2"/>
        <v>10898.94</v>
      </c>
      <c r="O12" s="169">
        <f t="shared" si="2"/>
        <v>720</v>
      </c>
      <c r="P12" s="174"/>
    </row>
    <row r="14" ht="15.2" spans="3:16">
      <c r="C14" s="159" t="s">
        <v>219</v>
      </c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75"/>
    </row>
    <row r="15" ht="30" customHeight="1" spans="2:16">
      <c r="B15" s="151"/>
      <c r="C15" s="151" t="s">
        <v>209</v>
      </c>
      <c r="D15" s="152" t="s">
        <v>220</v>
      </c>
      <c r="E15" s="162">
        <v>18317.04</v>
      </c>
      <c r="F15" s="167"/>
      <c r="G15" s="162">
        <v>4069.04</v>
      </c>
      <c r="H15" s="162"/>
      <c r="I15" s="162">
        <v>751</v>
      </c>
      <c r="J15" s="162">
        <f>1805+3272</f>
        <v>5077</v>
      </c>
      <c r="K15" s="162">
        <f>1308+3022</f>
        <v>4330</v>
      </c>
      <c r="L15" s="162">
        <f>2300+1790</f>
        <v>4090</v>
      </c>
      <c r="M15" s="173"/>
      <c r="N15" s="173"/>
      <c r="O15" s="165"/>
      <c r="P15" s="174"/>
    </row>
    <row r="17" spans="7:7">
      <c r="G17" s="170"/>
    </row>
    <row r="18" ht="12.4" spans="6:6">
      <c r="F18" s="44" t="s">
        <v>221</v>
      </c>
    </row>
    <row r="19" ht="18.8" spans="4:7">
      <c r="D19" s="161" t="s">
        <v>222</v>
      </c>
      <c r="E19" s="45" t="s">
        <v>59</v>
      </c>
      <c r="F19" s="167">
        <f>F10+F15</f>
        <v>0</v>
      </c>
      <c r="G19" s="149" t="s">
        <v>223</v>
      </c>
    </row>
    <row r="20" ht="18.8" spans="4:7">
      <c r="D20" s="161" t="s">
        <v>224</v>
      </c>
      <c r="E20" s="45" t="s">
        <v>62</v>
      </c>
      <c r="F20" s="168">
        <f>F11</f>
        <v>0</v>
      </c>
      <c r="G20" s="149" t="s">
        <v>225</v>
      </c>
    </row>
  </sheetData>
  <mergeCells count="2">
    <mergeCell ref="C10:D10"/>
    <mergeCell ref="C14:P14"/>
  </mergeCells>
  <pageMargins left="0.699305555555556" right="0.699305555555556" top="0.75" bottom="0.75" header="0.3" footer="0.3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G26"/>
  <sheetViews>
    <sheetView tabSelected="1" workbookViewId="0">
      <selection activeCell="F26" sqref="F26"/>
    </sheetView>
  </sheetViews>
  <sheetFormatPr defaultColWidth="9" defaultRowHeight="12.4" outlineLevelCol="6"/>
  <cols>
    <col min="1" max="1" width="12.625" style="108" customWidth="1"/>
    <col min="2" max="2" width="15.25" style="108" customWidth="1"/>
    <col min="3" max="3" width="13.25" style="108" customWidth="1"/>
    <col min="4" max="4" width="13" style="108" customWidth="1"/>
    <col min="5" max="5" width="19.25" style="108" customWidth="1"/>
    <col min="6" max="6" width="12.25" style="108" customWidth="1"/>
    <col min="7" max="16384" width="9" style="108"/>
  </cols>
  <sheetData>
    <row r="1" ht="31.75" spans="1:7">
      <c r="A1" s="124" t="s">
        <v>226</v>
      </c>
      <c r="B1" s="125" t="s">
        <v>227</v>
      </c>
      <c r="C1" s="125" t="s">
        <v>228</v>
      </c>
      <c r="D1" s="125" t="s">
        <v>229</v>
      </c>
      <c r="E1" s="125" t="s">
        <v>230</v>
      </c>
      <c r="F1" s="139" t="s">
        <v>231</v>
      </c>
      <c r="G1" s="44" t="s">
        <v>232</v>
      </c>
    </row>
    <row r="2" ht="16.75" spans="1:6">
      <c r="A2" s="126" t="s">
        <v>226</v>
      </c>
      <c r="B2" s="127" t="s">
        <v>233</v>
      </c>
      <c r="C2" s="127" t="s">
        <v>234</v>
      </c>
      <c r="D2" s="127" t="s">
        <v>235</v>
      </c>
      <c r="E2" s="127" t="s">
        <v>236</v>
      </c>
      <c r="F2" s="140" t="s">
        <v>237</v>
      </c>
    </row>
    <row r="3" ht="16.75" spans="1:6">
      <c r="A3" s="128" t="s">
        <v>238</v>
      </c>
      <c r="B3" s="129">
        <v>1758925.33</v>
      </c>
      <c r="C3" s="129">
        <v>2031064</v>
      </c>
      <c r="D3" s="130">
        <f>B3/C3</f>
        <v>0.866011770185479</v>
      </c>
      <c r="E3" s="129">
        <v>2432050</v>
      </c>
      <c r="F3" s="141">
        <f t="shared" ref="F3:F21" si="0">B3/E3</f>
        <v>0.7232274542053</v>
      </c>
    </row>
    <row r="4" ht="16.75" spans="1:6">
      <c r="A4" s="128" t="s">
        <v>239</v>
      </c>
      <c r="B4" s="129">
        <v>884665.05</v>
      </c>
      <c r="C4" s="129">
        <v>1559400</v>
      </c>
      <c r="D4" s="130">
        <f t="shared" ref="D4:D21" si="1">B4/C4</f>
        <v>0.567311177375914</v>
      </c>
      <c r="E4" s="129">
        <v>1977400</v>
      </c>
      <c r="F4" s="141">
        <f t="shared" si="0"/>
        <v>0.447388009507434</v>
      </c>
    </row>
    <row r="5" ht="16.75" spans="1:6">
      <c r="A5" s="128" t="s">
        <v>240</v>
      </c>
      <c r="B5" s="129">
        <v>10182002.84</v>
      </c>
      <c r="C5" s="129">
        <v>14195550</v>
      </c>
      <c r="D5" s="130">
        <f t="shared" si="1"/>
        <v>0.717267230928002</v>
      </c>
      <c r="E5" s="129">
        <v>15345600</v>
      </c>
      <c r="F5" s="141">
        <f t="shared" si="0"/>
        <v>0.663512853195704</v>
      </c>
    </row>
    <row r="6" ht="16.75" spans="1:6">
      <c r="A6" s="128" t="s">
        <v>241</v>
      </c>
      <c r="B6" s="129">
        <v>9100084.56</v>
      </c>
      <c r="C6" s="129">
        <v>11771066.7</v>
      </c>
      <c r="D6" s="130">
        <f t="shared" si="1"/>
        <v>0.773089201847782</v>
      </c>
      <c r="E6" s="129">
        <v>14194190</v>
      </c>
      <c r="F6" s="141">
        <f t="shared" si="0"/>
        <v>0.641113340035606</v>
      </c>
    </row>
    <row r="7" ht="16.75" spans="1:6">
      <c r="A7" s="128" t="s">
        <v>242</v>
      </c>
      <c r="B7" s="129">
        <v>1932533.28</v>
      </c>
      <c r="C7" s="129">
        <v>1933800</v>
      </c>
      <c r="D7" s="130">
        <f t="shared" si="1"/>
        <v>0.999344958113559</v>
      </c>
      <c r="E7" s="129">
        <v>2334700</v>
      </c>
      <c r="F7" s="141">
        <f t="shared" si="0"/>
        <v>0.827743727245471</v>
      </c>
    </row>
    <row r="8" ht="16.75" spans="1:6">
      <c r="A8" s="128" t="s">
        <v>243</v>
      </c>
      <c r="B8" s="129">
        <v>1376833.52</v>
      </c>
      <c r="C8" s="129">
        <v>1315000</v>
      </c>
      <c r="D8" s="130">
        <f t="shared" si="1"/>
        <v>1.04702168821293</v>
      </c>
      <c r="E8" s="129">
        <v>1544000</v>
      </c>
      <c r="F8" s="141">
        <f t="shared" si="0"/>
        <v>0.891731554404145</v>
      </c>
    </row>
    <row r="9" ht="16.75" spans="1:6">
      <c r="A9" s="128" t="s">
        <v>244</v>
      </c>
      <c r="B9" s="129">
        <v>136300862.75</v>
      </c>
      <c r="C9" s="129">
        <v>263210659</v>
      </c>
      <c r="D9" s="130">
        <f t="shared" si="1"/>
        <v>0.517839449465456</v>
      </c>
      <c r="E9" s="129">
        <v>300327632</v>
      </c>
      <c r="F9" s="141">
        <f t="shared" si="0"/>
        <v>0.453840566857997</v>
      </c>
    </row>
    <row r="10" ht="16.75" spans="1:6">
      <c r="A10" s="128" t="s">
        <v>245</v>
      </c>
      <c r="B10" s="129">
        <v>420905.08</v>
      </c>
      <c r="C10" s="129">
        <v>2679600</v>
      </c>
      <c r="D10" s="130">
        <f t="shared" si="1"/>
        <v>0.157077578743096</v>
      </c>
      <c r="E10" s="129">
        <v>3232800</v>
      </c>
      <c r="F10" s="141">
        <f t="shared" si="0"/>
        <v>0.130198304875031</v>
      </c>
    </row>
    <row r="11" ht="16.75" spans="1:6">
      <c r="A11" s="128" t="s">
        <v>246</v>
      </c>
      <c r="B11" s="129">
        <v>28535121.63</v>
      </c>
      <c r="C11" s="129">
        <v>35785000</v>
      </c>
      <c r="D11" s="130">
        <f t="shared" si="1"/>
        <v>0.79740454464161</v>
      </c>
      <c r="E11" s="129">
        <v>40490600</v>
      </c>
      <c r="F11" s="141">
        <f t="shared" si="0"/>
        <v>0.704734472445457</v>
      </c>
    </row>
    <row r="12" ht="16.75" spans="1:6">
      <c r="A12" s="128" t="s">
        <v>247</v>
      </c>
      <c r="B12" s="129">
        <v>194888.49</v>
      </c>
      <c r="C12" s="129">
        <v>520000</v>
      </c>
      <c r="D12" s="131" t="s">
        <v>156</v>
      </c>
      <c r="E12" s="129">
        <v>520000</v>
      </c>
      <c r="F12" s="141">
        <f t="shared" si="0"/>
        <v>0.374785557692308</v>
      </c>
    </row>
    <row r="13" ht="16.75" spans="1:6">
      <c r="A13" s="128" t="s">
        <v>248</v>
      </c>
      <c r="B13" s="129">
        <v>1553874.25</v>
      </c>
      <c r="C13" s="129">
        <v>5009385</v>
      </c>
      <c r="D13" s="130">
        <f t="shared" si="1"/>
        <v>0.31019261845516</v>
      </c>
      <c r="E13" s="129">
        <v>5206710</v>
      </c>
      <c r="F13" s="141">
        <f t="shared" si="0"/>
        <v>0.298436872804516</v>
      </c>
    </row>
    <row r="14" ht="16.75" spans="1:6">
      <c r="A14" s="128" t="s">
        <v>249</v>
      </c>
      <c r="B14" s="129">
        <v>5200</v>
      </c>
      <c r="C14" s="129">
        <v>3675100</v>
      </c>
      <c r="D14" s="130">
        <f t="shared" si="1"/>
        <v>0.0014149274849664</v>
      </c>
      <c r="E14" s="129">
        <v>4384100</v>
      </c>
      <c r="F14" s="141">
        <f t="shared" si="0"/>
        <v>0.00118610433156178</v>
      </c>
    </row>
    <row r="15" ht="16.75" spans="1:6">
      <c r="A15" s="128" t="s">
        <v>250</v>
      </c>
      <c r="B15" s="129">
        <v>5533624</v>
      </c>
      <c r="C15" s="129">
        <v>5230000</v>
      </c>
      <c r="D15" s="130">
        <f t="shared" si="1"/>
        <v>1.05805430210325</v>
      </c>
      <c r="E15" s="129">
        <v>5250000</v>
      </c>
      <c r="F15" s="141">
        <f t="shared" si="0"/>
        <v>1.05402361904762</v>
      </c>
    </row>
    <row r="16" ht="16.75" spans="1:6">
      <c r="A16" s="128" t="s">
        <v>251</v>
      </c>
      <c r="B16" s="129">
        <v>9538863.03</v>
      </c>
      <c r="C16" s="129">
        <v>8761325</v>
      </c>
      <c r="D16" s="130">
        <f t="shared" si="1"/>
        <v>1.08874662565308</v>
      </c>
      <c r="E16" s="129">
        <v>10505325</v>
      </c>
      <c r="F16" s="141">
        <f t="shared" si="0"/>
        <v>0.908002658651684</v>
      </c>
    </row>
    <row r="17" ht="16.75" spans="1:6">
      <c r="A17" s="128" t="s">
        <v>252</v>
      </c>
      <c r="B17" s="129">
        <v>10174103.23</v>
      </c>
      <c r="C17" s="129">
        <v>22453000</v>
      </c>
      <c r="D17" s="130">
        <f t="shared" si="1"/>
        <v>0.453128901705785</v>
      </c>
      <c r="E17" s="129">
        <v>27180000</v>
      </c>
      <c r="F17" s="141">
        <f t="shared" si="0"/>
        <v>0.374323150478293</v>
      </c>
    </row>
    <row r="18" ht="16.75" spans="1:6">
      <c r="A18" s="128" t="s">
        <v>253</v>
      </c>
      <c r="B18" s="129">
        <v>389370</v>
      </c>
      <c r="C18" s="129">
        <v>2346500</v>
      </c>
      <c r="D18" s="130">
        <f t="shared" si="1"/>
        <v>0.165936501171958</v>
      </c>
      <c r="E18" s="129">
        <v>2546500</v>
      </c>
      <c r="F18" s="141">
        <f t="shared" si="0"/>
        <v>0.152903985862949</v>
      </c>
    </row>
    <row r="19" ht="16.75" spans="1:6">
      <c r="A19" s="128" t="s">
        <v>254</v>
      </c>
      <c r="B19" s="129">
        <v>868650</v>
      </c>
      <c r="C19" s="129">
        <v>2500000</v>
      </c>
      <c r="D19" s="131" t="s">
        <v>156</v>
      </c>
      <c r="E19" s="129">
        <v>2500000</v>
      </c>
      <c r="F19" s="141">
        <f t="shared" si="0"/>
        <v>0.34746</v>
      </c>
    </row>
    <row r="20" ht="16.75" spans="1:6">
      <c r="A20" s="128" t="s">
        <v>255</v>
      </c>
      <c r="B20" s="129">
        <v>5720000</v>
      </c>
      <c r="C20" s="129">
        <v>5200000</v>
      </c>
      <c r="D20" s="130">
        <f t="shared" si="1"/>
        <v>1.1</v>
      </c>
      <c r="E20" s="129">
        <v>6240000</v>
      </c>
      <c r="F20" s="141">
        <f t="shared" si="0"/>
        <v>0.916666666666667</v>
      </c>
    </row>
    <row r="21" ht="16" spans="1:6">
      <c r="A21" s="132" t="s">
        <v>256</v>
      </c>
      <c r="B21" s="133">
        <f>SUM(B3:B20)</f>
        <v>224470507.04</v>
      </c>
      <c r="C21" s="134">
        <f>SUM(C3:C20)</f>
        <v>390176449.7</v>
      </c>
      <c r="D21" s="135">
        <f t="shared" si="1"/>
        <v>0.575305114423466</v>
      </c>
      <c r="E21" s="142">
        <f>SUM(E3:E20)</f>
        <v>446211607</v>
      </c>
      <c r="F21" s="143">
        <f t="shared" si="0"/>
        <v>0.503058422323828</v>
      </c>
    </row>
    <row r="22" spans="1:6">
      <c r="A22" s="136"/>
      <c r="B22" s="137"/>
      <c r="C22" s="137"/>
      <c r="D22" s="137"/>
      <c r="E22" s="137"/>
      <c r="F22" s="144"/>
    </row>
    <row r="23" spans="1:6">
      <c r="A23" s="138"/>
      <c r="B23" s="138"/>
      <c r="C23" s="138"/>
      <c r="D23" s="138"/>
      <c r="E23" s="44" t="s">
        <v>140</v>
      </c>
      <c r="F23" s="138"/>
    </row>
    <row r="24" ht="18.8" spans="4:6">
      <c r="D24" s="45" t="s">
        <v>65</v>
      </c>
      <c r="E24" s="145">
        <f>C21/100000000</f>
        <v>3.901764497</v>
      </c>
      <c r="F24" s="86" t="s">
        <v>257</v>
      </c>
    </row>
    <row r="25" ht="18.8" spans="4:6">
      <c r="D25" s="45" t="s">
        <v>67</v>
      </c>
      <c r="E25" s="146">
        <f>B21/100000000</f>
        <v>2.2447050704</v>
      </c>
      <c r="F25" s="98" t="s">
        <v>258</v>
      </c>
    </row>
    <row r="26" ht="17.2" spans="4:6">
      <c r="D26" s="45" t="s">
        <v>68</v>
      </c>
      <c r="E26" s="147">
        <f>D21</f>
        <v>0.575305114423466</v>
      </c>
      <c r="F26" s="100" t="s">
        <v>259</v>
      </c>
    </row>
  </sheetData>
  <mergeCells count="1">
    <mergeCell ref="A1:A2"/>
  </mergeCells>
  <pageMargins left="0.699305555555556" right="0.699305555555556" top="0.75" bottom="0.75" header="0.3" footer="0.3"/>
  <headerFooter/>
  <ignoredErrors>
    <ignoredError sqref="D21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G23"/>
  <sheetViews>
    <sheetView zoomScale="90" zoomScaleNormal="90" workbookViewId="0">
      <selection activeCell="D17" sqref="D17"/>
    </sheetView>
  </sheetViews>
  <sheetFormatPr defaultColWidth="9" defaultRowHeight="12.4" outlineLevelCol="6"/>
  <cols>
    <col min="1" max="1" width="23" style="108" customWidth="1"/>
    <col min="2" max="4" width="21.875" style="108" customWidth="1"/>
    <col min="5" max="5" width="18.375" style="108" customWidth="1"/>
    <col min="6" max="6" width="22.75" style="108" customWidth="1"/>
    <col min="7" max="16384" width="9" style="108"/>
  </cols>
  <sheetData>
    <row r="1" ht="26.25" customHeight="1" spans="1:7">
      <c r="A1" s="109" t="s">
        <v>260</v>
      </c>
      <c r="B1" s="110" t="s">
        <v>261</v>
      </c>
      <c r="C1" s="110" t="s">
        <v>262</v>
      </c>
      <c r="D1" s="110" t="s">
        <v>263</v>
      </c>
      <c r="E1" s="110" t="s">
        <v>230</v>
      </c>
      <c r="F1" s="110" t="s">
        <v>264</v>
      </c>
      <c r="G1" s="44" t="s">
        <v>232</v>
      </c>
    </row>
    <row r="2" ht="18.75" spans="1:6">
      <c r="A2" s="111"/>
      <c r="B2" s="110" t="s">
        <v>233</v>
      </c>
      <c r="C2" s="110" t="s">
        <v>234</v>
      </c>
      <c r="D2" s="110" t="s">
        <v>235</v>
      </c>
      <c r="E2" s="110" t="s">
        <v>236</v>
      </c>
      <c r="F2" s="110" t="s">
        <v>237</v>
      </c>
    </row>
    <row r="3" ht="18.75" customHeight="1" spans="1:6">
      <c r="A3" s="112" t="s">
        <v>265</v>
      </c>
      <c r="B3" s="113">
        <v>482136.58</v>
      </c>
      <c r="C3" s="113">
        <v>710000</v>
      </c>
      <c r="D3" s="114">
        <f>B3/C3</f>
        <v>0.679065605633803</v>
      </c>
      <c r="E3" s="113">
        <v>786000</v>
      </c>
      <c r="F3" s="114">
        <f>B3/E3</f>
        <v>0.613405318066158</v>
      </c>
    </row>
    <row r="4" ht="18.75" customHeight="1" spans="1:6">
      <c r="A4" s="112" t="s">
        <v>266</v>
      </c>
      <c r="B4" s="113">
        <v>256730.27</v>
      </c>
      <c r="C4" s="113">
        <v>499133.3</v>
      </c>
      <c r="D4" s="114">
        <f t="shared" ref="D4:D17" si="0">B4/C4</f>
        <v>0.514352117961274</v>
      </c>
      <c r="E4" s="113">
        <v>598960</v>
      </c>
      <c r="F4" s="114">
        <f t="shared" ref="F4:F17" si="1">B4/E4</f>
        <v>0.428626736342995</v>
      </c>
    </row>
    <row r="5" ht="18.75" customHeight="1" spans="1:6">
      <c r="A5" s="112" t="s">
        <v>267</v>
      </c>
      <c r="B5" s="113">
        <v>577759.13</v>
      </c>
      <c r="C5" s="113">
        <v>927900</v>
      </c>
      <c r="D5" s="114">
        <f t="shared" si="0"/>
        <v>0.622652365556633</v>
      </c>
      <c r="E5" s="113">
        <v>1125100</v>
      </c>
      <c r="F5" s="114">
        <f t="shared" si="1"/>
        <v>0.513518025064439</v>
      </c>
    </row>
    <row r="6" ht="18.75" customHeight="1" spans="1:6">
      <c r="A6" s="112" t="s">
        <v>268</v>
      </c>
      <c r="B6" s="113">
        <v>90610.38</v>
      </c>
      <c r="C6" s="113">
        <v>205650</v>
      </c>
      <c r="D6" s="114">
        <f t="shared" si="0"/>
        <v>0.440604814004376</v>
      </c>
      <c r="E6" s="113">
        <v>245400</v>
      </c>
      <c r="F6" s="114">
        <f t="shared" si="1"/>
        <v>0.369235452322738</v>
      </c>
    </row>
    <row r="7" ht="18.75" customHeight="1" spans="1:6">
      <c r="A7" s="112" t="s">
        <v>269</v>
      </c>
      <c r="B7" s="113">
        <v>187896.94</v>
      </c>
      <c r="C7" s="113">
        <v>244500</v>
      </c>
      <c r="D7" s="114">
        <f t="shared" si="0"/>
        <v>0.768494642126789</v>
      </c>
      <c r="E7" s="113">
        <v>297400</v>
      </c>
      <c r="F7" s="114">
        <f t="shared" si="1"/>
        <v>0.631798722259583</v>
      </c>
    </row>
    <row r="8" ht="18.75" customHeight="1" spans="1:6">
      <c r="A8" s="112" t="s">
        <v>270</v>
      </c>
      <c r="B8" s="113">
        <v>157547.08</v>
      </c>
      <c r="C8" s="113">
        <v>227000</v>
      </c>
      <c r="D8" s="114">
        <f t="shared" si="0"/>
        <v>0.69404</v>
      </c>
      <c r="E8" s="113">
        <v>266000</v>
      </c>
      <c r="F8" s="114">
        <f t="shared" si="1"/>
        <v>0.592282255639098</v>
      </c>
    </row>
    <row r="9" ht="18.75" customHeight="1" spans="1:6">
      <c r="A9" s="112" t="s">
        <v>271</v>
      </c>
      <c r="B9" s="113">
        <v>311772</v>
      </c>
      <c r="C9" s="113">
        <v>548666.7</v>
      </c>
      <c r="D9" s="114">
        <f t="shared" si="0"/>
        <v>0.568235688442546</v>
      </c>
      <c r="E9" s="113">
        <v>666100</v>
      </c>
      <c r="F9" s="114">
        <f t="shared" si="1"/>
        <v>0.46805584747035</v>
      </c>
    </row>
    <row r="10" ht="18.75" customHeight="1" spans="1:6">
      <c r="A10" s="112" t="s">
        <v>272</v>
      </c>
      <c r="B10" s="113">
        <v>145179.54</v>
      </c>
      <c r="C10" s="113">
        <v>844200</v>
      </c>
      <c r="D10" s="114">
        <f t="shared" si="0"/>
        <v>0.171972921108742</v>
      </c>
      <c r="E10" s="113">
        <v>1448200</v>
      </c>
      <c r="F10" s="114">
        <f t="shared" si="1"/>
        <v>0.100248266813976</v>
      </c>
    </row>
    <row r="11" ht="18.75" customHeight="1" spans="1:6">
      <c r="A11" s="112" t="s">
        <v>273</v>
      </c>
      <c r="B11" s="113">
        <v>204579.28</v>
      </c>
      <c r="C11" s="113">
        <v>203300</v>
      </c>
      <c r="D11" s="114">
        <f t="shared" si="0"/>
        <v>1.00629257255288</v>
      </c>
      <c r="E11" s="113">
        <v>244960</v>
      </c>
      <c r="F11" s="114">
        <f t="shared" si="1"/>
        <v>0.835153821032005</v>
      </c>
    </row>
    <row r="12" ht="18.75" customHeight="1" spans="1:6">
      <c r="A12" s="112" t="s">
        <v>274</v>
      </c>
      <c r="B12" s="113">
        <v>229043.19</v>
      </c>
      <c r="C12" s="113">
        <v>766400</v>
      </c>
      <c r="D12" s="114">
        <f t="shared" si="0"/>
        <v>0.298855936847599</v>
      </c>
      <c r="E12" s="113">
        <v>967000</v>
      </c>
      <c r="F12" s="114">
        <f t="shared" si="1"/>
        <v>0.23685955532575</v>
      </c>
    </row>
    <row r="13" ht="18.75" customHeight="1" spans="1:6">
      <c r="A13" s="112" t="s">
        <v>275</v>
      </c>
      <c r="B13" s="113">
        <v>359992.14</v>
      </c>
      <c r="C13" s="113">
        <v>576000</v>
      </c>
      <c r="D13" s="114">
        <f t="shared" si="0"/>
        <v>0.624986354166667</v>
      </c>
      <c r="E13" s="113">
        <v>692200</v>
      </c>
      <c r="F13" s="114">
        <f t="shared" si="1"/>
        <v>0.52006954637388</v>
      </c>
    </row>
    <row r="14" ht="18.75" customHeight="1" spans="1:6">
      <c r="A14" s="112" t="s">
        <v>276</v>
      </c>
      <c r="B14" s="113">
        <v>401803.2</v>
      </c>
      <c r="C14" s="113">
        <v>703000</v>
      </c>
      <c r="D14" s="114">
        <f t="shared" si="0"/>
        <v>0.571555049786629</v>
      </c>
      <c r="E14" s="113">
        <v>783600</v>
      </c>
      <c r="F14" s="114">
        <f t="shared" si="1"/>
        <v>0.512765696784074</v>
      </c>
    </row>
    <row r="15" ht="18.75" customHeight="1" spans="1:6">
      <c r="A15" s="112" t="s">
        <v>277</v>
      </c>
      <c r="B15" s="113">
        <v>422785.57</v>
      </c>
      <c r="C15" s="113">
        <v>1157500</v>
      </c>
      <c r="D15" s="114">
        <f t="shared" si="0"/>
        <v>0.36525751187905</v>
      </c>
      <c r="E15" s="113">
        <v>1321200</v>
      </c>
      <c r="F15" s="114">
        <f t="shared" si="1"/>
        <v>0.320001188313654</v>
      </c>
    </row>
    <row r="16" ht="18.75" customHeight="1" spans="1:6">
      <c r="A16" s="112" t="s">
        <v>278</v>
      </c>
      <c r="B16" s="113">
        <v>101828</v>
      </c>
      <c r="C16" s="113">
        <v>215750</v>
      </c>
      <c r="D16" s="114">
        <f t="shared" si="0"/>
        <v>0.471972190034762</v>
      </c>
      <c r="E16" s="113">
        <v>264650</v>
      </c>
      <c r="F16" s="114">
        <f t="shared" si="1"/>
        <v>0.384764783676554</v>
      </c>
    </row>
    <row r="17" ht="24.75" customHeight="1" spans="1:6">
      <c r="A17" s="115" t="s">
        <v>279</v>
      </c>
      <c r="B17" s="116">
        <f>SUM(B3:B16)</f>
        <v>3929663.3</v>
      </c>
      <c r="C17" s="117">
        <v>7829000</v>
      </c>
      <c r="D17" s="118">
        <f t="shared" si="0"/>
        <v>0.501936811853366</v>
      </c>
      <c r="E17" s="122">
        <v>9706770</v>
      </c>
      <c r="F17" s="123">
        <f t="shared" si="1"/>
        <v>0.40483737638782</v>
      </c>
    </row>
    <row r="20" spans="3:3">
      <c r="C20" s="44" t="s">
        <v>221</v>
      </c>
    </row>
    <row r="21" ht="18.8" spans="2:4">
      <c r="B21" s="45" t="s">
        <v>70</v>
      </c>
      <c r="C21" s="119">
        <f>C17/10000</f>
        <v>782.9</v>
      </c>
      <c r="D21" s="86" t="s">
        <v>280</v>
      </c>
    </row>
    <row r="22" ht="18.8" spans="2:4">
      <c r="B22" s="45" t="s">
        <v>72</v>
      </c>
      <c r="C22" s="120">
        <f>B17/10000</f>
        <v>392.96633</v>
      </c>
      <c r="D22" s="98" t="s">
        <v>281</v>
      </c>
    </row>
    <row r="23" ht="17.2" spans="2:4">
      <c r="B23" s="45" t="s">
        <v>73</v>
      </c>
      <c r="C23" s="121">
        <f>D17</f>
        <v>0.501936811853366</v>
      </c>
      <c r="D23" s="100" t="s">
        <v>282</v>
      </c>
    </row>
  </sheetData>
  <mergeCells count="1">
    <mergeCell ref="A1:A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指标汇总表</vt:lpstr>
      <vt:lpstr>Sheet2</vt:lpstr>
      <vt:lpstr>1.历年支出</vt:lpstr>
      <vt:lpstr>2.资本情况</vt:lpstr>
      <vt:lpstr>3.会计报表</vt:lpstr>
      <vt:lpstr>4.收入汇总表</vt:lpstr>
      <vt:lpstr>5.分红明细表</vt:lpstr>
      <vt:lpstr>6.预算-费用表</vt:lpstr>
      <vt:lpstr>7.预算-经理层表</vt:lpstr>
      <vt:lpstr>8.对外投资情况表</vt:lpstr>
      <vt:lpstr>9.现金流表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沈莉莉</dc:creator>
  <cp:lastModifiedBy>沈莉莉</cp:lastModifiedBy>
  <dcterms:created xsi:type="dcterms:W3CDTF">2022-01-13T09:37:00Z</dcterms:created>
  <dcterms:modified xsi:type="dcterms:W3CDTF">2022-02-24T22:46:47Z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