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收入汇总2022.2" sheetId="20" r:id="rId1"/>
    <sheet name="Sheet4" sheetId="23" state="hidden" r:id="rId2"/>
    <sheet name="Sheet3" sheetId="21" state="hidden" r:id="rId3"/>
    <sheet name="担保明细" sheetId="9" r:id="rId4"/>
    <sheet name="Sheet1" sheetId="16" state="hidden" r:id="rId5"/>
    <sheet name="利息明细" sheetId="5" r:id="rId6"/>
    <sheet name="管理费收入" sheetId="19" r:id="rId7"/>
    <sheet name="分红明细" sheetId="4" r:id="rId8"/>
    <sheet name="投资收益" sheetId="6" r:id="rId9"/>
    <sheet name="租金收入" sheetId="17" r:id="rId10"/>
  </sheets>
  <definedNames>
    <definedName name="_xlnm._FilterDatabase" localSheetId="3" hidden="1">Sheet1!$B$1:$M$1</definedName>
    <definedName name="_xlnm.Print_Area" localSheetId="0">收入汇总2022.2!$C$2:$O$32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N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上海基金公司项目管理费（上海中南源地股权投资基金管理有限公司）
</t>
        </r>
      </text>
    </comment>
    <comment ref="O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房租
</t>
        </r>
      </text>
    </comment>
    <comment ref="L1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镇江杭溪收入
</t>
        </r>
      </text>
    </comment>
    <comment ref="K1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补做2016年鸿升达收益
</t>
        </r>
      </text>
    </comment>
    <comment ref="L1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补做2016年鸿升达收益</t>
        </r>
      </text>
    </comment>
    <comment ref="M1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鸿升达</t>
        </r>
      </text>
    </comment>
    <comment ref="J2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收回金雪坏账685万、调整以前年度收益136万
</t>
        </r>
      </text>
    </comment>
    <comment ref="L2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向利兴华销售电梯
</t>
        </r>
      </text>
    </comment>
    <comment ref="P21" authorId="0">
      <text>
        <r>
          <rPr>
            <b/>
            <sz val="9"/>
            <rFont val="宋体"/>
            <charset val="134"/>
          </rPr>
          <t xml:space="preserve">仙女:调整以前年度土地款
</t>
        </r>
      </text>
    </comment>
    <comment ref="F2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差异894万（增加2017年销售利兴华电梯514万，调增2015年销售小老板土地339万，2013年调增2012年土地款返还14.5万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G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2019年行政费用分摊733.82万元，其中715.27万冲销成本分摊，18.55万做收入分摊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G7" authorId="0">
      <text>
        <r>
          <rPr>
            <b/>
            <sz val="9"/>
            <rFont val="宋体"/>
            <charset val="134"/>
          </rPr>
          <t xml:space="preserve">作者:
2021.09收506.38万元
</t>
        </r>
      </text>
    </comment>
    <comment ref="G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款项尚未收到</t>
        </r>
      </text>
    </comment>
  </commentList>
</comments>
</file>

<file path=xl/sharedStrings.xml><?xml version="1.0" encoding="utf-8"?>
<sst xmlns="http://schemas.openxmlformats.org/spreadsheetml/2006/main" count="438" uniqueCount="167">
  <si>
    <r>
      <rPr>
        <b/>
        <sz val="20"/>
        <color theme="1"/>
        <rFont val="宋体"/>
        <charset val="134"/>
        <scheme val="minor"/>
      </rPr>
      <t xml:space="preserve">2013-2022年中南母公司收入情况
                                             </t>
    </r>
    <r>
      <rPr>
        <b/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单位：万元</t>
    </r>
  </si>
  <si>
    <t>序号</t>
  </si>
  <si>
    <t>类别</t>
  </si>
  <si>
    <t>汇总</t>
  </si>
  <si>
    <t>2022年</t>
  </si>
  <si>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</si>
  <si>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</si>
  <si>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</si>
  <si>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</si>
  <si>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</si>
  <si>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</si>
  <si>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</si>
  <si>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</si>
  <si>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</si>
  <si>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合计</t>
  </si>
  <si>
    <t>担保费对外</t>
  </si>
  <si>
    <t>利息</t>
  </si>
  <si>
    <t>管理费</t>
  </si>
  <si>
    <t>分红</t>
  </si>
  <si>
    <t>投资收益</t>
  </si>
  <si>
    <t>税收奖励</t>
  </si>
  <si>
    <t>高抛低吸</t>
  </si>
  <si>
    <t>租金</t>
  </si>
  <si>
    <t>累         计</t>
  </si>
  <si>
    <t>控股</t>
  </si>
  <si>
    <t>管理费及其他</t>
  </si>
  <si>
    <t>税收奖励及政府补助</t>
  </si>
  <si>
    <t>其他收入</t>
  </si>
  <si>
    <t>小计</t>
  </si>
  <si>
    <t>城投</t>
  </si>
  <si>
    <t>2020年1-9月</t>
  </si>
  <si>
    <t>收入合计</t>
  </si>
  <si>
    <t>主营业务收入</t>
  </si>
  <si>
    <t>其他业务收入</t>
  </si>
  <si>
    <t>资产减值损失</t>
  </si>
  <si>
    <t>营业外收入</t>
  </si>
  <si>
    <t>其他业务成本</t>
  </si>
  <si>
    <t>税金及附加</t>
  </si>
  <si>
    <t>管理费用</t>
  </si>
  <si>
    <t>财务费用</t>
  </si>
  <si>
    <t>营业外支出</t>
  </si>
  <si>
    <t>所得税费用</t>
  </si>
  <si>
    <t>以前年度损益调整</t>
  </si>
  <si>
    <t>2020年1-8月</t>
  </si>
  <si>
    <t>客商</t>
  </si>
  <si>
    <t>当代君合担保费</t>
  </si>
  <si>
    <t>中南菩悦担保费</t>
  </si>
  <si>
    <t>中南高科</t>
  </si>
  <si>
    <t>中南土木</t>
  </si>
  <si>
    <t>中南置地</t>
  </si>
  <si>
    <t>中南金融</t>
  </si>
  <si>
    <t>中南建筑</t>
  </si>
  <si>
    <t>中南茂创</t>
  </si>
  <si>
    <t>中南锦时</t>
  </si>
  <si>
    <t>中南建投</t>
  </si>
  <si>
    <t>上海菩悦担保费</t>
  </si>
  <si>
    <t>南通市通州区锦煜置业有限公司</t>
  </si>
  <si>
    <t>当代君合投资有限公司</t>
  </si>
  <si>
    <t>上海菩悦</t>
  </si>
  <si>
    <t>常州汀玫担保费</t>
  </si>
  <si>
    <t>扬中市锦安置业有限公司（高科）</t>
  </si>
  <si>
    <t>高科</t>
  </si>
  <si>
    <t>滁州中南高科担保费</t>
  </si>
  <si>
    <t>南京锦凡置业有限公司（高科）</t>
  </si>
  <si>
    <t>德清中南高科担保费</t>
  </si>
  <si>
    <t>中南菩悦</t>
  </si>
  <si>
    <r>
      <rPr>
        <sz val="10"/>
        <rFont val="Arial"/>
        <charset val="134"/>
      </rPr>
      <t xml:space="preserve">3.6  </t>
    </r>
    <r>
      <rPr>
        <sz val="10"/>
        <rFont val="微软雅黑"/>
        <charset val="134"/>
      </rPr>
      <t>账户</t>
    </r>
    <r>
      <rPr>
        <sz val="10"/>
        <rFont val="Arial"/>
        <charset val="134"/>
      </rPr>
      <t>9955#</t>
    </r>
    <r>
      <rPr>
        <sz val="10"/>
        <rFont val="微软雅黑"/>
        <charset val="134"/>
      </rPr>
      <t>收西安云景涵置业担保费</t>
    </r>
  </si>
  <si>
    <t>合肥高科担保费</t>
  </si>
  <si>
    <t>3.6  账户9955#收西安润景悦置业担保费</t>
  </si>
  <si>
    <t>金华中南锦隆担保费</t>
  </si>
  <si>
    <r>
      <rPr>
        <sz val="10"/>
        <rFont val="Arial"/>
        <charset val="134"/>
      </rPr>
      <t xml:space="preserve">4.1  </t>
    </r>
    <r>
      <rPr>
        <sz val="10"/>
        <rFont val="微软雅黑"/>
        <charset val="134"/>
      </rPr>
      <t>账户</t>
    </r>
    <r>
      <rPr>
        <sz val="10"/>
        <rFont val="Arial"/>
        <charset val="134"/>
      </rPr>
      <t>9955#</t>
    </r>
    <r>
      <rPr>
        <sz val="10"/>
        <rFont val="微软雅黑"/>
        <charset val="134"/>
      </rPr>
      <t>收平阳嘉沄担保费</t>
    </r>
  </si>
  <si>
    <t>南京锦凡担保费</t>
  </si>
  <si>
    <t>6.24收上海中南菩悦房地产有限公司担保费</t>
  </si>
  <si>
    <t>上海金石担保费</t>
  </si>
  <si>
    <t>6.28收中南建筑担保费</t>
  </si>
  <si>
    <t>宁波中南高科担保费</t>
  </si>
  <si>
    <t>7.2收中南土木担保费</t>
  </si>
  <si>
    <t>中南建设</t>
  </si>
  <si>
    <t>泉州钧宏公司担保费</t>
  </si>
  <si>
    <t>泰安中南城市投资有限责任公司</t>
  </si>
  <si>
    <t>通州区锦煜担保费</t>
  </si>
  <si>
    <t>土木</t>
  </si>
  <si>
    <t>土木担保费（3.29划入）</t>
  </si>
  <si>
    <t>上海中南茂创投资有限公司</t>
  </si>
  <si>
    <t>中南建设担保费</t>
  </si>
  <si>
    <t>乌鲁木齐隆瑞新景房地产开发有限公司</t>
  </si>
  <si>
    <t>金融</t>
  </si>
  <si>
    <t>资产管理公司担保费</t>
  </si>
  <si>
    <t>平阳锦城置业有限公司</t>
  </si>
  <si>
    <t>总计</t>
  </si>
  <si>
    <t>上海中南锦时置业有限责任公司</t>
  </si>
  <si>
    <t>济宁中南医院管理有限公司担保费</t>
  </si>
  <si>
    <t>宁波锦实公司担保费</t>
  </si>
  <si>
    <t>宁波锦实投资有限公司</t>
  </si>
  <si>
    <t>兴中工程公司担保费</t>
  </si>
  <si>
    <t>毫州市中南哈工医疗管理有限公司</t>
  </si>
  <si>
    <t>主体单位</t>
  </si>
  <si>
    <t>中南控股</t>
  </si>
  <si>
    <t>上海中南菩悦房地产有限公司</t>
  </si>
  <si>
    <t>上海锦启科技有限公司</t>
  </si>
  <si>
    <t>青岛中南锦程房地产有限公司</t>
  </si>
  <si>
    <t>国信锦城融资租赁有限公司</t>
  </si>
  <si>
    <t>昊天检测公司</t>
  </si>
  <si>
    <t>江苏建银商业保理有限公司</t>
  </si>
  <si>
    <t>中南控股集团（上海）资产管理有限公司</t>
  </si>
  <si>
    <t>江苏万宸置业投资有限公司利息</t>
  </si>
  <si>
    <t>杭州中璟邦达置业有限公司利息开票</t>
  </si>
  <si>
    <t>常熟市创信隆实业有限公司</t>
  </si>
  <si>
    <t>南通锦益置业有限公司</t>
  </si>
  <si>
    <t>上海中南金石企业管理有限公司</t>
  </si>
  <si>
    <t>北国之春电视有限公司</t>
  </si>
  <si>
    <t>深圳市前海一方恒融商业保理有限公司</t>
  </si>
  <si>
    <t>上海尚锦文化旅游有限公司（统借统还）</t>
  </si>
  <si>
    <t>房地产委贷利息收入</t>
  </si>
  <si>
    <t>青岛东营项目</t>
  </si>
  <si>
    <t>浙江鼎点贸易有限公司</t>
  </si>
  <si>
    <t>南通新世界</t>
  </si>
  <si>
    <t>款项未收到</t>
  </si>
  <si>
    <t>中南城投</t>
  </si>
  <si>
    <t>上海中南源地股权投资基金管理有限公司</t>
  </si>
  <si>
    <t>鸿升达</t>
  </si>
  <si>
    <t>苏州交通工程有限公司</t>
  </si>
  <si>
    <t>人力成本分摊</t>
  </si>
  <si>
    <t>信息化费用分摊</t>
  </si>
  <si>
    <t>PS费用分摊</t>
  </si>
  <si>
    <t>汽车费用分摊</t>
  </si>
  <si>
    <t>行政费用分摊</t>
  </si>
  <si>
    <t>车辆处置收入</t>
  </si>
  <si>
    <t>销售常乐土地（小老板）</t>
  </si>
  <si>
    <t>零星销售</t>
  </si>
  <si>
    <t>其他</t>
  </si>
  <si>
    <t>集团稽查各产业案件罚没收入</t>
  </si>
  <si>
    <t>农商行分红时间</t>
  </si>
  <si>
    <t>备注</t>
  </si>
  <si>
    <t>海门市中南融通农村小额贷款有限公司</t>
  </si>
  <si>
    <t>江苏南通农村商业银行股份有限公司</t>
  </si>
  <si>
    <t>江苏金创信用再担保股份有限公司</t>
  </si>
  <si>
    <t>款项尚未收到</t>
  </si>
  <si>
    <t>江苏中南建设集团有限公司</t>
  </si>
  <si>
    <t>资金模拟分红</t>
  </si>
  <si>
    <t>中南装饰</t>
  </si>
  <si>
    <t>中科招商</t>
  </si>
  <si>
    <t>新疆天海绿洲农业科技股份有限公司</t>
  </si>
  <si>
    <t>湖南红太阳电源新材料股份有限公司</t>
  </si>
  <si>
    <t>新疆中南力源天然气化工有限公司</t>
  </si>
  <si>
    <t>四川中南力源天然气化工原料有限公司</t>
  </si>
  <si>
    <t>中南珂缔缘体育文化产业有限公司</t>
  </si>
  <si>
    <t>南通中南产城发展有限公司</t>
  </si>
  <si>
    <t>南京中南御锦城房地产</t>
  </si>
  <si>
    <t>南京花城房地产</t>
  </si>
  <si>
    <t>苏州中南锦城房地产</t>
  </si>
  <si>
    <t>镇江杭溪投资中心</t>
  </si>
  <si>
    <t>潜江雅苑股权转让南通花城</t>
  </si>
  <si>
    <t>债务重组（控股出资300万购入融通小贷14177900的债权，实现收入14177900元）</t>
  </si>
  <si>
    <t>青岛物业转让股权</t>
  </si>
  <si>
    <t>苏州中南中心折价装让中南建设</t>
  </si>
  <si>
    <t>黄海投资</t>
  </si>
  <si>
    <t>哈工智能</t>
  </si>
  <si>
    <t>.</t>
  </si>
  <si>
    <t>中南物业</t>
  </si>
  <si>
    <t>单位</t>
  </si>
  <si>
    <t>南通中南工业投资有限公司</t>
  </si>
  <si>
    <t>款项未收</t>
  </si>
  <si>
    <t>江苏中南建设装饰有限公司</t>
  </si>
  <si>
    <t>南通市康民全预制构件有限公司</t>
  </si>
  <si>
    <t>常乐镇张蹇广场</t>
  </si>
  <si>
    <t>常乐镇大楼</t>
  </si>
</sst>
</file>

<file path=xl/styles.xml><?xml version="1.0" encoding="utf-8"?>
<styleSheet xmlns="http://schemas.openxmlformats.org/spreadsheetml/2006/main">
  <numFmts count="8">
    <numFmt numFmtId="176" formatCode="_(* #,##0.00_);_(* \(#,##0.00\);_(* &quot;-&quot;??_);_(@_)"/>
    <numFmt numFmtId="177" formatCode="_ * #,##0_ ;_ * \-#,##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8" formatCode="#,##0.00_ "/>
    <numFmt numFmtId="179" formatCode="#,##0.00_);[Red]\(#,##0.00\)"/>
  </numFmts>
  <fonts count="38"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sz val="11"/>
      <name val="微软雅黑"/>
      <charset val="134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sz val="10"/>
      <name val="Arial"/>
      <charset val="134"/>
    </font>
    <font>
      <sz val="12"/>
      <name val="微软雅黑"/>
      <charset val="134"/>
    </font>
    <font>
      <sz val="12"/>
      <color indexed="8"/>
      <name val="微软雅黑"/>
      <charset val="134"/>
    </font>
    <font>
      <sz val="9"/>
      <color indexed="8"/>
      <name val="宋体"/>
      <charset val="134"/>
    </font>
    <font>
      <sz val="10"/>
      <color indexed="8"/>
      <name val="Dialog"/>
      <charset val="134"/>
    </font>
    <font>
      <sz val="10"/>
      <name val="宋体"/>
      <charset val="134"/>
    </font>
    <font>
      <sz val="10"/>
      <name val="微软雅黑"/>
      <charset val="134"/>
    </font>
    <font>
      <sz val="11"/>
      <name val="Arial"/>
      <charset val="134"/>
    </font>
    <font>
      <sz val="12"/>
      <color indexed="8"/>
      <name val="宋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9" fillId="26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30" borderId="29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5" fillId="0" borderId="27" applyNumberFormat="0" applyFill="0" applyAlignment="0" applyProtection="0">
      <alignment vertical="center"/>
    </xf>
    <xf numFmtId="0" fontId="27" fillId="0" borderId="27" applyNumberFormat="0" applyFill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0" fillId="16" borderId="28" applyNumberFormat="0" applyAlignment="0" applyProtection="0">
      <alignment vertical="center"/>
    </xf>
    <xf numFmtId="0" fontId="25" fillId="16" borderId="25" applyNumberFormat="0" applyAlignment="0" applyProtection="0">
      <alignment vertical="center"/>
    </xf>
    <xf numFmtId="0" fontId="22" fillId="14" borderId="23" applyNumberForma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6" fillId="0" borderId="26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5" fillId="0" borderId="0"/>
    <xf numFmtId="0" fontId="17" fillId="1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5" fillId="0" borderId="0"/>
    <xf numFmtId="0" fontId="5" fillId="0" borderId="0"/>
    <xf numFmtId="176" fontId="5" fillId="0" borderId="0" applyFont="0" applyFill="0" applyBorder="0" applyAlignment="0" applyProtection="0"/>
  </cellStyleXfs>
  <cellXfs count="178">
    <xf numFmtId="0" fontId="0" fillId="0" borderId="0" xfId="0"/>
    <xf numFmtId="0" fontId="0" fillId="2" borderId="0" xfId="0" applyFill="1"/>
    <xf numFmtId="0" fontId="1" fillId="3" borderId="1" xfId="50" applyFont="1" applyFill="1" applyBorder="1" applyAlignment="1">
      <alignment horizontal="center" vertical="center"/>
    </xf>
    <xf numFmtId="0" fontId="1" fillId="3" borderId="2" xfId="50" applyFont="1" applyFill="1" applyBorder="1" applyAlignment="1">
      <alignment horizontal="center" vertical="center"/>
    </xf>
    <xf numFmtId="0" fontId="2" fillId="3" borderId="2" xfId="50" applyFont="1" applyFill="1" applyBorder="1" applyAlignment="1">
      <alignment horizontal="center" vertical="center"/>
    </xf>
    <xf numFmtId="0" fontId="1" fillId="2" borderId="3" xfId="50" applyFont="1" applyFill="1" applyBorder="1" applyAlignment="1">
      <alignment horizontal="center" vertical="center"/>
    </xf>
    <xf numFmtId="0" fontId="1" fillId="2" borderId="4" xfId="50" applyFont="1" applyFill="1" applyBorder="1" applyAlignment="1">
      <alignment horizontal="left" vertical="center"/>
    </xf>
    <xf numFmtId="43" fontId="1" fillId="2" borderId="4" xfId="8" applyFont="1" applyFill="1" applyBorder="1" applyAlignment="1">
      <alignment horizontal="center" vertical="center"/>
    </xf>
    <xf numFmtId="0" fontId="2" fillId="2" borderId="4" xfId="50" applyFont="1" applyFill="1" applyBorder="1" applyAlignment="1">
      <alignment horizontal="center" vertical="center"/>
    </xf>
    <xf numFmtId="0" fontId="1" fillId="2" borderId="4" xfId="50" applyFont="1" applyFill="1" applyBorder="1" applyAlignment="1">
      <alignment horizontal="center" vertical="center"/>
    </xf>
    <xf numFmtId="0" fontId="3" fillId="0" borderId="3" xfId="8" applyNumberFormat="1" applyFont="1" applyBorder="1" applyAlignment="1">
      <alignment horizontal="center" vertical="center"/>
    </xf>
    <xf numFmtId="43" fontId="3" fillId="0" borderId="4" xfId="8" applyFont="1" applyBorder="1" applyAlignment="1">
      <alignment horizontal="left" wrapText="1"/>
    </xf>
    <xf numFmtId="177" fontId="3" fillId="4" borderId="4" xfId="8" applyNumberFormat="1" applyFont="1" applyFill="1" applyBorder="1" applyAlignment="1"/>
    <xf numFmtId="0" fontId="4" fillId="0" borderId="4" xfId="0" applyFont="1" applyBorder="1"/>
    <xf numFmtId="0" fontId="0" fillId="0" borderId="4" xfId="0" applyBorder="1"/>
    <xf numFmtId="43" fontId="1" fillId="4" borderId="4" xfId="8" applyFont="1" applyFill="1" applyBorder="1" applyAlignment="1">
      <alignment horizontal="center" vertical="center"/>
    </xf>
    <xf numFmtId="177" fontId="3" fillId="0" borderId="4" xfId="8" applyNumberFormat="1" applyFont="1" applyBorder="1" applyAlignment="1"/>
    <xf numFmtId="177" fontId="3" fillId="2" borderId="4" xfId="8" applyNumberFormat="1" applyFont="1" applyFill="1" applyBorder="1" applyAlignment="1"/>
    <xf numFmtId="43" fontId="3" fillId="0" borderId="5" xfId="8" applyFont="1" applyBorder="1" applyAlignment="1">
      <alignment horizontal="left" wrapText="1"/>
    </xf>
    <xf numFmtId="43" fontId="1" fillId="2" borderId="5" xfId="8" applyFont="1" applyFill="1" applyBorder="1" applyAlignment="1">
      <alignment horizontal="center" vertical="center"/>
    </xf>
    <xf numFmtId="177" fontId="3" fillId="0" borderId="5" xfId="8" applyNumberFormat="1" applyFont="1" applyBorder="1" applyAlignment="1"/>
    <xf numFmtId="0" fontId="4" fillId="0" borderId="5" xfId="0" applyFont="1" applyBorder="1"/>
    <xf numFmtId="0" fontId="0" fillId="0" borderId="5" xfId="0" applyBorder="1"/>
    <xf numFmtId="0" fontId="4" fillId="0" borderId="6" xfId="0" applyFont="1" applyBorder="1"/>
    <xf numFmtId="0" fontId="4" fillId="0" borderId="7" xfId="0" applyFont="1" applyBorder="1"/>
    <xf numFmtId="177" fontId="4" fillId="0" borderId="7" xfId="8" applyNumberFormat="1" applyFont="1" applyBorder="1" applyAlignment="1"/>
    <xf numFmtId="0" fontId="1" fillId="3" borderId="8" xfId="50" applyFont="1" applyFill="1" applyBorder="1" applyAlignment="1">
      <alignment horizontal="center" vertical="center"/>
    </xf>
    <xf numFmtId="41" fontId="4" fillId="0" borderId="4" xfId="8" applyNumberFormat="1" applyFont="1" applyBorder="1" applyAlignment="1">
      <alignment horizontal="right"/>
    </xf>
    <xf numFmtId="41" fontId="4" fillId="0" borderId="9" xfId="8" applyNumberFormat="1" applyFont="1" applyBorder="1" applyAlignment="1">
      <alignment horizontal="right"/>
    </xf>
    <xf numFmtId="0" fontId="0" fillId="0" borderId="9" xfId="0" applyBorder="1"/>
    <xf numFmtId="0" fontId="4" fillId="0" borderId="10" xfId="0" applyFont="1" applyBorder="1"/>
    <xf numFmtId="0" fontId="0" fillId="0" borderId="11" xfId="0" applyBorder="1"/>
    <xf numFmtId="0" fontId="5" fillId="0" borderId="0" xfId="50" applyAlignment="1">
      <alignment horizontal="center"/>
    </xf>
    <xf numFmtId="0" fontId="5" fillId="0" borderId="0" xfId="50"/>
    <xf numFmtId="0" fontId="5" fillId="0" borderId="0" xfId="50" applyAlignment="1">
      <alignment horizontal="left"/>
    </xf>
    <xf numFmtId="0" fontId="6" fillId="3" borderId="2" xfId="50" applyFont="1" applyFill="1" applyBorder="1" applyAlignment="1">
      <alignment horizontal="center" vertical="center"/>
    </xf>
    <xf numFmtId="0" fontId="1" fillId="0" borderId="3" xfId="50" applyFont="1" applyBorder="1" applyAlignment="1">
      <alignment horizontal="center" vertical="center"/>
    </xf>
    <xf numFmtId="0" fontId="6" fillId="2" borderId="4" xfId="50" applyFont="1" applyFill="1" applyBorder="1" applyAlignment="1">
      <alignment horizontal="center"/>
    </xf>
    <xf numFmtId="0" fontId="1" fillId="0" borderId="4" xfId="50" applyFont="1" applyBorder="1" applyAlignment="1">
      <alignment vertical="center"/>
    </xf>
    <xf numFmtId="177" fontId="2" fillId="0" borderId="4" xfId="8" applyNumberFormat="1" applyFont="1" applyBorder="1" applyAlignment="1">
      <alignment horizontal="center" vertical="center"/>
    </xf>
    <xf numFmtId="0" fontId="1" fillId="0" borderId="4" xfId="50" applyFont="1" applyBorder="1" applyAlignment="1">
      <alignment vertical="center" wrapText="1"/>
    </xf>
    <xf numFmtId="0" fontId="1" fillId="0" borderId="5" xfId="50" applyFont="1" applyBorder="1" applyAlignment="1">
      <alignment vertical="center"/>
    </xf>
    <xf numFmtId="177" fontId="2" fillId="0" borderId="5" xfId="8" applyNumberFormat="1" applyFont="1" applyBorder="1" applyAlignment="1">
      <alignment horizontal="center" vertical="center"/>
    </xf>
    <xf numFmtId="0" fontId="1" fillId="0" borderId="12" xfId="50" applyFont="1" applyBorder="1" applyAlignment="1">
      <alignment horizontal="center" vertical="center"/>
    </xf>
    <xf numFmtId="0" fontId="1" fillId="0" borderId="6" xfId="50" applyFont="1" applyBorder="1" applyAlignment="1">
      <alignment horizontal="center" vertical="center"/>
    </xf>
    <xf numFmtId="0" fontId="1" fillId="0" borderId="7" xfId="50" applyFont="1" applyBorder="1" applyAlignment="1">
      <alignment horizontal="center" vertical="center"/>
    </xf>
    <xf numFmtId="0" fontId="1" fillId="0" borderId="7" xfId="50" applyFont="1" applyBorder="1" applyAlignment="1">
      <alignment vertical="center"/>
    </xf>
    <xf numFmtId="177" fontId="2" fillId="0" borderId="7" xfId="8" applyNumberFormat="1" applyFont="1" applyBorder="1" applyAlignment="1">
      <alignment horizontal="center" vertical="center"/>
    </xf>
    <xf numFmtId="177" fontId="2" fillId="0" borderId="9" xfId="8" applyNumberFormat="1" applyFont="1" applyBorder="1" applyAlignment="1">
      <alignment horizontal="center" vertical="center"/>
    </xf>
    <xf numFmtId="177" fontId="2" fillId="0" borderId="4" xfId="8" applyNumberFormat="1" applyFont="1" applyBorder="1" applyAlignment="1">
      <alignment horizontal="center"/>
    </xf>
    <xf numFmtId="177" fontId="2" fillId="0" borderId="4" xfId="8" applyNumberFormat="1" applyFont="1" applyBorder="1" applyAlignment="1"/>
    <xf numFmtId="177" fontId="2" fillId="0" borderId="13" xfId="8" applyNumberFormat="1" applyFont="1" applyBorder="1" applyAlignment="1">
      <alignment horizontal="center" vertical="center"/>
    </xf>
    <xf numFmtId="177" fontId="2" fillId="0" borderId="11" xfId="8" applyNumberFormat="1" applyFont="1" applyBorder="1" applyAlignment="1">
      <alignment horizontal="center" vertical="center"/>
    </xf>
    <xf numFmtId="0" fontId="5" fillId="0" borderId="0" xfId="50" applyAlignment="1">
      <alignment horizontal="center" vertical="center"/>
    </xf>
    <xf numFmtId="0" fontId="6" fillId="2" borderId="4" xfId="50" applyFont="1" applyFill="1" applyBorder="1" applyAlignment="1">
      <alignment wrapText="1"/>
    </xf>
    <xf numFmtId="177" fontId="6" fillId="2" borderId="4" xfId="8" applyNumberFormat="1" applyFont="1" applyFill="1" applyBorder="1" applyAlignment="1">
      <alignment horizontal="center" vertical="center"/>
    </xf>
    <xf numFmtId="57" fontId="6" fillId="3" borderId="4" xfId="50" applyNumberFormat="1" applyFont="1" applyFill="1" applyBorder="1" applyAlignment="1">
      <alignment horizontal="center" vertical="center"/>
    </xf>
    <xf numFmtId="0" fontId="6" fillId="3" borderId="4" xfId="50" applyFont="1" applyFill="1" applyBorder="1" applyAlignment="1">
      <alignment horizontal="center" vertical="center"/>
    </xf>
    <xf numFmtId="49" fontId="7" fillId="2" borderId="4" xfId="50" applyNumberFormat="1" applyFont="1" applyFill="1" applyBorder="1" applyAlignment="1" applyProtection="1">
      <alignment horizontal="left" vertical="center" wrapText="1"/>
      <protection locked="0"/>
    </xf>
    <xf numFmtId="177" fontId="6" fillId="4" borderId="4" xfId="8" applyNumberFormat="1" applyFont="1" applyFill="1" applyBorder="1" applyAlignment="1">
      <alignment horizontal="center" vertical="center"/>
    </xf>
    <xf numFmtId="0" fontId="6" fillId="2" borderId="14" xfId="50" applyFont="1" applyFill="1" applyBorder="1" applyAlignment="1">
      <alignment horizontal="center"/>
    </xf>
    <xf numFmtId="0" fontId="6" fillId="2" borderId="15" xfId="50" applyFont="1" applyFill="1" applyBorder="1" applyAlignment="1">
      <alignment horizontal="center"/>
    </xf>
    <xf numFmtId="0" fontId="6" fillId="5" borderId="4" xfId="50" applyFont="1" applyFill="1" applyBorder="1" applyAlignment="1">
      <alignment horizontal="center"/>
    </xf>
    <xf numFmtId="0" fontId="6" fillId="5" borderId="4" xfId="50" applyFont="1" applyFill="1" applyBorder="1"/>
    <xf numFmtId="177" fontId="6" fillId="5" borderId="4" xfId="8" applyNumberFormat="1" applyFont="1" applyFill="1" applyBorder="1" applyAlignment="1">
      <alignment horizontal="center" vertical="center"/>
    </xf>
    <xf numFmtId="0" fontId="6" fillId="6" borderId="14" xfId="50" applyFont="1" applyFill="1" applyBorder="1" applyAlignment="1">
      <alignment horizontal="center" vertical="center"/>
    </xf>
    <xf numFmtId="0" fontId="6" fillId="6" borderId="16" xfId="50" applyFont="1" applyFill="1" applyBorder="1" applyAlignment="1">
      <alignment horizontal="center" vertical="center"/>
    </xf>
    <xf numFmtId="177" fontId="5" fillId="0" borderId="0" xfId="50" applyNumberFormat="1"/>
    <xf numFmtId="57" fontId="7" fillId="3" borderId="4" xfId="50" applyNumberFormat="1" applyFont="1" applyFill="1" applyBorder="1" applyAlignment="1">
      <alignment horizontal="center" vertical="center"/>
    </xf>
    <xf numFmtId="0" fontId="7" fillId="3" borderId="4" xfId="50" applyFont="1" applyFill="1" applyBorder="1" applyAlignment="1">
      <alignment horizontal="center" vertical="center"/>
    </xf>
    <xf numFmtId="177" fontId="7" fillId="2" borderId="4" xfId="8" applyNumberFormat="1" applyFont="1" applyFill="1" applyBorder="1" applyAlignment="1" applyProtection="1">
      <alignment horizontal="center" vertical="center" wrapText="1"/>
      <protection locked="0"/>
    </xf>
    <xf numFmtId="0" fontId="5" fillId="0" borderId="4" xfId="50" applyBorder="1"/>
    <xf numFmtId="177" fontId="3" fillId="2" borderId="4" xfId="8" applyNumberFormat="1" applyFont="1" applyFill="1" applyBorder="1" applyAlignment="1">
      <alignment horizontal="center" vertical="center"/>
    </xf>
    <xf numFmtId="0" fontId="6" fillId="6" borderId="15" xfId="50" applyFont="1" applyFill="1" applyBorder="1" applyAlignment="1">
      <alignment horizontal="center" vertical="center"/>
    </xf>
    <xf numFmtId="178" fontId="0" fillId="0" borderId="0" xfId="0" applyNumberFormat="1"/>
    <xf numFmtId="178" fontId="2" fillId="3" borderId="2" xfId="5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77" fontId="4" fillId="0" borderId="4" xfId="8" applyNumberFormat="1" applyFont="1" applyBorder="1" applyAlignment="1"/>
    <xf numFmtId="178" fontId="4" fillId="0" borderId="4" xfId="8" applyNumberFormat="1" applyFont="1" applyBorder="1" applyAlignment="1"/>
    <xf numFmtId="43" fontId="3" fillId="0" borderId="4" xfId="8" applyFont="1" applyBorder="1" applyAlignment="1">
      <alignment horizontal="left" vertical="center"/>
    </xf>
    <xf numFmtId="0" fontId="0" fillId="0" borderId="6" xfId="0" applyBorder="1"/>
    <xf numFmtId="178" fontId="4" fillId="0" borderId="7" xfId="8" applyNumberFormat="1" applyFont="1" applyBorder="1" applyAlignment="1"/>
    <xf numFmtId="177" fontId="4" fillId="0" borderId="4" xfId="8" applyNumberFormat="1" applyFont="1" applyBorder="1" applyAlignment="1">
      <alignment horizontal="right"/>
    </xf>
    <xf numFmtId="177" fontId="4" fillId="0" borderId="9" xfId="8" applyNumberFormat="1" applyFont="1" applyBorder="1" applyAlignment="1"/>
    <xf numFmtId="177" fontId="4" fillId="0" borderId="17" xfId="8" applyNumberFormat="1" applyFont="1" applyBorder="1" applyAlignment="1"/>
    <xf numFmtId="0" fontId="5" fillId="2" borderId="0" xfId="50" applyFill="1"/>
    <xf numFmtId="0" fontId="2" fillId="2" borderId="3" xfId="50" applyFont="1" applyFill="1" applyBorder="1"/>
    <xf numFmtId="0" fontId="2" fillId="2" borderId="4" xfId="50" applyFont="1" applyFill="1" applyBorder="1" applyAlignment="1">
      <alignment horizontal="center"/>
    </xf>
    <xf numFmtId="0" fontId="2" fillId="2" borderId="4" xfId="50" applyFont="1" applyFill="1" applyBorder="1"/>
    <xf numFmtId="177" fontId="2" fillId="2" borderId="4" xfId="8" applyNumberFormat="1" applyFont="1" applyFill="1" applyBorder="1" applyAlignment="1"/>
    <xf numFmtId="49" fontId="1" fillId="2" borderId="4" xfId="50" applyNumberFormat="1" applyFont="1" applyFill="1" applyBorder="1" applyAlignment="1" applyProtection="1">
      <alignment horizontal="left" vertical="center" wrapText="1"/>
      <protection locked="0"/>
    </xf>
    <xf numFmtId="49" fontId="8" fillId="0" borderId="18" xfId="0" applyNumberFormat="1" applyFont="1" applyBorder="1" applyAlignment="1" applyProtection="1">
      <alignment horizontal="left" vertical="center" wrapText="1"/>
      <protection locked="0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177" fontId="2" fillId="4" borderId="4" xfId="8" applyNumberFormat="1" applyFont="1" applyFill="1" applyBorder="1" applyAlignment="1"/>
    <xf numFmtId="0" fontId="2" fillId="0" borderId="4" xfId="50" applyFont="1" applyBorder="1"/>
    <xf numFmtId="0" fontId="2" fillId="2" borderId="6" xfId="50" applyFont="1" applyFill="1" applyBorder="1"/>
    <xf numFmtId="0" fontId="2" fillId="0" borderId="7" xfId="50" applyFont="1" applyBorder="1"/>
    <xf numFmtId="0" fontId="2" fillId="2" borderId="7" xfId="50" applyFont="1" applyFill="1" applyBorder="1"/>
    <xf numFmtId="177" fontId="2" fillId="2" borderId="7" xfId="8" applyNumberFormat="1" applyFont="1" applyFill="1" applyBorder="1" applyAlignment="1"/>
    <xf numFmtId="49" fontId="9" fillId="2" borderId="0" xfId="50" applyNumberFormat="1" applyFont="1" applyFill="1" applyBorder="1" applyAlignment="1" applyProtection="1">
      <alignment horizontal="left" vertical="center" wrapText="1"/>
      <protection locked="0"/>
    </xf>
    <xf numFmtId="177" fontId="1" fillId="2" borderId="4" xfId="8" applyNumberFormat="1" applyFont="1" applyFill="1" applyBorder="1" applyAlignment="1" applyProtection="1">
      <alignment horizontal="right" vertical="center" wrapText="1"/>
      <protection locked="0"/>
    </xf>
    <xf numFmtId="177" fontId="2" fillId="2" borderId="9" xfId="8" applyNumberFormat="1" applyFont="1" applyFill="1" applyBorder="1" applyAlignment="1"/>
    <xf numFmtId="177" fontId="2" fillId="2" borderId="14" xfId="8" applyNumberFormat="1" applyFont="1" applyFill="1" applyBorder="1" applyAlignment="1"/>
    <xf numFmtId="0" fontId="10" fillId="0" borderId="0" xfId="50" applyFont="1"/>
    <xf numFmtId="2" fontId="9" fillId="2" borderId="0" xfId="50" applyNumberFormat="1" applyFont="1" applyFill="1" applyBorder="1" applyAlignment="1" applyProtection="1">
      <alignment horizontal="right" vertical="center" wrapText="1"/>
      <protection locked="0"/>
    </xf>
    <xf numFmtId="0" fontId="10" fillId="0" borderId="4" xfId="50" applyFont="1" applyBorder="1"/>
    <xf numFmtId="0" fontId="11" fillId="0" borderId="4" xfId="50" applyFont="1" applyBorder="1"/>
    <xf numFmtId="0" fontId="2" fillId="3" borderId="2" xfId="51" applyFont="1" applyFill="1" applyBorder="1" applyAlignment="1">
      <alignment horizontal="center" vertical="center"/>
    </xf>
    <xf numFmtId="177" fontId="12" fillId="0" borderId="9" xfId="8" applyNumberFormat="1" applyFont="1" applyBorder="1" applyAlignment="1"/>
    <xf numFmtId="177" fontId="2" fillId="0" borderId="17" xfId="8" applyNumberFormat="1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43" fontId="0" fillId="0" borderId="14" xfId="8" applyFont="1" applyBorder="1" applyAlignment="1">
      <alignment horizontal="center" vertical="center"/>
    </xf>
    <xf numFmtId="43" fontId="0" fillId="0" borderId="16" xfId="8" applyFont="1" applyBorder="1" applyAlignment="1">
      <alignment horizontal="center" vertical="center"/>
    </xf>
    <xf numFmtId="43" fontId="0" fillId="0" borderId="15" xfId="8" applyFont="1" applyBorder="1" applyAlignment="1">
      <alignment horizontal="center" vertical="center"/>
    </xf>
    <xf numFmtId="43" fontId="0" fillId="0" borderId="4" xfId="8" applyFont="1" applyBorder="1">
      <alignment vertical="center"/>
    </xf>
    <xf numFmtId="49" fontId="1" fillId="0" borderId="4" xfId="0" applyNumberFormat="1" applyFont="1" applyBorder="1" applyAlignment="1" applyProtection="1">
      <alignment horizontal="left" vertical="center" wrapText="1"/>
      <protection locked="0"/>
    </xf>
    <xf numFmtId="43" fontId="1" fillId="0" borderId="4" xfId="8" applyFont="1" applyBorder="1" applyAlignment="1" applyProtection="1">
      <alignment horizontal="right" vertical="center" wrapText="1"/>
      <protection locked="0"/>
    </xf>
    <xf numFmtId="4" fontId="13" fillId="0" borderId="18" xfId="0" applyNumberFormat="1" applyFont="1" applyBorder="1" applyAlignment="1" applyProtection="1">
      <alignment horizontal="right" vertical="center" wrapText="1"/>
      <protection locked="0"/>
    </xf>
    <xf numFmtId="4" fontId="1" fillId="0" borderId="4" xfId="0" applyNumberFormat="1" applyFont="1" applyBorder="1" applyAlignment="1" applyProtection="1">
      <alignment horizontal="right" vertical="center" wrapText="1"/>
      <protection locked="0"/>
    </xf>
    <xf numFmtId="0" fontId="0" fillId="0" borderId="4" xfId="0" applyBorder="1" applyAlignment="1">
      <alignment horizontal="left" vertical="center"/>
    </xf>
    <xf numFmtId="0" fontId="0" fillId="0" borderId="19" xfId="0" applyBorder="1" applyAlignment="1">
      <alignment horizontal="center"/>
    </xf>
    <xf numFmtId="2" fontId="1" fillId="0" borderId="4" xfId="0" applyNumberFormat="1" applyFont="1" applyBorder="1" applyAlignment="1" applyProtection="1">
      <alignment horizontal="right" vertical="center" wrapText="1"/>
      <protection locked="0"/>
    </xf>
    <xf numFmtId="2" fontId="13" fillId="0" borderId="18" xfId="0" applyNumberFormat="1" applyFont="1" applyBorder="1" applyAlignment="1" applyProtection="1">
      <alignment horizontal="right" vertical="center" wrapText="1"/>
      <protection locked="0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vertical="center"/>
    </xf>
    <xf numFmtId="178" fontId="0" fillId="0" borderId="4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4" fontId="13" fillId="0" borderId="4" xfId="0" applyNumberFormat="1" applyFont="1" applyBorder="1" applyAlignment="1" applyProtection="1">
      <alignment horizontal="right" vertical="center" wrapText="1"/>
      <protection locked="0"/>
    </xf>
    <xf numFmtId="2" fontId="13" fillId="0" borderId="4" xfId="0" applyNumberFormat="1" applyFont="1" applyBorder="1" applyAlignment="1" applyProtection="1">
      <alignment horizontal="right" vertical="center" wrapText="1"/>
      <protection locked="0"/>
    </xf>
    <xf numFmtId="0" fontId="0" fillId="0" borderId="0" xfId="0" applyAlignment="1">
      <alignment horizontal="center" vertical="center"/>
    </xf>
    <xf numFmtId="179" fontId="0" fillId="0" borderId="0" xfId="0" applyNumberFormat="1" applyBorder="1"/>
    <xf numFmtId="179" fontId="14" fillId="0" borderId="0" xfId="0" applyNumberFormat="1" applyFont="1" applyBorder="1"/>
    <xf numFmtId="41" fontId="0" fillId="0" borderId="0" xfId="8" applyNumberFormat="1" applyFont="1" applyAlignment="1">
      <alignment vertical="center"/>
    </xf>
    <xf numFmtId="41" fontId="0" fillId="0" borderId="0" xfId="8" applyNumberFormat="1" applyFont="1" applyAlignment="1"/>
    <xf numFmtId="41" fontId="15" fillId="0" borderId="0" xfId="8" applyNumberFormat="1" applyFont="1" applyBorder="1" applyAlignment="1">
      <alignment horizontal="center" vertical="center" wrapText="1"/>
    </xf>
    <xf numFmtId="41" fontId="15" fillId="0" borderId="0" xfId="8" applyNumberFormat="1" applyFont="1" applyBorder="1" applyAlignment="1">
      <alignment horizontal="center" vertical="center"/>
    </xf>
    <xf numFmtId="41" fontId="4" fillId="0" borderId="1" xfId="8" applyNumberFormat="1" applyFont="1" applyBorder="1" applyAlignment="1">
      <alignment horizontal="center" vertical="center"/>
    </xf>
    <xf numFmtId="41" fontId="4" fillId="0" borderId="3" xfId="8" applyNumberFormat="1" applyFont="1" applyBorder="1" applyAlignment="1">
      <alignment horizontal="center" vertical="center"/>
    </xf>
    <xf numFmtId="41" fontId="4" fillId="0" borderId="4" xfId="8" applyNumberFormat="1" applyFont="1" applyBorder="1" applyAlignment="1">
      <alignment horizontal="center"/>
    </xf>
    <xf numFmtId="41" fontId="4" fillId="0" borderId="4" xfId="8" applyNumberFormat="1" applyFont="1" applyBorder="1" applyAlignment="1"/>
    <xf numFmtId="41" fontId="4" fillId="0" borderId="4" xfId="8" applyNumberFormat="1" applyFont="1" applyFill="1" applyBorder="1" applyAlignment="1">
      <alignment horizontal="center"/>
    </xf>
    <xf numFmtId="41" fontId="4" fillId="0" borderId="12" xfId="8" applyNumberFormat="1" applyFont="1" applyBorder="1" applyAlignment="1">
      <alignment horizontal="center" vertical="center"/>
    </xf>
    <xf numFmtId="41" fontId="4" fillId="0" borderId="5" xfId="8" applyNumberFormat="1" applyFont="1" applyFill="1" applyBorder="1" applyAlignment="1">
      <alignment horizontal="center"/>
    </xf>
    <xf numFmtId="41" fontId="4" fillId="0" borderId="5" xfId="8" applyNumberFormat="1" applyFont="1" applyBorder="1" applyAlignment="1"/>
    <xf numFmtId="41" fontId="4" fillId="0" borderId="5" xfId="8" applyNumberFormat="1" applyFont="1" applyBorder="1" applyAlignment="1">
      <alignment horizontal="right"/>
    </xf>
    <xf numFmtId="41" fontId="4" fillId="0" borderId="6" xfId="8" applyNumberFormat="1" applyFont="1" applyBorder="1" applyAlignment="1">
      <alignment horizontal="center" vertical="center"/>
    </xf>
    <xf numFmtId="41" fontId="16" fillId="0" borderId="7" xfId="8" applyNumberFormat="1" applyFont="1" applyBorder="1" applyAlignment="1">
      <alignment horizontal="center" vertical="center"/>
    </xf>
    <xf numFmtId="41" fontId="16" fillId="0" borderId="7" xfId="8" applyNumberFormat="1" applyFont="1" applyBorder="1" applyAlignment="1"/>
    <xf numFmtId="41" fontId="16" fillId="0" borderId="7" xfId="8" applyNumberFormat="1" applyFont="1" applyBorder="1" applyAlignment="1">
      <alignment horizontal="right"/>
    </xf>
    <xf numFmtId="41" fontId="4" fillId="0" borderId="2" xfId="8" applyNumberFormat="1" applyFont="1" applyBorder="1" applyAlignment="1">
      <alignment horizontal="center"/>
    </xf>
    <xf numFmtId="41" fontId="4" fillId="0" borderId="2" xfId="8" applyNumberFormat="1" applyFont="1" applyBorder="1" applyAlignment="1"/>
    <xf numFmtId="41" fontId="4" fillId="0" borderId="7" xfId="8" applyNumberFormat="1" applyFont="1" applyBorder="1" applyAlignment="1">
      <alignment horizontal="center" vertical="center"/>
    </xf>
    <xf numFmtId="41" fontId="4" fillId="0" borderId="7" xfId="8" applyNumberFormat="1" applyFont="1" applyBorder="1" applyAlignment="1"/>
    <xf numFmtId="41" fontId="4" fillId="0" borderId="17" xfId="8" applyNumberFormat="1" applyFont="1" applyBorder="1" applyAlignment="1"/>
    <xf numFmtId="41" fontId="4" fillId="0" borderId="20" xfId="8" applyNumberFormat="1" applyFont="1" applyBorder="1" applyAlignment="1">
      <alignment horizontal="center" vertical="center"/>
    </xf>
    <xf numFmtId="41" fontId="4" fillId="0" borderId="21" xfId="8" applyNumberFormat="1" applyFont="1" applyBorder="1" applyAlignment="1">
      <alignment horizontal="center"/>
    </xf>
    <xf numFmtId="41" fontId="4" fillId="0" borderId="21" xfId="8" applyNumberFormat="1" applyFont="1" applyBorder="1" applyAlignment="1"/>
    <xf numFmtId="41" fontId="4" fillId="0" borderId="13" xfId="8" applyNumberFormat="1" applyFont="1" applyBorder="1" applyAlignment="1">
      <alignment horizontal="right"/>
    </xf>
    <xf numFmtId="41" fontId="16" fillId="0" borderId="17" xfId="8" applyNumberFormat="1" applyFont="1" applyBorder="1" applyAlignment="1">
      <alignment horizontal="right"/>
    </xf>
    <xf numFmtId="41" fontId="4" fillId="2" borderId="2" xfId="8" applyNumberFormat="1" applyFont="1" applyFill="1" applyBorder="1" applyAlignment="1"/>
    <xf numFmtId="41" fontId="4" fillId="0" borderId="2" xfId="8" applyNumberFormat="1" applyFont="1" applyFill="1" applyBorder="1" applyAlignment="1">
      <alignment horizontal="right"/>
    </xf>
    <xf numFmtId="41" fontId="4" fillId="0" borderId="2" xfId="8" applyNumberFormat="1" applyFont="1" applyBorder="1" applyAlignment="1">
      <alignment horizontal="right"/>
    </xf>
    <xf numFmtId="41" fontId="2" fillId="0" borderId="4" xfId="8" applyNumberFormat="1" applyFont="1" applyBorder="1" applyAlignment="1">
      <alignment horizontal="center" vertical="center"/>
    </xf>
    <xf numFmtId="41" fontId="2" fillId="0" borderId="9" xfId="8" applyNumberFormat="1" applyFont="1" applyBorder="1" applyAlignment="1">
      <alignment horizontal="center" vertical="center"/>
    </xf>
    <xf numFmtId="41" fontId="4" fillId="2" borderId="4" xfId="8" applyNumberFormat="1" applyFont="1" applyFill="1" applyBorder="1" applyAlignment="1"/>
    <xf numFmtId="41" fontId="4" fillId="0" borderId="4" xfId="8" applyNumberFormat="1" applyFont="1" applyFill="1" applyBorder="1" applyAlignment="1">
      <alignment horizontal="right"/>
    </xf>
    <xf numFmtId="41" fontId="4" fillId="0" borderId="9" xfId="8" applyNumberFormat="1" applyFont="1" applyBorder="1" applyAlignment="1"/>
    <xf numFmtId="41" fontId="2" fillId="0" borderId="4" xfId="8" applyNumberFormat="1" applyFont="1" applyFill="1" applyBorder="1" applyAlignment="1">
      <alignment horizontal="center" vertical="center"/>
    </xf>
    <xf numFmtId="177" fontId="4" fillId="2" borderId="4" xfId="8" applyNumberFormat="1" applyFont="1" applyFill="1" applyBorder="1" applyAlignment="1"/>
    <xf numFmtId="177" fontId="4" fillId="0" borderId="4" xfId="8" applyNumberFormat="1" applyFont="1" applyFill="1" applyBorder="1" applyAlignment="1"/>
    <xf numFmtId="177" fontId="4" fillId="0" borderId="5" xfId="8" applyNumberFormat="1" applyFont="1" applyBorder="1" applyAlignment="1"/>
    <xf numFmtId="177" fontId="4" fillId="0" borderId="5" xfId="8" applyNumberFormat="1" applyFont="1" applyFill="1" applyBorder="1" applyAlignment="1"/>
    <xf numFmtId="177" fontId="4" fillId="0" borderId="5" xfId="8" applyNumberFormat="1" applyFont="1" applyBorder="1" applyAlignment="1">
      <alignment horizontal="right"/>
    </xf>
    <xf numFmtId="177" fontId="4" fillId="0" borderId="13" xfId="8" applyNumberFormat="1" applyFont="1" applyBorder="1" applyAlignment="1"/>
    <xf numFmtId="41" fontId="2" fillId="0" borderId="5" xfId="8" applyNumberFormat="1" applyFont="1" applyBorder="1" applyAlignment="1">
      <alignment horizontal="center" vertical="center"/>
    </xf>
    <xf numFmtId="41" fontId="2" fillId="0" borderId="13" xfId="8" applyNumberFormat="1" applyFont="1" applyBorder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5" xfId="51"/>
    <cellStyle name="千位分隔 2 2" xf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C2:P32"/>
  <sheetViews>
    <sheetView tabSelected="1" topLeftCell="B1" workbookViewId="0">
      <pane xSplit="4" ySplit="12" topLeftCell="F13" activePane="bottomRight" state="frozen"/>
      <selection/>
      <selection pane="topRight"/>
      <selection pane="bottomLeft"/>
      <selection pane="bottomRight" activeCell="G19" sqref="G19"/>
    </sheetView>
  </sheetViews>
  <sheetFormatPr defaultColWidth="9" defaultRowHeight="13.5"/>
  <cols>
    <col min="2" max="2" width="14.125" customWidth="1"/>
    <col min="3" max="3" width="7.375" style="134" customWidth="1"/>
    <col min="4" max="4" width="9.125" style="134" customWidth="1"/>
    <col min="5" max="5" width="20.625" style="135" customWidth="1"/>
    <col min="6" max="11" width="12.875" style="135" customWidth="1"/>
    <col min="12" max="12" width="18.5" style="135" customWidth="1"/>
    <col min="13" max="13" width="18.25" style="135" customWidth="1"/>
    <col min="14" max="14" width="16.375" style="135" customWidth="1"/>
    <col min="15" max="15" width="17.25" style="135" customWidth="1"/>
    <col min="16" max="16" width="17" style="135" customWidth="1"/>
    <col min="18" max="18" width="16" customWidth="1"/>
    <col min="19" max="19" width="10.625" customWidth="1"/>
    <col min="20" max="20" width="11.5" customWidth="1"/>
    <col min="21" max="21" width="13.75" customWidth="1"/>
  </cols>
  <sheetData>
    <row r="2" ht="45.75" customHeight="1" spans="3:15">
      <c r="C2" s="136" t="s">
        <v>0</v>
      </c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</row>
    <row r="3" s="131" customFormat="1" ht="20.1" customHeight="1" spans="3:16">
      <c r="C3" s="138"/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4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26" t="s">
        <v>13</v>
      </c>
    </row>
    <row r="4" s="132" customFormat="1" ht="20.1" customHeight="1" spans="3:16">
      <c r="C4" s="139" t="s">
        <v>14</v>
      </c>
      <c r="D4" s="140">
        <v>1</v>
      </c>
      <c r="E4" s="141" t="s">
        <v>15</v>
      </c>
      <c r="F4" s="27">
        <f t="shared" ref="F4:F11" si="0">F13+F23</f>
        <v>16960.8081588868</v>
      </c>
      <c r="G4" s="27">
        <f t="shared" ref="G4:G11" si="1">G13+G23</f>
        <v>0</v>
      </c>
      <c r="H4" s="27">
        <f t="shared" ref="H4:P4" si="2">H13+H23</f>
        <v>6390.062083</v>
      </c>
      <c r="I4" s="27">
        <f t="shared" si="2"/>
        <v>4793.62607588679</v>
      </c>
      <c r="J4" s="27">
        <f t="shared" si="2"/>
        <v>4812.75</v>
      </c>
      <c r="K4" s="27">
        <f t="shared" si="2"/>
        <v>177.97</v>
      </c>
      <c r="L4" s="27">
        <f t="shared" si="2"/>
        <v>186.4</v>
      </c>
      <c r="M4" s="27">
        <f t="shared" si="2"/>
        <v>0</v>
      </c>
      <c r="N4" s="27">
        <f t="shared" si="2"/>
        <v>0</v>
      </c>
      <c r="O4" s="27">
        <f t="shared" si="2"/>
        <v>600</v>
      </c>
      <c r="P4" s="28">
        <f t="shared" si="2"/>
        <v>0</v>
      </c>
    </row>
    <row r="5" s="132" customFormat="1" ht="20.1" customHeight="1" spans="3:16">
      <c r="C5" s="139"/>
      <c r="D5" s="140">
        <v>2</v>
      </c>
      <c r="E5" s="141" t="s">
        <v>16</v>
      </c>
      <c r="F5" s="27">
        <f t="shared" si="0"/>
        <v>49572.356181</v>
      </c>
      <c r="G5" s="27">
        <f t="shared" si="1"/>
        <v>0</v>
      </c>
      <c r="H5" s="27">
        <f t="shared" ref="H5:P5" si="3">H14+H24</f>
        <v>6935.472558</v>
      </c>
      <c r="I5" s="27">
        <f t="shared" si="3"/>
        <v>2470.463774</v>
      </c>
      <c r="J5" s="27">
        <f t="shared" si="3"/>
        <v>12025.29</v>
      </c>
      <c r="K5" s="27">
        <f t="shared" si="3"/>
        <v>9393.240449</v>
      </c>
      <c r="L5" s="27">
        <f t="shared" si="3"/>
        <v>4021.824487</v>
      </c>
      <c r="M5" s="27">
        <f t="shared" si="3"/>
        <v>5318.504602</v>
      </c>
      <c r="N5" s="27">
        <f t="shared" si="3"/>
        <v>5533.333334</v>
      </c>
      <c r="O5" s="27">
        <f t="shared" si="3"/>
        <v>1711.946977</v>
      </c>
      <c r="P5" s="28">
        <f t="shared" si="3"/>
        <v>2162.28</v>
      </c>
    </row>
    <row r="6" s="132" customFormat="1" ht="20.1" customHeight="1" spans="3:16">
      <c r="C6" s="139"/>
      <c r="D6" s="140">
        <v>3</v>
      </c>
      <c r="E6" s="141" t="s">
        <v>17</v>
      </c>
      <c r="F6" s="27">
        <f t="shared" si="0"/>
        <v>18263.215369</v>
      </c>
      <c r="G6" s="27">
        <f t="shared" si="1"/>
        <v>346.22</v>
      </c>
      <c r="H6" s="27">
        <f t="shared" ref="H6:P6" si="4">H15+H25</f>
        <v>-772.817291</v>
      </c>
      <c r="I6" s="27">
        <f t="shared" si="4"/>
        <v>12176.22266</v>
      </c>
      <c r="J6" s="27">
        <f t="shared" si="4"/>
        <v>2642.48</v>
      </c>
      <c r="K6" s="27">
        <f t="shared" si="4"/>
        <v>1959.7</v>
      </c>
      <c r="L6" s="27">
        <f t="shared" si="4"/>
        <v>9</v>
      </c>
      <c r="M6" s="27">
        <f t="shared" si="4"/>
        <v>11</v>
      </c>
      <c r="N6" s="27">
        <f t="shared" si="4"/>
        <v>2217.36</v>
      </c>
      <c r="O6" s="27">
        <f t="shared" si="4"/>
        <v>0</v>
      </c>
      <c r="P6" s="28">
        <f t="shared" si="4"/>
        <v>20.27</v>
      </c>
    </row>
    <row r="7" s="132" customFormat="1" ht="20.1" customHeight="1" spans="3:16">
      <c r="C7" s="139"/>
      <c r="D7" s="142">
        <v>4</v>
      </c>
      <c r="E7" s="141" t="s">
        <v>18</v>
      </c>
      <c r="F7" s="27">
        <f t="shared" si="0"/>
        <v>133909.250656</v>
      </c>
      <c r="G7" s="27">
        <f t="shared" si="1"/>
        <v>0</v>
      </c>
      <c r="H7" s="27">
        <f t="shared" ref="H7:P7" si="5">H16+H26</f>
        <v>12933.804</v>
      </c>
      <c r="I7" s="27">
        <f t="shared" si="5"/>
        <v>63013.019639</v>
      </c>
      <c r="J7" s="27">
        <f t="shared" si="5"/>
        <v>23028.5817</v>
      </c>
      <c r="K7" s="27">
        <f t="shared" si="5"/>
        <v>7061.565417</v>
      </c>
      <c r="L7" s="27">
        <f t="shared" si="5"/>
        <v>4278.8013</v>
      </c>
      <c r="M7" s="27">
        <f t="shared" si="5"/>
        <v>11251.9386</v>
      </c>
      <c r="N7" s="27">
        <f t="shared" si="5"/>
        <v>722.6</v>
      </c>
      <c r="O7" s="27">
        <f t="shared" si="5"/>
        <v>10898.94</v>
      </c>
      <c r="P7" s="28">
        <f t="shared" si="5"/>
        <v>720</v>
      </c>
    </row>
    <row r="8" s="132" customFormat="1" ht="20.1" customHeight="1" spans="3:16">
      <c r="C8" s="139"/>
      <c r="D8" s="142">
        <v>5</v>
      </c>
      <c r="E8" s="141" t="s">
        <v>19</v>
      </c>
      <c r="F8" s="27">
        <f t="shared" si="0"/>
        <v>49836.331781</v>
      </c>
      <c r="G8" s="27">
        <f t="shared" si="1"/>
        <v>0</v>
      </c>
      <c r="H8" s="27">
        <f t="shared" ref="H8:P8" si="6">H17+H27</f>
        <v>52744.14</v>
      </c>
      <c r="I8" s="27">
        <f t="shared" si="6"/>
        <v>1417.79</v>
      </c>
      <c r="J8" s="27">
        <f t="shared" si="6"/>
        <v>-13929.6</v>
      </c>
      <c r="K8" s="27">
        <f t="shared" si="6"/>
        <v>9517.571781</v>
      </c>
      <c r="L8" s="27">
        <f t="shared" si="6"/>
        <v>1143.53</v>
      </c>
      <c r="M8" s="27">
        <f t="shared" si="6"/>
        <v>0</v>
      </c>
      <c r="N8" s="27">
        <f t="shared" si="6"/>
        <v>-445</v>
      </c>
      <c r="O8" s="27">
        <f t="shared" si="6"/>
        <v>-612.1</v>
      </c>
      <c r="P8" s="28">
        <f t="shared" si="6"/>
        <v>0</v>
      </c>
    </row>
    <row r="9" s="132" customFormat="1" ht="20.1" customHeight="1" spans="3:16">
      <c r="C9" s="139"/>
      <c r="D9" s="142">
        <v>6</v>
      </c>
      <c r="E9" s="141" t="s">
        <v>20</v>
      </c>
      <c r="F9" s="27">
        <f t="shared" si="0"/>
        <v>15447.389244</v>
      </c>
      <c r="G9" s="27">
        <f t="shared" si="1"/>
        <v>500</v>
      </c>
      <c r="H9" s="27">
        <f t="shared" ref="H9:P9" si="7">H18+H28</f>
        <v>588.3</v>
      </c>
      <c r="I9" s="27">
        <f t="shared" si="7"/>
        <v>5131.44</v>
      </c>
      <c r="J9" s="27">
        <f t="shared" si="7"/>
        <v>38.749244</v>
      </c>
      <c r="K9" s="27">
        <f t="shared" si="7"/>
        <v>20</v>
      </c>
      <c r="L9" s="27">
        <f t="shared" si="7"/>
        <v>0</v>
      </c>
      <c r="M9" s="27">
        <f t="shared" si="7"/>
        <v>6162.07</v>
      </c>
      <c r="N9" s="27">
        <f t="shared" si="7"/>
        <v>0.489999999999782</v>
      </c>
      <c r="O9" s="27">
        <f t="shared" si="7"/>
        <v>2389</v>
      </c>
      <c r="P9" s="28">
        <f t="shared" si="7"/>
        <v>1117.34</v>
      </c>
    </row>
    <row r="10" s="132" customFormat="1" ht="20.1" customHeight="1" spans="3:16">
      <c r="C10" s="139"/>
      <c r="D10" s="142">
        <v>7</v>
      </c>
      <c r="E10" s="141" t="s">
        <v>21</v>
      </c>
      <c r="F10" s="27">
        <f t="shared" si="0"/>
        <v>103928.159425</v>
      </c>
      <c r="G10" s="27">
        <f t="shared" si="1"/>
        <v>0</v>
      </c>
      <c r="H10" s="27">
        <f t="shared" ref="H10:P10" si="8">H19+H29</f>
        <v>45.58</v>
      </c>
      <c r="I10" s="27">
        <f t="shared" si="8"/>
        <v>17535.525711</v>
      </c>
      <c r="J10" s="27">
        <f t="shared" si="8"/>
        <v>0</v>
      </c>
      <c r="K10" s="27">
        <f t="shared" si="8"/>
        <v>1308.9</v>
      </c>
      <c r="L10" s="27">
        <f t="shared" si="8"/>
        <v>116.85</v>
      </c>
      <c r="M10" s="27">
        <f t="shared" si="8"/>
        <v>66868.413714</v>
      </c>
      <c r="N10" s="27">
        <f t="shared" si="8"/>
        <v>18052.89</v>
      </c>
      <c r="O10" s="27">
        <f t="shared" si="8"/>
        <v>0</v>
      </c>
      <c r="P10" s="28">
        <f t="shared" si="8"/>
        <v>0</v>
      </c>
    </row>
    <row r="11" s="132" customFormat="1" ht="20.1" customHeight="1" spans="3:16">
      <c r="C11" s="143"/>
      <c r="D11" s="144">
        <v>8</v>
      </c>
      <c r="E11" s="145" t="s">
        <v>22</v>
      </c>
      <c r="F11" s="146">
        <f t="shared" si="0"/>
        <v>1223.91811</v>
      </c>
      <c r="G11" s="146">
        <f t="shared" si="1"/>
        <v>0</v>
      </c>
      <c r="H11" s="146">
        <f t="shared" ref="H11:P11" si="9">H20+H30</f>
        <v>277.534166</v>
      </c>
      <c r="I11" s="146">
        <f t="shared" si="9"/>
        <v>254.645944</v>
      </c>
      <c r="J11" s="146">
        <f t="shared" si="9"/>
        <v>0</v>
      </c>
      <c r="K11" s="146">
        <f t="shared" si="9"/>
        <v>0</v>
      </c>
      <c r="L11" s="146">
        <f t="shared" si="9"/>
        <v>0</v>
      </c>
      <c r="M11" s="146">
        <f t="shared" si="9"/>
        <v>0</v>
      </c>
      <c r="N11" s="146">
        <f t="shared" si="9"/>
        <v>0</v>
      </c>
      <c r="O11" s="146">
        <f t="shared" si="9"/>
        <v>294.018</v>
      </c>
      <c r="P11" s="159">
        <f t="shared" si="9"/>
        <v>397.72</v>
      </c>
    </row>
    <row r="12" s="133" customFormat="1" ht="20.1" customHeight="1" spans="3:16">
      <c r="C12" s="147"/>
      <c r="D12" s="148"/>
      <c r="E12" s="149" t="s">
        <v>23</v>
      </c>
      <c r="F12" s="150">
        <f>F22+F32</f>
        <v>390618.178924887</v>
      </c>
      <c r="G12" s="150">
        <f>G22+G32</f>
        <v>846.22</v>
      </c>
      <c r="H12" s="150">
        <f t="shared" ref="H12:P12" si="10">H22+H32</f>
        <v>79142.075516</v>
      </c>
      <c r="I12" s="150">
        <f t="shared" si="10"/>
        <v>106792.733803887</v>
      </c>
      <c r="J12" s="150">
        <f t="shared" si="10"/>
        <v>29439.950944</v>
      </c>
      <c r="K12" s="150">
        <f t="shared" si="10"/>
        <v>29438.947647</v>
      </c>
      <c r="L12" s="150">
        <f t="shared" si="10"/>
        <v>10270.655787</v>
      </c>
      <c r="M12" s="150">
        <f t="shared" si="10"/>
        <v>89611.926916</v>
      </c>
      <c r="N12" s="150">
        <f t="shared" si="10"/>
        <v>26081.673334</v>
      </c>
      <c r="O12" s="150">
        <f t="shared" si="10"/>
        <v>15281.804977</v>
      </c>
      <c r="P12" s="160">
        <f t="shared" si="10"/>
        <v>4559.11</v>
      </c>
    </row>
    <row r="13" s="132" customFormat="1" ht="20.1" customHeight="1" spans="3:16">
      <c r="C13" s="138" t="s">
        <v>24</v>
      </c>
      <c r="D13" s="151">
        <v>1</v>
      </c>
      <c r="E13" s="152" t="s">
        <v>15</v>
      </c>
      <c r="F13" s="152">
        <f t="shared" ref="F13:F30" si="11">SUM(H13:P13)</f>
        <v>16960.8081588868</v>
      </c>
      <c r="G13" s="152">
        <f>担保明细!E13</f>
        <v>0</v>
      </c>
      <c r="H13" s="152">
        <f>担保明细!F13</f>
        <v>6390.062083</v>
      </c>
      <c r="I13" s="161">
        <f>担保明细!G13</f>
        <v>4793.62607588679</v>
      </c>
      <c r="J13" s="162">
        <v>4812.75</v>
      </c>
      <c r="K13" s="163">
        <f>188.47-10.5</f>
        <v>177.97</v>
      </c>
      <c r="L13" s="163">
        <v>186.4</v>
      </c>
      <c r="M13" s="164">
        <v>0</v>
      </c>
      <c r="N13" s="164">
        <v>0</v>
      </c>
      <c r="O13" s="163">
        <v>600</v>
      </c>
      <c r="P13" s="165">
        <v>0</v>
      </c>
    </row>
    <row r="14" s="132" customFormat="1" ht="20.1" customHeight="1" spans="3:16">
      <c r="C14" s="139"/>
      <c r="D14" s="140">
        <v>2</v>
      </c>
      <c r="E14" s="141" t="s">
        <v>16</v>
      </c>
      <c r="F14" s="141">
        <f t="shared" si="11"/>
        <v>44185.736181</v>
      </c>
      <c r="G14" s="141">
        <f>利息明细!F25</f>
        <v>0</v>
      </c>
      <c r="H14" s="141">
        <f>利息明细!G25</f>
        <v>6935.472558</v>
      </c>
      <c r="I14" s="166">
        <f>利息明细!H25</f>
        <v>2470.463774</v>
      </c>
      <c r="J14" s="167">
        <v>12025.29</v>
      </c>
      <c r="K14" s="27">
        <f>9606.540449-133-80.3</f>
        <v>9393.240449</v>
      </c>
      <c r="L14" s="27">
        <v>2670.574487</v>
      </c>
      <c r="M14" s="27">
        <f>1283.134602</f>
        <v>1283.134602</v>
      </c>
      <c r="N14" s="27">
        <v>5533.333334</v>
      </c>
      <c r="O14" s="27">
        <v>1711.946977</v>
      </c>
      <c r="P14" s="168">
        <v>2162.28</v>
      </c>
    </row>
    <row r="15" s="132" customFormat="1" ht="20.1" customHeight="1" spans="3:16">
      <c r="C15" s="139"/>
      <c r="D15" s="140">
        <v>3</v>
      </c>
      <c r="E15" s="141" t="s">
        <v>25</v>
      </c>
      <c r="F15" s="141">
        <f t="shared" si="11"/>
        <v>18263.215369</v>
      </c>
      <c r="G15" s="141">
        <f>管理费收入!D17</f>
        <v>346.22</v>
      </c>
      <c r="H15" s="141">
        <f>管理费收入!E17</f>
        <v>-772.817291</v>
      </c>
      <c r="I15" s="166">
        <f>管理费收入!F17</f>
        <v>12176.22266</v>
      </c>
      <c r="J15" s="167">
        <v>2642.48</v>
      </c>
      <c r="K15" s="27">
        <f>管理费收入!H17</f>
        <v>1959.7</v>
      </c>
      <c r="L15" s="164">
        <f>6.5+2.5</f>
        <v>9</v>
      </c>
      <c r="M15" s="164">
        <v>11</v>
      </c>
      <c r="N15" s="27">
        <f>1922-56+339.36+12</f>
        <v>2217.36</v>
      </c>
      <c r="O15" s="27">
        <v>0</v>
      </c>
      <c r="P15" s="168">
        <v>20.27</v>
      </c>
    </row>
    <row r="16" s="132" customFormat="1" ht="20.1" customHeight="1" spans="3:16">
      <c r="C16" s="139"/>
      <c r="D16" s="142">
        <v>4</v>
      </c>
      <c r="E16" s="141" t="s">
        <v>18</v>
      </c>
      <c r="F16" s="141">
        <f t="shared" si="11"/>
        <v>18542.122106</v>
      </c>
      <c r="G16" s="141"/>
      <c r="H16" s="141">
        <f>分红明细!F10</f>
        <v>5983.804</v>
      </c>
      <c r="I16" s="166">
        <f>分红明细!G10</f>
        <v>5422.019639</v>
      </c>
      <c r="J16" s="167">
        <v>298.29</v>
      </c>
      <c r="K16" s="27">
        <v>3285.357267</v>
      </c>
      <c r="L16" s="27">
        <v>1266.2512</v>
      </c>
      <c r="M16" s="27">
        <v>123.8</v>
      </c>
      <c r="N16" s="27">
        <v>722.6</v>
      </c>
      <c r="O16" s="27">
        <v>720</v>
      </c>
      <c r="P16" s="168">
        <v>720</v>
      </c>
    </row>
    <row r="17" s="132" customFormat="1" ht="20.1" customHeight="1" spans="3:16">
      <c r="C17" s="139"/>
      <c r="D17" s="142">
        <v>5</v>
      </c>
      <c r="E17" s="141" t="s">
        <v>19</v>
      </c>
      <c r="F17" s="141">
        <f t="shared" si="11"/>
        <v>52822.081781</v>
      </c>
      <c r="G17" s="141"/>
      <c r="H17" s="141">
        <f>投资收益!F22</f>
        <v>56768.44</v>
      </c>
      <c r="I17" s="166">
        <f>投资收益!G22</f>
        <v>1417.79</v>
      </c>
      <c r="J17" s="167">
        <f>-1500+1131.25-10530-4542.02</f>
        <v>-15440.77</v>
      </c>
      <c r="K17" s="27">
        <f>投资收益!I22</f>
        <v>9517.571781</v>
      </c>
      <c r="L17" s="27">
        <v>1218.75</v>
      </c>
      <c r="M17" s="164">
        <v>0</v>
      </c>
      <c r="N17" s="27">
        <v>-47.6</v>
      </c>
      <c r="O17" s="27">
        <f>-566.38-45.72</f>
        <v>-612.1</v>
      </c>
      <c r="P17" s="165">
        <v>0</v>
      </c>
    </row>
    <row r="18" s="132" customFormat="1" ht="20.1" customHeight="1" spans="3:16">
      <c r="C18" s="139"/>
      <c r="D18" s="142">
        <v>6</v>
      </c>
      <c r="E18" s="141" t="s">
        <v>26</v>
      </c>
      <c r="F18" s="141">
        <f t="shared" si="11"/>
        <v>15447.389244</v>
      </c>
      <c r="G18" s="141">
        <v>500</v>
      </c>
      <c r="H18" s="141">
        <f>85.9+0.15+500+2.25</f>
        <v>588.3</v>
      </c>
      <c r="I18" s="166">
        <v>5131.44</v>
      </c>
      <c r="J18" s="167">
        <v>38.749244</v>
      </c>
      <c r="K18" s="164">
        <v>20</v>
      </c>
      <c r="L18" s="164">
        <v>0</v>
      </c>
      <c r="M18" s="27">
        <f>3072.07+3090</f>
        <v>6162.07</v>
      </c>
      <c r="N18" s="27">
        <f>3090.49-3090</f>
        <v>0.489999999999782</v>
      </c>
      <c r="O18" s="27">
        <v>2389</v>
      </c>
      <c r="P18" s="168">
        <v>1117.34</v>
      </c>
    </row>
    <row r="19" s="132" customFormat="1" ht="20.1" customHeight="1" spans="3:16">
      <c r="C19" s="139"/>
      <c r="D19" s="142">
        <v>7</v>
      </c>
      <c r="E19" s="141" t="s">
        <v>21</v>
      </c>
      <c r="F19" s="141">
        <f t="shared" si="11"/>
        <v>41404.309425</v>
      </c>
      <c r="G19" s="141"/>
      <c r="H19" s="141">
        <v>45.58</v>
      </c>
      <c r="I19" s="166">
        <v>17535.525711</v>
      </c>
      <c r="J19" s="169">
        <v>0</v>
      </c>
      <c r="K19" s="164">
        <v>1308.9</v>
      </c>
      <c r="L19" s="164">
        <v>116.85</v>
      </c>
      <c r="M19" s="27">
        <f>21816.123714+1308.9-1308.9</f>
        <v>21816.123714</v>
      </c>
      <c r="N19" s="27">
        <v>581.33</v>
      </c>
      <c r="O19" s="164">
        <v>0</v>
      </c>
      <c r="P19" s="165">
        <v>0</v>
      </c>
    </row>
    <row r="20" s="132" customFormat="1" ht="20.1" customHeight="1" spans="3:16">
      <c r="C20" s="143"/>
      <c r="D20" s="144">
        <v>8</v>
      </c>
      <c r="E20" s="145" t="s">
        <v>22</v>
      </c>
      <c r="F20" s="141">
        <f t="shared" si="11"/>
        <v>1223.91811</v>
      </c>
      <c r="G20" s="141"/>
      <c r="H20" s="141">
        <f>租金收入!D8</f>
        <v>277.534166</v>
      </c>
      <c r="I20" s="170">
        <f>租金收入!E8</f>
        <v>254.645944</v>
      </c>
      <c r="J20" s="171"/>
      <c r="K20" s="77"/>
      <c r="L20" s="77"/>
      <c r="M20" s="77"/>
      <c r="N20" s="77"/>
      <c r="O20" s="82">
        <v>294.018</v>
      </c>
      <c r="P20" s="83">
        <v>397.72</v>
      </c>
    </row>
    <row r="21" s="132" customFormat="1" ht="20.1" customHeight="1" spans="3:16">
      <c r="C21" s="143"/>
      <c r="D21" s="144"/>
      <c r="E21" s="145" t="s">
        <v>27</v>
      </c>
      <c r="F21" s="141">
        <f t="shared" si="11"/>
        <v>1476.75</v>
      </c>
      <c r="G21" s="145"/>
      <c r="H21" s="145"/>
      <c r="I21" s="172"/>
      <c r="J21" s="173">
        <f>685+136</f>
        <v>821</v>
      </c>
      <c r="K21" s="172"/>
      <c r="L21" s="172">
        <v>514.25</v>
      </c>
      <c r="M21" s="172"/>
      <c r="N21" s="172"/>
      <c r="O21" s="174"/>
      <c r="P21" s="175">
        <v>141.5</v>
      </c>
    </row>
    <row r="22" s="132" customFormat="1" ht="20.1" customHeight="1" spans="3:16">
      <c r="C22" s="147"/>
      <c r="D22" s="153"/>
      <c r="E22" s="154" t="s">
        <v>28</v>
      </c>
      <c r="F22" s="155">
        <f>SUM(F13:F21)</f>
        <v>210326.330374887</v>
      </c>
      <c r="G22" s="155">
        <f>SUM(G13:G21)</f>
        <v>846.22</v>
      </c>
      <c r="H22" s="155">
        <f>SUM(H13:H21)</f>
        <v>76216.375516</v>
      </c>
      <c r="I22" s="155">
        <f>SUM(I13:I21)</f>
        <v>49201.7338038868</v>
      </c>
      <c r="J22" s="155">
        <f t="shared" ref="J22:P22" si="12">SUM(J13:J21)</f>
        <v>5197.789244</v>
      </c>
      <c r="K22" s="155">
        <f t="shared" si="12"/>
        <v>25662.739497</v>
      </c>
      <c r="L22" s="155">
        <f t="shared" si="12"/>
        <v>5982.075687</v>
      </c>
      <c r="M22" s="155">
        <f t="shared" si="12"/>
        <v>29396.128316</v>
      </c>
      <c r="N22" s="155">
        <f t="shared" si="12"/>
        <v>9007.513334</v>
      </c>
      <c r="O22" s="155">
        <f t="shared" si="12"/>
        <v>5102.864977</v>
      </c>
      <c r="P22" s="155">
        <f t="shared" si="12"/>
        <v>4559.11</v>
      </c>
    </row>
    <row r="23" s="132" customFormat="1" ht="20.1" customHeight="1" spans="3:16">
      <c r="C23" s="156" t="s">
        <v>29</v>
      </c>
      <c r="D23" s="157">
        <v>1</v>
      </c>
      <c r="E23" s="158" t="s">
        <v>15</v>
      </c>
      <c r="F23" s="141">
        <f t="shared" si="11"/>
        <v>0</v>
      </c>
      <c r="G23" s="158"/>
      <c r="H23" s="158"/>
      <c r="I23" s="164">
        <v>0</v>
      </c>
      <c r="J23" s="164">
        <v>0</v>
      </c>
      <c r="K23" s="164">
        <v>0</v>
      </c>
      <c r="L23" s="164">
        <v>0</v>
      </c>
      <c r="M23" s="164">
        <v>0</v>
      </c>
      <c r="N23" s="164">
        <v>0</v>
      </c>
      <c r="O23" s="164">
        <v>0</v>
      </c>
      <c r="P23" s="165">
        <v>0</v>
      </c>
    </row>
    <row r="24" s="132" customFormat="1" ht="20.1" customHeight="1" spans="3:16">
      <c r="C24" s="139"/>
      <c r="D24" s="140">
        <v>2</v>
      </c>
      <c r="E24" s="141" t="s">
        <v>16</v>
      </c>
      <c r="F24" s="141">
        <f t="shared" si="11"/>
        <v>5386.62</v>
      </c>
      <c r="G24" s="141"/>
      <c r="H24" s="141"/>
      <c r="I24" s="164">
        <v>0</v>
      </c>
      <c r="J24" s="164">
        <v>0</v>
      </c>
      <c r="K24" s="164">
        <v>0</v>
      </c>
      <c r="L24" s="27">
        <v>1351.25</v>
      </c>
      <c r="M24" s="27">
        <v>4035.37</v>
      </c>
      <c r="N24" s="164">
        <v>0</v>
      </c>
      <c r="O24" s="164">
        <v>0</v>
      </c>
      <c r="P24" s="165">
        <v>0</v>
      </c>
    </row>
    <row r="25" s="132" customFormat="1" ht="20.1" customHeight="1" spans="3:16">
      <c r="C25" s="139"/>
      <c r="D25" s="140">
        <v>3</v>
      </c>
      <c r="E25" s="141" t="s">
        <v>25</v>
      </c>
      <c r="F25" s="141">
        <f t="shared" si="11"/>
        <v>0</v>
      </c>
      <c r="G25" s="141"/>
      <c r="H25" s="141"/>
      <c r="I25" s="164">
        <v>0</v>
      </c>
      <c r="J25" s="164">
        <v>0</v>
      </c>
      <c r="K25" s="164">
        <v>0</v>
      </c>
      <c r="L25" s="164">
        <v>0</v>
      </c>
      <c r="M25" s="164">
        <v>0</v>
      </c>
      <c r="N25" s="164">
        <v>0</v>
      </c>
      <c r="O25" s="164">
        <v>0</v>
      </c>
      <c r="P25" s="165">
        <v>0</v>
      </c>
    </row>
    <row r="26" s="132" customFormat="1" ht="20.1" customHeight="1" spans="3:16">
      <c r="C26" s="139"/>
      <c r="D26" s="142">
        <v>4</v>
      </c>
      <c r="E26" s="141" t="s">
        <v>18</v>
      </c>
      <c r="F26" s="141">
        <f t="shared" si="11"/>
        <v>115367.12855</v>
      </c>
      <c r="G26" s="141"/>
      <c r="H26" s="141">
        <f>分红明细!F11</f>
        <v>6950</v>
      </c>
      <c r="I26" s="141">
        <f>分红明细!G11</f>
        <v>57591</v>
      </c>
      <c r="J26" s="27">
        <v>22730.2917</v>
      </c>
      <c r="K26" s="27">
        <v>3776.20815</v>
      </c>
      <c r="L26" s="27">
        <v>3012.5501</v>
      </c>
      <c r="M26" s="27">
        <f>3213.3868+7914.7518</f>
        <v>11128.1386</v>
      </c>
      <c r="N26" s="27">
        <f>7914.7518-7914.7518</f>
        <v>0</v>
      </c>
      <c r="O26" s="27">
        <v>10178.94</v>
      </c>
      <c r="P26" s="165">
        <v>0</v>
      </c>
    </row>
    <row r="27" s="132" customFormat="1" ht="20.1" customHeight="1" spans="3:16">
      <c r="C27" s="139"/>
      <c r="D27" s="142">
        <v>5</v>
      </c>
      <c r="E27" s="141" t="s">
        <v>19</v>
      </c>
      <c r="F27" s="141">
        <f t="shared" si="11"/>
        <v>-2985.75</v>
      </c>
      <c r="G27" s="141"/>
      <c r="H27" s="141">
        <f>投资收益!F23</f>
        <v>-4024.3</v>
      </c>
      <c r="I27" s="164">
        <v>0</v>
      </c>
      <c r="J27" s="164">
        <f>投资收益!H24</f>
        <v>1511.17</v>
      </c>
      <c r="K27" s="164">
        <v>0</v>
      </c>
      <c r="L27" s="27">
        <v>-75.22</v>
      </c>
      <c r="M27" s="164">
        <v>0</v>
      </c>
      <c r="N27" s="164">
        <v>-397.4</v>
      </c>
      <c r="O27" s="164">
        <v>0</v>
      </c>
      <c r="P27" s="165">
        <v>0</v>
      </c>
    </row>
    <row r="28" ht="20.1" customHeight="1" spans="3:16">
      <c r="C28" s="139"/>
      <c r="D28" s="142">
        <v>6</v>
      </c>
      <c r="E28" s="141" t="s">
        <v>26</v>
      </c>
      <c r="F28" s="141">
        <f t="shared" si="11"/>
        <v>0</v>
      </c>
      <c r="G28" s="141"/>
      <c r="H28" s="141"/>
      <c r="I28" s="164">
        <v>0</v>
      </c>
      <c r="J28" s="164">
        <v>0</v>
      </c>
      <c r="K28" s="164">
        <v>0</v>
      </c>
      <c r="L28" s="164">
        <v>0</v>
      </c>
      <c r="M28" s="164">
        <v>0</v>
      </c>
      <c r="N28" s="164">
        <v>0</v>
      </c>
      <c r="O28" s="164">
        <v>0</v>
      </c>
      <c r="P28" s="165">
        <v>0</v>
      </c>
    </row>
    <row r="29" ht="20.1" customHeight="1" spans="3:16">
      <c r="C29" s="139"/>
      <c r="D29" s="142">
        <v>7</v>
      </c>
      <c r="E29" s="141" t="s">
        <v>21</v>
      </c>
      <c r="F29" s="141">
        <f t="shared" si="11"/>
        <v>62523.85</v>
      </c>
      <c r="G29" s="141"/>
      <c r="H29" s="141"/>
      <c r="I29" s="164">
        <v>0</v>
      </c>
      <c r="J29" s="164">
        <v>0</v>
      </c>
      <c r="K29" s="164">
        <v>0</v>
      </c>
      <c r="L29" s="164">
        <v>0</v>
      </c>
      <c r="M29" s="27">
        <v>45052.29</v>
      </c>
      <c r="N29" s="27">
        <v>17471.56</v>
      </c>
      <c r="O29" s="164">
        <v>0</v>
      </c>
      <c r="P29" s="165">
        <v>0</v>
      </c>
    </row>
    <row r="30" ht="20.1" customHeight="1" spans="3:16">
      <c r="C30" s="143"/>
      <c r="D30" s="144">
        <v>8</v>
      </c>
      <c r="E30" s="145" t="s">
        <v>22</v>
      </c>
      <c r="F30" s="141">
        <f t="shared" si="11"/>
        <v>0</v>
      </c>
      <c r="G30" s="145"/>
      <c r="H30" s="145"/>
      <c r="I30" s="164">
        <v>0</v>
      </c>
      <c r="J30" s="164">
        <v>0</v>
      </c>
      <c r="K30" s="164">
        <v>0</v>
      </c>
      <c r="L30" s="164">
        <v>0</v>
      </c>
      <c r="M30" s="164">
        <v>0</v>
      </c>
      <c r="N30" s="164">
        <v>0</v>
      </c>
      <c r="O30" s="164">
        <v>0</v>
      </c>
      <c r="P30" s="165">
        <v>0</v>
      </c>
    </row>
    <row r="31" ht="20.1" customHeight="1" spans="3:16">
      <c r="C31" s="143"/>
      <c r="D31" s="144">
        <v>9</v>
      </c>
      <c r="E31" s="145" t="s">
        <v>27</v>
      </c>
      <c r="F31" s="145"/>
      <c r="G31" s="145"/>
      <c r="H31" s="145"/>
      <c r="I31" s="176"/>
      <c r="J31" s="176">
        <v>0.7</v>
      </c>
      <c r="K31" s="176"/>
      <c r="L31" s="176"/>
      <c r="M31" s="176"/>
      <c r="N31" s="176"/>
      <c r="O31" s="176"/>
      <c r="P31" s="177"/>
    </row>
    <row r="32" ht="20.1" customHeight="1" spans="3:16">
      <c r="C32" s="147"/>
      <c r="D32" s="153"/>
      <c r="E32" s="154" t="s">
        <v>28</v>
      </c>
      <c r="F32" s="154">
        <f>SUM(F23:F30)</f>
        <v>180291.84855</v>
      </c>
      <c r="G32" s="154"/>
      <c r="H32" s="154">
        <f>SUM(H23:H30)</f>
        <v>2925.7</v>
      </c>
      <c r="I32" s="154">
        <f t="shared" ref="I32:P32" si="13">SUM(I23:I30)</f>
        <v>57591</v>
      </c>
      <c r="J32" s="154">
        <f>SUM(J23:J31)</f>
        <v>24242.1617</v>
      </c>
      <c r="K32" s="154">
        <f t="shared" si="13"/>
        <v>3776.20815</v>
      </c>
      <c r="L32" s="154">
        <f t="shared" si="13"/>
        <v>4288.5801</v>
      </c>
      <c r="M32" s="154">
        <f t="shared" si="13"/>
        <v>60215.7986</v>
      </c>
      <c r="N32" s="154">
        <f t="shared" si="13"/>
        <v>17074.16</v>
      </c>
      <c r="O32" s="154">
        <f t="shared" si="13"/>
        <v>10178.94</v>
      </c>
      <c r="P32" s="155">
        <f t="shared" si="13"/>
        <v>0</v>
      </c>
    </row>
  </sheetData>
  <mergeCells count="4">
    <mergeCell ref="C2:O2"/>
    <mergeCell ref="C4:C12"/>
    <mergeCell ref="C13:C22"/>
    <mergeCell ref="C23:C32"/>
  </mergeCells>
  <printOptions horizontalCentered="1"/>
  <pageMargins left="0.708661417322835" right="0.708661417322835" top="0.748031496062992" bottom="0.748031496062992" header="0.31496062992126" footer="0.31496062992126"/>
  <pageSetup paperSize="9" scale="74" orientation="landscape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workbookViewId="0">
      <selection activeCell="D7" sqref="D7"/>
    </sheetView>
  </sheetViews>
  <sheetFormatPr defaultColWidth="9" defaultRowHeight="13.5" outlineLevelRow="7"/>
  <cols>
    <col min="2" max="2" width="21.125" customWidth="1"/>
    <col min="3" max="12" width="8.5" customWidth="1"/>
  </cols>
  <sheetData>
    <row r="1" ht="16.5" spans="1:12">
      <c r="A1" s="2" t="s">
        <v>1</v>
      </c>
      <c r="B1" s="3" t="s">
        <v>160</v>
      </c>
      <c r="C1" s="3" t="s">
        <v>3</v>
      </c>
      <c r="D1" s="3" t="s">
        <v>5</v>
      </c>
      <c r="E1" s="4" t="s">
        <v>6</v>
      </c>
      <c r="F1" s="4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26" t="s">
        <v>13</v>
      </c>
    </row>
    <row r="2" s="1" customFormat="1" ht="16.5" spans="1:12">
      <c r="A2" s="5">
        <v>1</v>
      </c>
      <c r="B2" s="6" t="s">
        <v>77</v>
      </c>
      <c r="C2" s="7">
        <f>SUM(D2:L2)</f>
        <v>691.738</v>
      </c>
      <c r="D2" s="7"/>
      <c r="E2" s="8"/>
      <c r="F2" s="8"/>
      <c r="G2" s="9"/>
      <c r="H2" s="9"/>
      <c r="I2" s="9"/>
      <c r="J2" s="9"/>
      <c r="K2" s="27">
        <v>294.018</v>
      </c>
      <c r="L2" s="28">
        <v>397.72</v>
      </c>
    </row>
    <row r="3" ht="34.5" spans="1:13">
      <c r="A3" s="10">
        <v>2</v>
      </c>
      <c r="B3" s="11" t="s">
        <v>161</v>
      </c>
      <c r="C3" s="7">
        <f t="shared" ref="C3:C7" si="0">SUM(D3:L3)</f>
        <v>234.046</v>
      </c>
      <c r="D3" s="12">
        <f>58.5115*2</f>
        <v>117.023</v>
      </c>
      <c r="E3" s="12">
        <f>58.5115*2</f>
        <v>117.023</v>
      </c>
      <c r="F3" s="13"/>
      <c r="G3" s="14"/>
      <c r="H3" s="14"/>
      <c r="I3" s="14"/>
      <c r="J3" s="14"/>
      <c r="K3" s="14"/>
      <c r="L3" s="29"/>
      <c r="M3" s="30" t="s">
        <v>162</v>
      </c>
    </row>
    <row r="4" ht="34.5" spans="1:12">
      <c r="A4" s="10">
        <v>2</v>
      </c>
      <c r="B4" s="11" t="s">
        <v>163</v>
      </c>
      <c r="C4" s="7">
        <f t="shared" si="0"/>
        <v>220.183488</v>
      </c>
      <c r="D4" s="15">
        <f>55.045872*2</f>
        <v>110.091744</v>
      </c>
      <c r="E4" s="16">
        <f>55.045872*2</f>
        <v>110.091744</v>
      </c>
      <c r="F4" s="13"/>
      <c r="G4" s="14"/>
      <c r="H4" s="14"/>
      <c r="I4" s="14"/>
      <c r="J4" s="14"/>
      <c r="K4" s="14"/>
      <c r="L4" s="29"/>
    </row>
    <row r="5" ht="34.5" spans="1:13">
      <c r="A5" s="10">
        <v>3</v>
      </c>
      <c r="B5" s="11" t="s">
        <v>164</v>
      </c>
      <c r="C5" s="7">
        <f t="shared" si="0"/>
        <v>47.4624</v>
      </c>
      <c r="D5" s="12">
        <f>11.8656*2</f>
        <v>23.7312</v>
      </c>
      <c r="E5" s="17">
        <f>11.8656*2</f>
        <v>23.7312</v>
      </c>
      <c r="F5" s="13"/>
      <c r="G5" s="14"/>
      <c r="H5" s="14"/>
      <c r="I5" s="14"/>
      <c r="J5" s="14"/>
      <c r="K5" s="14"/>
      <c r="L5" s="29"/>
      <c r="M5" s="30" t="s">
        <v>162</v>
      </c>
    </row>
    <row r="6" ht="17.25" spans="1:12">
      <c r="A6" s="10">
        <v>4</v>
      </c>
      <c r="B6" s="11" t="s">
        <v>165</v>
      </c>
      <c r="C6" s="7">
        <f t="shared" si="0"/>
        <v>12.139622</v>
      </c>
      <c r="D6" s="7">
        <f>3.169811*2+2</f>
        <v>8.339622</v>
      </c>
      <c r="E6" s="16">
        <v>3.8</v>
      </c>
      <c r="F6" s="13"/>
      <c r="G6" s="14"/>
      <c r="H6" s="14"/>
      <c r="I6" s="14"/>
      <c r="J6" s="14"/>
      <c r="K6" s="14"/>
      <c r="L6" s="29"/>
    </row>
    <row r="7" ht="17.25" spans="1:12">
      <c r="A7" s="10">
        <v>4</v>
      </c>
      <c r="B7" s="18" t="s">
        <v>166</v>
      </c>
      <c r="C7" s="7">
        <f t="shared" si="0"/>
        <v>18.3486</v>
      </c>
      <c r="D7" s="19">
        <f>9.1743*2</f>
        <v>18.3486</v>
      </c>
      <c r="E7" s="20"/>
      <c r="F7" s="21"/>
      <c r="G7" s="22"/>
      <c r="H7" s="22"/>
      <c r="I7" s="22"/>
      <c r="J7" s="22"/>
      <c r="K7" s="22"/>
      <c r="L7" s="31"/>
    </row>
    <row r="8" ht="17.25" spans="1:12">
      <c r="A8" s="23" t="s">
        <v>14</v>
      </c>
      <c r="B8" s="24"/>
      <c r="C8" s="25">
        <f>SUM(C2:C7)</f>
        <v>1223.91811</v>
      </c>
      <c r="D8" s="25">
        <f>SUM(D2:D7)</f>
        <v>277.534166</v>
      </c>
      <c r="E8" s="25">
        <f t="shared" ref="E8:G8" si="1">SUM(E2:E7)</f>
        <v>254.645944</v>
      </c>
      <c r="F8" s="25">
        <f t="shared" si="1"/>
        <v>0</v>
      </c>
      <c r="G8" s="25">
        <f t="shared" si="1"/>
        <v>0</v>
      </c>
      <c r="H8" s="25">
        <f t="shared" ref="H8:L8" si="2">SUM(H2:H6)</f>
        <v>0</v>
      </c>
      <c r="I8" s="25">
        <f t="shared" si="2"/>
        <v>0</v>
      </c>
      <c r="J8" s="25">
        <f t="shared" si="2"/>
        <v>0</v>
      </c>
      <c r="K8" s="25">
        <f t="shared" si="2"/>
        <v>294.018</v>
      </c>
      <c r="L8" s="25">
        <f t="shared" si="2"/>
        <v>397.72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D2" sqref="D2"/>
    </sheetView>
  </sheetViews>
  <sheetFormatPr defaultColWidth="9" defaultRowHeight="13.5"/>
  <cols>
    <col min="1" max="1" width="9" style="126"/>
    <col min="3" max="3" width="18.625" customWidth="1"/>
    <col min="4" max="4" width="22.75" customWidth="1"/>
    <col min="5" max="5" width="17.625" customWidth="1"/>
    <col min="6" max="6" width="11.625" customWidth="1"/>
    <col min="7" max="7" width="12.375" customWidth="1"/>
    <col min="8" max="9" width="11.625" customWidth="1"/>
    <col min="10" max="10" width="13.75" customWidth="1"/>
    <col min="15" max="15" width="16.5" customWidth="1"/>
  </cols>
  <sheetData>
    <row r="1" spans="1:10">
      <c r="A1" s="110"/>
      <c r="B1" s="14"/>
      <c r="C1" s="110" t="s">
        <v>30</v>
      </c>
      <c r="D1" s="14" t="s">
        <v>7</v>
      </c>
      <c r="E1" s="110">
        <v>2018</v>
      </c>
      <c r="F1" s="110">
        <v>2017</v>
      </c>
      <c r="G1" s="110">
        <v>2016</v>
      </c>
      <c r="H1" s="110">
        <v>2015</v>
      </c>
      <c r="I1" s="110">
        <v>2014</v>
      </c>
      <c r="J1" s="110">
        <v>2013</v>
      </c>
    </row>
    <row r="2" spans="1:10">
      <c r="A2" s="110"/>
      <c r="B2" s="14" t="s">
        <v>31</v>
      </c>
      <c r="C2" s="127">
        <f>(C3+C4+C6+C7)/10000</f>
        <v>0</v>
      </c>
      <c r="D2" s="127">
        <f>(D3+D4+D5+D6+D7)/10000</f>
        <v>27928.634897</v>
      </c>
      <c r="E2" s="127">
        <f t="shared" ref="E2:J2" si="0">(E3+E4+E6+E7)/10000</f>
        <v>29443.968206</v>
      </c>
      <c r="F2" s="127">
        <f t="shared" si="0"/>
        <v>10270.397055</v>
      </c>
      <c r="G2" s="127">
        <f t="shared" si="0"/>
        <v>89611.930217</v>
      </c>
      <c r="H2" s="127">
        <f t="shared" si="0"/>
        <v>26081.217246</v>
      </c>
      <c r="I2" s="127">
        <f t="shared" si="0"/>
        <v>15282.276659</v>
      </c>
      <c r="J2" s="127">
        <f t="shared" si="0"/>
        <v>4559.112956</v>
      </c>
    </row>
    <row r="3" ht="33" spans="1:10">
      <c r="A3" s="128" t="s">
        <v>14</v>
      </c>
      <c r="B3" s="115" t="s">
        <v>32</v>
      </c>
      <c r="C3" s="14">
        <f>C15+C27</f>
        <v>0</v>
      </c>
      <c r="D3" s="14">
        <f t="shared" ref="D3:J3" si="1">D15+D27</f>
        <v>20678546.99</v>
      </c>
      <c r="E3" s="14">
        <f t="shared" si="1"/>
        <v>45356.12</v>
      </c>
      <c r="F3" s="14">
        <f t="shared" si="1"/>
        <v>5142491.54</v>
      </c>
      <c r="G3" s="14">
        <f t="shared" si="1"/>
        <v>0</v>
      </c>
      <c r="H3" s="14">
        <f t="shared" si="1"/>
        <v>0</v>
      </c>
      <c r="I3" s="14">
        <f t="shared" si="1"/>
        <v>0</v>
      </c>
      <c r="J3" s="14">
        <f t="shared" si="1"/>
        <v>0</v>
      </c>
    </row>
    <row r="4" ht="33" spans="1:10">
      <c r="A4" s="128"/>
      <c r="B4" s="115" t="s">
        <v>33</v>
      </c>
      <c r="C4" s="14">
        <f>C16+C28</f>
        <v>0</v>
      </c>
      <c r="D4" s="14">
        <f t="shared" ref="D4:J4" si="2">D16+D28</f>
        <v>387492.44</v>
      </c>
      <c r="E4" s="14">
        <f t="shared" si="2"/>
        <v>18667870.61</v>
      </c>
      <c r="F4" s="14">
        <f t="shared" si="2"/>
        <v>42082244.87</v>
      </c>
      <c r="G4" s="14">
        <f t="shared" si="2"/>
        <v>53185119.6</v>
      </c>
      <c r="H4" s="14">
        <f t="shared" si="2"/>
        <v>0</v>
      </c>
      <c r="I4" s="14">
        <f t="shared" si="2"/>
        <v>8940180</v>
      </c>
      <c r="J4" s="14">
        <f t="shared" si="2"/>
        <v>3977240</v>
      </c>
    </row>
    <row r="5" ht="33" spans="1:10">
      <c r="A5" s="128"/>
      <c r="B5" s="115" t="s">
        <v>34</v>
      </c>
      <c r="C5" s="110"/>
      <c r="D5" s="14">
        <f t="shared" ref="D5:D8" si="3">D17+D29</f>
        <v>-150717700</v>
      </c>
      <c r="E5" s="116"/>
      <c r="F5" s="116"/>
      <c r="G5" s="118"/>
      <c r="H5" s="110"/>
      <c r="I5" s="118"/>
      <c r="J5" s="118"/>
    </row>
    <row r="6" ht="16.5" spans="1:10">
      <c r="A6" s="128"/>
      <c r="B6" s="115" t="s">
        <v>19</v>
      </c>
      <c r="C6" s="14">
        <f t="shared" ref="C6:C14" si="4">C18+C30</f>
        <v>0</v>
      </c>
      <c r="D6" s="14">
        <f t="shared" si="3"/>
        <v>396342130.47</v>
      </c>
      <c r="E6" s="14">
        <f t="shared" ref="E6:J14" si="5">E18+E30</f>
        <v>275413315.04</v>
      </c>
      <c r="F6" s="14">
        <f t="shared" si="5"/>
        <v>55413962.34</v>
      </c>
      <c r="G6" s="14">
        <f t="shared" si="5"/>
        <v>781115529.33</v>
      </c>
      <c r="H6" s="14">
        <f t="shared" si="5"/>
        <v>238640242.32</v>
      </c>
      <c r="I6" s="14">
        <f t="shared" si="5"/>
        <v>120196482.18</v>
      </c>
      <c r="J6" s="14">
        <f t="shared" si="5"/>
        <v>28852752.38</v>
      </c>
    </row>
    <row r="7" ht="33" spans="1:10">
      <c r="A7" s="128"/>
      <c r="B7" s="115" t="s">
        <v>35</v>
      </c>
      <c r="C7" s="14">
        <f t="shared" si="4"/>
        <v>0</v>
      </c>
      <c r="D7" s="14">
        <f t="shared" si="3"/>
        <v>12595879.07</v>
      </c>
      <c r="E7" s="14">
        <f t="shared" si="5"/>
        <v>313140.29</v>
      </c>
      <c r="F7" s="14">
        <f t="shared" si="5"/>
        <v>65271.8</v>
      </c>
      <c r="G7" s="14">
        <f t="shared" si="5"/>
        <v>61818653.24</v>
      </c>
      <c r="H7" s="14">
        <f t="shared" si="5"/>
        <v>22171930.14</v>
      </c>
      <c r="I7" s="14">
        <f t="shared" si="5"/>
        <v>23686104.41</v>
      </c>
      <c r="J7" s="14">
        <f t="shared" si="5"/>
        <v>12761137.18</v>
      </c>
    </row>
    <row r="8" ht="33" spans="1:10">
      <c r="A8" s="128"/>
      <c r="B8" s="115" t="s">
        <v>36</v>
      </c>
      <c r="C8" s="14">
        <f t="shared" si="4"/>
        <v>0</v>
      </c>
      <c r="D8" s="14">
        <f t="shared" si="3"/>
        <v>-16385300</v>
      </c>
      <c r="E8" s="14">
        <f t="shared" si="5"/>
        <v>0</v>
      </c>
      <c r="F8" s="14">
        <f t="shared" si="5"/>
        <v>0</v>
      </c>
      <c r="G8" s="14">
        <f t="shared" si="5"/>
        <v>115865080.86</v>
      </c>
      <c r="H8" s="14">
        <f t="shared" si="5"/>
        <v>0</v>
      </c>
      <c r="I8" s="14">
        <f t="shared" si="5"/>
        <v>792589.08</v>
      </c>
      <c r="J8" s="14">
        <f t="shared" si="5"/>
        <v>726539.99</v>
      </c>
    </row>
    <row r="9" ht="33" spans="1:10">
      <c r="A9" s="128"/>
      <c r="B9" s="115" t="s">
        <v>37</v>
      </c>
      <c r="C9" s="14">
        <f t="shared" si="4"/>
        <v>0</v>
      </c>
      <c r="D9" s="14">
        <f t="shared" ref="D9:D14" si="6">D21+D33</f>
        <v>-2035952.32</v>
      </c>
      <c r="E9" s="14">
        <f t="shared" si="5"/>
        <v>4807233.45</v>
      </c>
      <c r="F9" s="14">
        <f t="shared" si="5"/>
        <v>26381272.19</v>
      </c>
      <c r="G9" s="14">
        <f t="shared" si="5"/>
        <v>290547.23</v>
      </c>
      <c r="H9" s="14">
        <f t="shared" si="5"/>
        <v>1619333.33</v>
      </c>
      <c r="I9" s="14">
        <f t="shared" si="5"/>
        <v>11807338.67</v>
      </c>
      <c r="J9" s="14">
        <f t="shared" si="5"/>
        <v>0</v>
      </c>
    </row>
    <row r="10" spans="1:10">
      <c r="A10" s="128"/>
      <c r="B10" s="119" t="s">
        <v>38</v>
      </c>
      <c r="C10" s="14">
        <f t="shared" si="4"/>
        <v>0</v>
      </c>
      <c r="D10" s="14">
        <f t="shared" si="6"/>
        <v>-197796591.94</v>
      </c>
      <c r="E10" s="14">
        <f t="shared" si="5"/>
        <v>198312751.79</v>
      </c>
      <c r="F10" s="14">
        <f t="shared" si="5"/>
        <v>28013024.99</v>
      </c>
      <c r="G10" s="14">
        <f t="shared" si="5"/>
        <v>22599913.05</v>
      </c>
      <c r="H10" s="14">
        <f t="shared" si="5"/>
        <v>33710863.83</v>
      </c>
      <c r="I10" s="14">
        <f t="shared" si="5"/>
        <v>21059447.82</v>
      </c>
      <c r="J10" s="14">
        <f t="shared" si="5"/>
        <v>39717267.46</v>
      </c>
    </row>
    <row r="11" spans="1:10">
      <c r="A11" s="128"/>
      <c r="B11" s="119" t="s">
        <v>39</v>
      </c>
      <c r="C11" s="14">
        <f t="shared" si="4"/>
        <v>0</v>
      </c>
      <c r="D11" s="14">
        <f t="shared" si="6"/>
        <v>221696454.26</v>
      </c>
      <c r="E11" s="14">
        <f t="shared" si="5"/>
        <v>367388891.62</v>
      </c>
      <c r="F11" s="14">
        <f t="shared" si="5"/>
        <v>365828982.07</v>
      </c>
      <c r="G11" s="14">
        <f t="shared" si="5"/>
        <v>335665440.82</v>
      </c>
      <c r="H11" s="14">
        <f t="shared" si="5"/>
        <v>148508874.85</v>
      </c>
      <c r="I11" s="14">
        <f t="shared" si="5"/>
        <v>91055056.82</v>
      </c>
      <c r="J11" s="14">
        <f t="shared" si="5"/>
        <v>9483249.04</v>
      </c>
    </row>
    <row r="12" spans="1:10">
      <c r="A12" s="128"/>
      <c r="B12" s="119" t="s">
        <v>40</v>
      </c>
      <c r="C12" s="14">
        <f t="shared" si="4"/>
        <v>0</v>
      </c>
      <c r="D12" s="14">
        <f t="shared" si="6"/>
        <v>-22332665.82</v>
      </c>
      <c r="E12" s="14">
        <f t="shared" si="5"/>
        <v>50255009.28</v>
      </c>
      <c r="F12" s="14">
        <f t="shared" si="5"/>
        <v>802479.73</v>
      </c>
      <c r="G12" s="14">
        <f t="shared" si="5"/>
        <v>317898454.38</v>
      </c>
      <c r="H12" s="14">
        <f t="shared" si="5"/>
        <v>1106061.5</v>
      </c>
      <c r="I12" s="14">
        <f t="shared" si="5"/>
        <v>957738.92</v>
      </c>
      <c r="J12" s="14">
        <f t="shared" si="5"/>
        <v>838747.5</v>
      </c>
    </row>
    <row r="13" spans="1:10">
      <c r="A13" s="128"/>
      <c r="B13" s="119" t="s">
        <v>41</v>
      </c>
      <c r="C13" s="14">
        <f t="shared" si="4"/>
        <v>0</v>
      </c>
      <c r="D13" s="14">
        <f t="shared" si="6"/>
        <v>0</v>
      </c>
      <c r="E13" s="14">
        <f t="shared" si="5"/>
        <v>0</v>
      </c>
      <c r="F13" s="14">
        <f t="shared" si="5"/>
        <v>310841.85</v>
      </c>
      <c r="G13" s="14">
        <f t="shared" si="5"/>
        <v>12900894.53</v>
      </c>
      <c r="H13" s="14">
        <f t="shared" si="5"/>
        <v>10165164.85</v>
      </c>
      <c r="I13" s="14">
        <f t="shared" si="5"/>
        <v>0</v>
      </c>
      <c r="J13" s="14">
        <f t="shared" si="5"/>
        <v>0</v>
      </c>
    </row>
    <row r="14" ht="33" spans="1:10">
      <c r="A14" s="128"/>
      <c r="B14" s="115" t="s">
        <v>42</v>
      </c>
      <c r="C14" s="14">
        <f t="shared" si="4"/>
        <v>0</v>
      </c>
      <c r="D14" s="14">
        <f t="shared" si="6"/>
        <v>-32389969.66</v>
      </c>
      <c r="E14" s="14">
        <f t="shared" si="5"/>
        <v>0</v>
      </c>
      <c r="F14" s="14">
        <f t="shared" si="5"/>
        <v>0</v>
      </c>
      <c r="G14" s="14">
        <f t="shared" si="5"/>
        <v>-488004.3</v>
      </c>
      <c r="H14" s="14">
        <f t="shared" si="5"/>
        <v>-4470000</v>
      </c>
      <c r="I14" s="14">
        <f t="shared" si="5"/>
        <v>-20250800</v>
      </c>
      <c r="J14" s="14">
        <f t="shared" si="5"/>
        <v>0</v>
      </c>
    </row>
    <row r="15" ht="33" spans="1:15">
      <c r="A15" s="128" t="s">
        <v>24</v>
      </c>
      <c r="B15" s="115" t="s">
        <v>32</v>
      </c>
      <c r="C15" s="110"/>
      <c r="D15" s="116">
        <v>20678546.99</v>
      </c>
      <c r="E15" s="116">
        <v>45356.12</v>
      </c>
      <c r="F15" s="116">
        <v>5142491.54</v>
      </c>
      <c r="G15" s="110"/>
      <c r="H15" s="110"/>
      <c r="I15" s="110"/>
      <c r="J15" s="110"/>
      <c r="M15" t="s">
        <v>32</v>
      </c>
      <c r="O15">
        <v>20678546.99</v>
      </c>
    </row>
    <row r="16" ht="33" spans="1:15">
      <c r="A16" s="128"/>
      <c r="B16" s="115" t="s">
        <v>33</v>
      </c>
      <c r="C16" s="110"/>
      <c r="D16" s="116">
        <v>387492.44</v>
      </c>
      <c r="E16" s="116">
        <v>18667870.61</v>
      </c>
      <c r="F16" s="116">
        <v>28569744.87</v>
      </c>
      <c r="G16" s="118">
        <v>12831346.02</v>
      </c>
      <c r="H16" s="110"/>
      <c r="I16" s="118">
        <v>8940180</v>
      </c>
      <c r="J16" s="118">
        <v>3977240</v>
      </c>
      <c r="M16" t="s">
        <v>33</v>
      </c>
      <c r="O16">
        <v>387492.44</v>
      </c>
    </row>
    <row r="17" ht="33" spans="1:15">
      <c r="A17" s="128"/>
      <c r="B17" s="115" t="s">
        <v>34</v>
      </c>
      <c r="C17" s="110"/>
      <c r="D17" s="116">
        <f>-45420500+-105297200</f>
        <v>-150717700</v>
      </c>
      <c r="E17" s="116"/>
      <c r="F17" s="116"/>
      <c r="G17" s="118"/>
      <c r="H17" s="110"/>
      <c r="I17" s="118"/>
      <c r="J17" s="118"/>
      <c r="M17" t="s">
        <v>34</v>
      </c>
      <c r="O17">
        <v>-45420500</v>
      </c>
    </row>
    <row r="18" ht="16.5" spans="1:15">
      <c r="A18" s="128"/>
      <c r="B18" s="115" t="s">
        <v>19</v>
      </c>
      <c r="C18" s="110"/>
      <c r="D18" s="116">
        <v>169039213.47</v>
      </c>
      <c r="E18" s="116">
        <v>237651233.54</v>
      </c>
      <c r="F18" s="116">
        <v>26040660.79</v>
      </c>
      <c r="G18" s="118">
        <v>219311237.14</v>
      </c>
      <c r="H18" s="118">
        <v>67898634.71</v>
      </c>
      <c r="I18" s="118">
        <v>18407060.1</v>
      </c>
      <c r="J18" s="118">
        <v>28852752.38</v>
      </c>
      <c r="M18" t="s">
        <v>19</v>
      </c>
      <c r="O18">
        <v>169039213.47</v>
      </c>
    </row>
    <row r="19" ht="33" spans="1:15">
      <c r="A19" s="128"/>
      <c r="B19" s="115" t="s">
        <v>35</v>
      </c>
      <c r="C19" s="110"/>
      <c r="D19" s="116">
        <v>12588787.4</v>
      </c>
      <c r="E19" s="116">
        <v>265144.29</v>
      </c>
      <c r="F19" s="116">
        <v>65271.8</v>
      </c>
      <c r="G19" s="118">
        <v>61818653.2</v>
      </c>
      <c r="H19" s="118">
        <v>22171930.12</v>
      </c>
      <c r="I19" s="118">
        <v>23686104.41</v>
      </c>
      <c r="J19" s="118">
        <v>12761137.18</v>
      </c>
      <c r="M19" t="s">
        <v>35</v>
      </c>
      <c r="O19">
        <v>12588787.4</v>
      </c>
    </row>
    <row r="20" ht="33" spans="1:15">
      <c r="A20" s="128"/>
      <c r="B20" s="115" t="s">
        <v>36</v>
      </c>
      <c r="C20" s="110"/>
      <c r="D20" s="116">
        <v>-16385300</v>
      </c>
      <c r="E20" s="110"/>
      <c r="F20" s="110"/>
      <c r="G20" s="110"/>
      <c r="H20" s="110"/>
      <c r="I20" s="118">
        <v>792589.08</v>
      </c>
      <c r="J20" s="118">
        <v>726539.99</v>
      </c>
      <c r="M20" t="s">
        <v>36</v>
      </c>
      <c r="O20">
        <v>-16385300.4</v>
      </c>
    </row>
    <row r="21" ht="33" spans="1:15">
      <c r="A21" s="128"/>
      <c r="B21" s="115" t="s">
        <v>37</v>
      </c>
      <c r="C21" s="110"/>
      <c r="D21" s="116">
        <v>-2035952.32</v>
      </c>
      <c r="E21" s="129">
        <v>4806873.45</v>
      </c>
      <c r="F21" s="118">
        <v>1378029.32</v>
      </c>
      <c r="G21" s="110"/>
      <c r="H21" s="110"/>
      <c r="I21" s="110"/>
      <c r="J21" s="110"/>
      <c r="M21" t="s">
        <v>37</v>
      </c>
      <c r="O21">
        <v>-4806873.45</v>
      </c>
    </row>
    <row r="22" ht="16.5" spans="1:15">
      <c r="A22" s="128"/>
      <c r="B22" s="119" t="s">
        <v>38</v>
      </c>
      <c r="C22" s="110"/>
      <c r="D22" s="116">
        <v>-201399591.94</v>
      </c>
      <c r="E22" s="129">
        <v>197824374.53</v>
      </c>
      <c r="F22" s="118">
        <v>27433181.06</v>
      </c>
      <c r="G22" s="118">
        <v>19877413.81</v>
      </c>
      <c r="H22" s="118">
        <v>32949363.83</v>
      </c>
      <c r="I22" s="118">
        <v>19106507.82</v>
      </c>
      <c r="J22" s="118">
        <v>39717267.46</v>
      </c>
      <c r="M22" t="s">
        <v>38</v>
      </c>
      <c r="O22">
        <v>-197824374.53</v>
      </c>
    </row>
    <row r="23" ht="16.5" spans="1:15">
      <c r="A23" s="128"/>
      <c r="B23" s="119" t="s">
        <v>39</v>
      </c>
      <c r="C23" s="110"/>
      <c r="D23" s="116">
        <v>-117140482.31</v>
      </c>
      <c r="E23" s="129">
        <v>55833278.49</v>
      </c>
      <c r="F23" s="118">
        <v>33631379.24</v>
      </c>
      <c r="G23" s="118">
        <v>2647972.59</v>
      </c>
      <c r="H23" s="118">
        <v>33355271.53</v>
      </c>
      <c r="I23" s="118">
        <v>57510439.94</v>
      </c>
      <c r="J23" s="118">
        <v>9483249.04</v>
      </c>
      <c r="M23" t="s">
        <v>39</v>
      </c>
      <c r="O23">
        <v>-55833278.49</v>
      </c>
    </row>
    <row r="24" ht="16.5" spans="1:15">
      <c r="A24" s="128"/>
      <c r="B24" s="119" t="s">
        <v>40</v>
      </c>
      <c r="C24" s="110"/>
      <c r="D24" s="116">
        <v>-22336638.46</v>
      </c>
      <c r="E24" s="129">
        <v>14514081.98</v>
      </c>
      <c r="F24" s="118">
        <v>17863.14</v>
      </c>
      <c r="G24" s="118">
        <v>317868217.18</v>
      </c>
      <c r="H24" s="118">
        <v>986035.37</v>
      </c>
      <c r="I24" s="118">
        <v>957738.92</v>
      </c>
      <c r="J24" s="118">
        <v>838747.5</v>
      </c>
      <c r="M24" t="s">
        <v>40</v>
      </c>
      <c r="O24">
        <v>-22336638.46</v>
      </c>
    </row>
    <row r="25" spans="1:10">
      <c r="A25" s="128"/>
      <c r="B25" s="119" t="s">
        <v>41</v>
      </c>
      <c r="C25" s="110"/>
      <c r="D25" s="14"/>
      <c r="E25" s="110"/>
      <c r="F25" s="110"/>
      <c r="G25" s="110"/>
      <c r="H25" s="110"/>
      <c r="I25" s="110"/>
      <c r="J25" s="110"/>
    </row>
    <row r="26" ht="33" spans="1:10">
      <c r="A26" s="128"/>
      <c r="B26" s="115" t="s">
        <v>42</v>
      </c>
      <c r="C26" s="110"/>
      <c r="D26" s="116"/>
      <c r="E26" s="110"/>
      <c r="F26" s="110"/>
      <c r="G26" s="118">
        <v>-488004.3</v>
      </c>
      <c r="H26" s="118">
        <v>-4470000</v>
      </c>
      <c r="I26" s="118">
        <v>-20250800</v>
      </c>
      <c r="J26" s="110"/>
    </row>
    <row r="27" ht="33" spans="1:10">
      <c r="A27" s="128" t="s">
        <v>29</v>
      </c>
      <c r="B27" s="115" t="s">
        <v>32</v>
      </c>
      <c r="C27" s="14"/>
      <c r="D27" s="14"/>
      <c r="E27" s="14"/>
      <c r="F27" s="110"/>
      <c r="G27" s="110"/>
      <c r="H27" s="110"/>
      <c r="I27" s="110"/>
      <c r="J27" s="14"/>
    </row>
    <row r="28" ht="33" spans="1:10">
      <c r="A28" s="128"/>
      <c r="B28" s="115" t="s">
        <v>33</v>
      </c>
      <c r="C28" s="14"/>
      <c r="D28" s="14"/>
      <c r="E28" s="14"/>
      <c r="F28" s="114">
        <v>13512500</v>
      </c>
      <c r="G28" s="114">
        <v>40353773.58</v>
      </c>
      <c r="H28" s="110"/>
      <c r="I28" s="110"/>
      <c r="J28" s="14"/>
    </row>
    <row r="29" ht="33" spans="1:10">
      <c r="A29" s="128"/>
      <c r="B29" s="115" t="s">
        <v>34</v>
      </c>
      <c r="C29" s="110"/>
      <c r="D29" s="14"/>
      <c r="E29" s="116"/>
      <c r="F29" s="116"/>
      <c r="G29" s="118"/>
      <c r="H29" s="110"/>
      <c r="I29" s="118"/>
      <c r="J29" s="118"/>
    </row>
    <row r="30" ht="16.5" spans="1:10">
      <c r="A30" s="128"/>
      <c r="B30" s="115" t="s">
        <v>19</v>
      </c>
      <c r="C30" s="14"/>
      <c r="D30" s="14">
        <v>227302917</v>
      </c>
      <c r="E30" s="129">
        <v>37762081.5</v>
      </c>
      <c r="F30" s="114">
        <v>29373301.55</v>
      </c>
      <c r="G30" s="114">
        <v>561804292.19</v>
      </c>
      <c r="H30" s="116">
        <v>170741607.61</v>
      </c>
      <c r="I30" s="116">
        <v>101789422.08</v>
      </c>
      <c r="J30" s="14"/>
    </row>
    <row r="31" ht="33" spans="1:10">
      <c r="A31" s="128"/>
      <c r="B31" s="115" t="s">
        <v>35</v>
      </c>
      <c r="C31" s="14"/>
      <c r="D31" s="14">
        <v>7091.67</v>
      </c>
      <c r="E31" s="129">
        <v>47996</v>
      </c>
      <c r="F31" s="114"/>
      <c r="G31" s="114">
        <v>0.04</v>
      </c>
      <c r="H31" s="121">
        <v>0.02</v>
      </c>
      <c r="I31" s="110"/>
      <c r="J31" s="14"/>
    </row>
    <row r="32" ht="33" spans="1:10">
      <c r="A32" s="128"/>
      <c r="B32" s="115" t="s">
        <v>36</v>
      </c>
      <c r="C32" s="14"/>
      <c r="D32" s="14"/>
      <c r="E32" s="14"/>
      <c r="F32" s="114"/>
      <c r="G32" s="114">
        <v>115865080.86</v>
      </c>
      <c r="H32" s="110"/>
      <c r="I32" s="110"/>
      <c r="J32" s="14"/>
    </row>
    <row r="33" ht="33" spans="1:10">
      <c r="A33" s="128"/>
      <c r="B33" s="115" t="s">
        <v>37</v>
      </c>
      <c r="C33" s="14"/>
      <c r="D33" s="14"/>
      <c r="E33" s="130">
        <v>360</v>
      </c>
      <c r="F33" s="114">
        <v>25003242.87</v>
      </c>
      <c r="G33" s="114">
        <v>290547.23</v>
      </c>
      <c r="H33" s="118">
        <v>1619333.33</v>
      </c>
      <c r="I33" s="118">
        <v>11807338.67</v>
      </c>
      <c r="J33" s="14"/>
    </row>
    <row r="34" ht="16.5" spans="1:10">
      <c r="A34" s="128"/>
      <c r="B34" s="119" t="s">
        <v>38</v>
      </c>
      <c r="C34" s="14"/>
      <c r="D34" s="14">
        <v>3603000</v>
      </c>
      <c r="E34" s="129">
        <v>488377.26</v>
      </c>
      <c r="F34" s="114">
        <v>579843.93</v>
      </c>
      <c r="G34" s="114">
        <v>2722499.24</v>
      </c>
      <c r="H34" s="118">
        <v>761500</v>
      </c>
      <c r="I34" s="118">
        <v>1952940</v>
      </c>
      <c r="J34" s="14"/>
    </row>
    <row r="35" ht="16.5" spans="1:10">
      <c r="A35" s="128"/>
      <c r="B35" s="119" t="s">
        <v>39</v>
      </c>
      <c r="C35" s="14"/>
      <c r="D35" s="14">
        <v>338836936.57</v>
      </c>
      <c r="E35" s="129">
        <v>311555613.13</v>
      </c>
      <c r="F35" s="114">
        <v>332197602.83</v>
      </c>
      <c r="G35" s="114">
        <v>333017468.23</v>
      </c>
      <c r="H35" s="118">
        <v>115153603.32</v>
      </c>
      <c r="I35" s="118">
        <v>33544616.88</v>
      </c>
      <c r="J35" s="14"/>
    </row>
    <row r="36" ht="16.5" spans="1:10">
      <c r="A36" s="128"/>
      <c r="B36" s="119" t="s">
        <v>40</v>
      </c>
      <c r="C36" s="14"/>
      <c r="D36" s="14">
        <v>3972.64</v>
      </c>
      <c r="E36" s="129">
        <v>35740927.3</v>
      </c>
      <c r="F36" s="114">
        <v>784616.59</v>
      </c>
      <c r="G36" s="114">
        <v>30237.2</v>
      </c>
      <c r="H36" s="118">
        <v>120026.13</v>
      </c>
      <c r="I36" s="110"/>
      <c r="J36" s="14"/>
    </row>
    <row r="37" ht="16.5" spans="1:10">
      <c r="A37" s="128"/>
      <c r="B37" s="119" t="s">
        <v>41</v>
      </c>
      <c r="C37" s="14"/>
      <c r="D37" s="14"/>
      <c r="E37" s="129"/>
      <c r="F37" s="114">
        <v>310841.85</v>
      </c>
      <c r="G37" s="114">
        <v>12900894.53</v>
      </c>
      <c r="H37" s="118">
        <v>10165164.85</v>
      </c>
      <c r="I37" s="110"/>
      <c r="J37" s="14"/>
    </row>
    <row r="38" ht="33" spans="1:10">
      <c r="A38" s="128"/>
      <c r="B38" s="115" t="s">
        <v>42</v>
      </c>
      <c r="C38" s="14"/>
      <c r="D38" s="14">
        <v>-32389969.66</v>
      </c>
      <c r="E38" s="14"/>
      <c r="F38" s="110"/>
      <c r="G38" s="110"/>
      <c r="H38" s="110"/>
      <c r="I38" s="110"/>
      <c r="J38" s="14"/>
    </row>
  </sheetData>
  <mergeCells count="3">
    <mergeCell ref="A3:A14"/>
    <mergeCell ref="A15:A26"/>
    <mergeCell ref="A27:A38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7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C15" sqref="C15:J15"/>
    </sheetView>
  </sheetViews>
  <sheetFormatPr defaultColWidth="9" defaultRowHeight="13.5"/>
  <cols>
    <col min="1" max="1" width="21.75" customWidth="1"/>
    <col min="2" max="2" width="15.375" customWidth="1"/>
    <col min="4" max="4" width="15.875" customWidth="1"/>
    <col min="7" max="7" width="14.625" customWidth="1"/>
    <col min="8" max="8" width="16.25" customWidth="1"/>
    <col min="9" max="9" width="14.625" customWidth="1"/>
    <col min="10" max="10" width="19.375" customWidth="1"/>
    <col min="11" max="11" width="17.5" customWidth="1"/>
    <col min="12" max="12" width="19.25" customWidth="1"/>
    <col min="13" max="13" width="20.125" customWidth="1"/>
    <col min="14" max="14" width="15.625" customWidth="1"/>
    <col min="15" max="15" width="14.75" customWidth="1"/>
    <col min="16" max="16" width="12" customWidth="1"/>
  </cols>
  <sheetData>
    <row r="1" spans="1:13">
      <c r="A1" s="110"/>
      <c r="B1" s="111" t="s">
        <v>24</v>
      </c>
      <c r="C1" s="112"/>
      <c r="D1" s="112"/>
      <c r="E1" s="112"/>
      <c r="F1" s="113"/>
      <c r="G1" s="113"/>
      <c r="H1" s="113"/>
      <c r="I1" s="110"/>
      <c r="J1" s="123" t="s">
        <v>29</v>
      </c>
      <c r="K1" s="124"/>
      <c r="L1" s="124"/>
      <c r="M1" s="125"/>
    </row>
    <row r="2" spans="1:16">
      <c r="A2" s="114"/>
      <c r="B2" s="110">
        <v>2013</v>
      </c>
      <c r="C2" s="110">
        <v>2014</v>
      </c>
      <c r="D2" s="110">
        <v>2015</v>
      </c>
      <c r="E2" s="110">
        <v>2016</v>
      </c>
      <c r="F2" s="110">
        <v>2017</v>
      </c>
      <c r="G2" s="110">
        <v>2018</v>
      </c>
      <c r="H2" s="110" t="s">
        <v>7</v>
      </c>
      <c r="I2" s="110" t="s">
        <v>30</v>
      </c>
      <c r="J2" s="110">
        <v>2014</v>
      </c>
      <c r="K2" s="110">
        <v>2015</v>
      </c>
      <c r="L2" s="110">
        <v>2016</v>
      </c>
      <c r="M2" s="110">
        <v>2017</v>
      </c>
      <c r="N2" s="110">
        <v>2018</v>
      </c>
      <c r="O2" s="110" t="s">
        <v>7</v>
      </c>
      <c r="P2" s="110" t="s">
        <v>43</v>
      </c>
    </row>
    <row r="3" ht="16.5" spans="1:13">
      <c r="A3" s="115" t="s">
        <v>32</v>
      </c>
      <c r="B3" s="110"/>
      <c r="C3" s="110"/>
      <c r="D3" s="110"/>
      <c r="E3" s="110"/>
      <c r="F3" s="116">
        <v>5142491.54</v>
      </c>
      <c r="G3" s="116">
        <v>45356.12</v>
      </c>
      <c r="H3" s="117">
        <v>20678546.99</v>
      </c>
      <c r="I3" s="110"/>
      <c r="J3" s="110"/>
      <c r="K3" s="110"/>
      <c r="L3" s="110"/>
      <c r="M3" s="110"/>
    </row>
    <row r="4" ht="16.5" spans="1:13">
      <c r="A4" s="115" t="s">
        <v>33</v>
      </c>
      <c r="B4" s="118">
        <v>3977240</v>
      </c>
      <c r="C4" s="118">
        <v>8940180</v>
      </c>
      <c r="D4" s="110"/>
      <c r="E4" s="118">
        <v>12831346.02</v>
      </c>
      <c r="F4" s="116">
        <v>28569744.87</v>
      </c>
      <c r="G4" s="116">
        <v>18667870.61</v>
      </c>
      <c r="H4" s="117">
        <v>387492.44</v>
      </c>
      <c r="I4" s="110"/>
      <c r="J4" s="110"/>
      <c r="K4" s="110"/>
      <c r="L4" s="114">
        <v>40353773.58</v>
      </c>
      <c r="M4" s="114">
        <v>13512500</v>
      </c>
    </row>
    <row r="5" ht="16.5" spans="1:15">
      <c r="A5" s="115" t="s">
        <v>19</v>
      </c>
      <c r="B5" s="118">
        <v>28852752.38</v>
      </c>
      <c r="C5" s="118">
        <v>18407060.1</v>
      </c>
      <c r="D5" s="118">
        <v>67898634.71</v>
      </c>
      <c r="E5" s="118">
        <v>219311237.14</v>
      </c>
      <c r="F5" s="116">
        <v>26040660.79</v>
      </c>
      <c r="G5" s="116">
        <v>237651233.54</v>
      </c>
      <c r="H5" s="117">
        <v>169039213.47</v>
      </c>
      <c r="I5" s="110"/>
      <c r="J5" s="116">
        <v>101789422.08</v>
      </c>
      <c r="K5" s="116">
        <v>170741607.61</v>
      </c>
      <c r="L5" s="114">
        <v>561804292.19</v>
      </c>
      <c r="M5" s="114">
        <v>29373301.55</v>
      </c>
      <c r="N5" s="117">
        <v>37762081.5</v>
      </c>
      <c r="O5" s="117">
        <v>227302917</v>
      </c>
    </row>
    <row r="6" ht="16.5" spans="1:15">
      <c r="A6" s="115" t="s">
        <v>35</v>
      </c>
      <c r="B6" s="118">
        <v>12761137.18</v>
      </c>
      <c r="C6" s="118">
        <v>23686104.41</v>
      </c>
      <c r="D6" s="118">
        <v>22171930.12</v>
      </c>
      <c r="E6" s="118">
        <v>61818653.2</v>
      </c>
      <c r="F6" s="116">
        <v>65271.8</v>
      </c>
      <c r="G6" s="116">
        <v>265144.29</v>
      </c>
      <c r="H6" s="117">
        <v>12588787.4</v>
      </c>
      <c r="I6" s="110"/>
      <c r="J6" s="110"/>
      <c r="K6" s="121">
        <v>0.02</v>
      </c>
      <c r="L6" s="114">
        <v>0.04</v>
      </c>
      <c r="M6" s="114"/>
      <c r="N6" s="117">
        <v>47996</v>
      </c>
      <c r="O6" s="117">
        <v>7091.67</v>
      </c>
    </row>
    <row r="7" ht="16.5" spans="1:13">
      <c r="A7" s="115" t="s">
        <v>36</v>
      </c>
      <c r="B7" s="118">
        <v>726539.99</v>
      </c>
      <c r="C7" s="118">
        <v>792589.08</v>
      </c>
      <c r="D7" s="110"/>
      <c r="E7" s="110"/>
      <c r="F7" s="110"/>
      <c r="G7" s="110"/>
      <c r="H7" s="117">
        <v>9508294.16</v>
      </c>
      <c r="I7" s="110"/>
      <c r="J7" s="110"/>
      <c r="K7" s="110"/>
      <c r="L7" s="114">
        <v>115865080.86</v>
      </c>
      <c r="M7" s="114"/>
    </row>
    <row r="8" ht="16.5" spans="1:15">
      <c r="A8" s="115" t="s">
        <v>37</v>
      </c>
      <c r="B8" s="110"/>
      <c r="C8" s="110"/>
      <c r="D8" s="110"/>
      <c r="E8" s="110"/>
      <c r="F8" s="118">
        <v>1378029.32</v>
      </c>
      <c r="G8" s="117">
        <v>4806873.45</v>
      </c>
      <c r="H8" s="117">
        <v>4806873.45</v>
      </c>
      <c r="I8" s="110"/>
      <c r="J8" s="118">
        <v>11807338.67</v>
      </c>
      <c r="K8" s="118">
        <v>1619333.33</v>
      </c>
      <c r="L8" s="114">
        <v>290547.23</v>
      </c>
      <c r="M8" s="114">
        <v>25003242.87</v>
      </c>
      <c r="N8" s="122">
        <v>360</v>
      </c>
      <c r="O8" s="122"/>
    </row>
    <row r="9" ht="16.5" spans="1:15">
      <c r="A9" s="119" t="s">
        <v>38</v>
      </c>
      <c r="B9" s="118">
        <v>39717267.46</v>
      </c>
      <c r="C9" s="118">
        <v>19106507.82</v>
      </c>
      <c r="D9" s="118">
        <v>32949363.83</v>
      </c>
      <c r="E9" s="118">
        <v>19877413.81</v>
      </c>
      <c r="F9" s="118">
        <v>27433181.06</v>
      </c>
      <c r="G9" s="117">
        <v>197824374.53</v>
      </c>
      <c r="H9" s="117">
        <v>197824374.53</v>
      </c>
      <c r="I9" s="110"/>
      <c r="J9" s="118">
        <v>1952940</v>
      </c>
      <c r="K9" s="118">
        <v>761500</v>
      </c>
      <c r="L9" s="114">
        <v>2722499.24</v>
      </c>
      <c r="M9" s="114">
        <v>579843.93</v>
      </c>
      <c r="N9" s="117">
        <v>488377.26</v>
      </c>
      <c r="O9" s="117">
        <v>3603000</v>
      </c>
    </row>
    <row r="10" ht="16.5" spans="1:15">
      <c r="A10" s="119" t="s">
        <v>39</v>
      </c>
      <c r="B10" s="118">
        <v>9483249.04</v>
      </c>
      <c r="C10" s="118">
        <v>57510439.94</v>
      </c>
      <c r="D10" s="118">
        <v>33355271.53</v>
      </c>
      <c r="E10" s="118">
        <v>2647972.59</v>
      </c>
      <c r="F10" s="118">
        <v>33631379.24</v>
      </c>
      <c r="G10" s="117">
        <v>55833278.49</v>
      </c>
      <c r="H10" s="117">
        <v>55833278.49</v>
      </c>
      <c r="I10" s="110"/>
      <c r="J10" s="118">
        <v>33544616.88</v>
      </c>
      <c r="K10" s="118">
        <v>115153603.32</v>
      </c>
      <c r="L10" s="114">
        <v>333017468.23</v>
      </c>
      <c r="M10" s="114">
        <v>332197602.83</v>
      </c>
      <c r="N10" s="117">
        <v>311555613.13</v>
      </c>
      <c r="O10" s="117">
        <v>338836936.57</v>
      </c>
    </row>
    <row r="11" ht="16.5" spans="1:15">
      <c r="A11" s="119" t="s">
        <v>40</v>
      </c>
      <c r="B11" s="118">
        <v>838747.5</v>
      </c>
      <c r="C11" s="118">
        <v>957738.92</v>
      </c>
      <c r="D11" s="118">
        <v>986035.37</v>
      </c>
      <c r="E11" s="118">
        <v>317868217.18</v>
      </c>
      <c r="F11" s="118">
        <v>17863.14</v>
      </c>
      <c r="G11" s="117">
        <v>14514081.98</v>
      </c>
      <c r="H11" s="117">
        <v>14514081.98</v>
      </c>
      <c r="I11" s="110"/>
      <c r="J11" s="110"/>
      <c r="K11" s="118">
        <v>120026.13</v>
      </c>
      <c r="L11" s="114">
        <v>30237.2</v>
      </c>
      <c r="M11" s="114">
        <v>784616.59</v>
      </c>
      <c r="N11" s="117">
        <v>35740927.3</v>
      </c>
      <c r="O11" s="117">
        <v>3972.64</v>
      </c>
    </row>
    <row r="12" ht="16.5" spans="1:15">
      <c r="A12" s="119" t="s">
        <v>41</v>
      </c>
      <c r="B12" s="110"/>
      <c r="C12" s="110"/>
      <c r="D12" s="110"/>
      <c r="E12" s="110"/>
      <c r="F12" s="110"/>
      <c r="G12" s="110"/>
      <c r="H12" s="110"/>
      <c r="I12" s="110"/>
      <c r="J12" s="110"/>
      <c r="K12" s="118">
        <v>10165164.85</v>
      </c>
      <c r="L12" s="114">
        <v>12900894.53</v>
      </c>
      <c r="M12" s="114">
        <v>310841.85</v>
      </c>
      <c r="N12" s="117"/>
      <c r="O12" s="117"/>
    </row>
    <row r="13" ht="16.5" spans="1:15">
      <c r="A13" s="115" t="s">
        <v>42</v>
      </c>
      <c r="B13" s="110"/>
      <c r="C13" s="118">
        <v>-20250800</v>
      </c>
      <c r="D13" s="118">
        <v>-4470000</v>
      </c>
      <c r="E13" s="118">
        <v>-488004.3</v>
      </c>
      <c r="F13" s="110"/>
      <c r="G13" s="110"/>
      <c r="H13" s="110"/>
      <c r="I13" s="110"/>
      <c r="J13" s="110"/>
      <c r="K13" s="110"/>
      <c r="L13" s="110"/>
      <c r="M13" s="110"/>
      <c r="O13" s="117">
        <v>-32389969.66</v>
      </c>
    </row>
    <row r="15" spans="3:10">
      <c r="C15" s="110" t="s">
        <v>30</v>
      </c>
      <c r="D15" t="s">
        <v>7</v>
      </c>
      <c r="E15" s="110">
        <v>2018</v>
      </c>
      <c r="F15" s="110">
        <v>2017</v>
      </c>
      <c r="G15" s="110">
        <v>2016</v>
      </c>
      <c r="H15" s="110">
        <v>2015</v>
      </c>
      <c r="I15" s="110">
        <v>2014</v>
      </c>
      <c r="J15" s="110">
        <v>2013</v>
      </c>
    </row>
    <row r="16" ht="16.5" spans="1:10">
      <c r="A16" s="120" t="s">
        <v>24</v>
      </c>
      <c r="B16" s="115" t="s">
        <v>32</v>
      </c>
      <c r="C16" s="110"/>
      <c r="D16">
        <v>20678546.99</v>
      </c>
      <c r="E16" s="116">
        <v>45356.12</v>
      </c>
      <c r="F16" s="116">
        <v>5142491.54</v>
      </c>
      <c r="G16" s="110"/>
      <c r="H16" s="110"/>
      <c r="I16" s="110"/>
      <c r="J16" s="110"/>
    </row>
    <row r="17" ht="16.5" spans="1:10">
      <c r="A17" s="120"/>
      <c r="B17" s="115" t="s">
        <v>33</v>
      </c>
      <c r="C17" s="110"/>
      <c r="D17">
        <v>387492.44</v>
      </c>
      <c r="E17" s="116">
        <v>18667870.61</v>
      </c>
      <c r="F17" s="116">
        <v>28569744.87</v>
      </c>
      <c r="G17" s="118">
        <v>12831346.02</v>
      </c>
      <c r="H17" s="110"/>
      <c r="I17" s="118">
        <v>8940180</v>
      </c>
      <c r="J17" s="118">
        <v>3977240</v>
      </c>
    </row>
    <row r="18" ht="16.5" spans="1:10">
      <c r="A18" s="120"/>
      <c r="B18" s="115" t="s">
        <v>19</v>
      </c>
      <c r="C18" s="110"/>
      <c r="D18">
        <v>169039213.47</v>
      </c>
      <c r="E18" s="116">
        <v>237651233.54</v>
      </c>
      <c r="F18" s="116">
        <v>26040660.79</v>
      </c>
      <c r="G18" s="118">
        <v>219311237.14</v>
      </c>
      <c r="H18" s="118">
        <v>67898634.71</v>
      </c>
      <c r="I18" s="118">
        <v>18407060.1</v>
      </c>
      <c r="J18" s="118">
        <v>28852752.38</v>
      </c>
    </row>
    <row r="19" ht="16.5" spans="1:10">
      <c r="A19" s="120"/>
      <c r="B19" s="115" t="s">
        <v>35</v>
      </c>
      <c r="C19" s="110"/>
      <c r="D19">
        <v>12588787.4</v>
      </c>
      <c r="E19" s="116">
        <v>265144.29</v>
      </c>
      <c r="F19" s="116">
        <v>65271.8</v>
      </c>
      <c r="G19" s="118">
        <v>61818653.2</v>
      </c>
      <c r="H19" s="118">
        <v>22171930.12</v>
      </c>
      <c r="I19" s="118">
        <v>23686104.41</v>
      </c>
      <c r="J19" s="118">
        <v>12761137.18</v>
      </c>
    </row>
    <row r="20" ht="16.5" spans="1:10">
      <c r="A20" s="120"/>
      <c r="B20" s="115" t="s">
        <v>36</v>
      </c>
      <c r="C20" s="110"/>
      <c r="D20">
        <v>9508294.16</v>
      </c>
      <c r="E20" s="110"/>
      <c r="F20" s="110"/>
      <c r="G20" s="110"/>
      <c r="H20" s="110"/>
      <c r="I20" s="118">
        <v>792589.08</v>
      </c>
      <c r="J20" s="118">
        <v>726539.99</v>
      </c>
    </row>
    <row r="21" ht="16.5" spans="1:10">
      <c r="A21" s="120"/>
      <c r="B21" s="115" t="s">
        <v>37</v>
      </c>
      <c r="C21" s="110"/>
      <c r="D21">
        <v>4806873.45</v>
      </c>
      <c r="E21" s="117">
        <v>4806873.45</v>
      </c>
      <c r="F21" s="118">
        <v>1378029.32</v>
      </c>
      <c r="G21" s="110"/>
      <c r="H21" s="110"/>
      <c r="I21" s="110"/>
      <c r="J21" s="110"/>
    </row>
    <row r="22" ht="16.5" spans="1:10">
      <c r="A22" s="120"/>
      <c r="B22" s="119" t="s">
        <v>38</v>
      </c>
      <c r="C22" s="110"/>
      <c r="D22">
        <v>197824374.53</v>
      </c>
      <c r="E22" s="117">
        <v>197824374.53</v>
      </c>
      <c r="F22" s="118">
        <v>27433181.06</v>
      </c>
      <c r="G22" s="118">
        <v>19877413.81</v>
      </c>
      <c r="H22" s="118">
        <v>32949363.83</v>
      </c>
      <c r="I22" s="118">
        <v>19106507.82</v>
      </c>
      <c r="J22" s="118">
        <v>39717267.46</v>
      </c>
    </row>
    <row r="23" ht="16.5" spans="1:10">
      <c r="A23" s="120"/>
      <c r="B23" s="119" t="s">
        <v>39</v>
      </c>
      <c r="C23" s="110"/>
      <c r="D23">
        <v>55833278.49</v>
      </c>
      <c r="E23" s="117">
        <v>55833278.49</v>
      </c>
      <c r="F23" s="118">
        <v>33631379.24</v>
      </c>
      <c r="G23" s="118">
        <v>2647972.59</v>
      </c>
      <c r="H23" s="118">
        <v>33355271.53</v>
      </c>
      <c r="I23" s="118">
        <v>57510439.94</v>
      </c>
      <c r="J23" s="118">
        <v>9483249.04</v>
      </c>
    </row>
    <row r="24" ht="16.5" spans="1:10">
      <c r="A24" s="120"/>
      <c r="B24" s="119" t="s">
        <v>40</v>
      </c>
      <c r="C24" s="110"/>
      <c r="D24">
        <v>14514081.98</v>
      </c>
      <c r="E24" s="117">
        <v>14514081.98</v>
      </c>
      <c r="F24" s="118">
        <v>17863.14</v>
      </c>
      <c r="G24" s="118">
        <v>317868217.18</v>
      </c>
      <c r="H24" s="118">
        <v>986035.37</v>
      </c>
      <c r="I24" s="118">
        <v>957738.92</v>
      </c>
      <c r="J24" s="118">
        <v>838747.5</v>
      </c>
    </row>
    <row r="25" spans="1:10">
      <c r="A25" s="120"/>
      <c r="B25" s="119" t="s">
        <v>41</v>
      </c>
      <c r="C25" s="110"/>
      <c r="E25" s="110"/>
      <c r="F25" s="110"/>
      <c r="G25" s="110"/>
      <c r="H25" s="110"/>
      <c r="I25" s="110"/>
      <c r="J25" s="110"/>
    </row>
    <row r="26" ht="33" spans="1:10">
      <c r="A26" s="120"/>
      <c r="B26" s="115" t="s">
        <v>42</v>
      </c>
      <c r="C26" s="110"/>
      <c r="E26" s="110"/>
      <c r="F26" s="110"/>
      <c r="G26" s="118">
        <v>-488004.3</v>
      </c>
      <c r="H26" s="118">
        <v>-4470000</v>
      </c>
      <c r="I26" s="118">
        <v>-20250800</v>
      </c>
      <c r="J26" s="110"/>
    </row>
    <row r="27" ht="16.5" spans="1:9">
      <c r="A27" s="120" t="s">
        <v>29</v>
      </c>
      <c r="B27" s="115" t="s">
        <v>32</v>
      </c>
      <c r="F27" s="110"/>
      <c r="G27" s="110"/>
      <c r="H27" s="110"/>
      <c r="I27" s="110"/>
    </row>
    <row r="28" ht="16.5" spans="1:9">
      <c r="A28" s="120"/>
      <c r="B28" s="115" t="s">
        <v>33</v>
      </c>
      <c r="F28" s="114">
        <v>13512500</v>
      </c>
      <c r="G28" s="114">
        <v>40353773.58</v>
      </c>
      <c r="H28" s="110"/>
      <c r="I28" s="110"/>
    </row>
    <row r="29" ht="16.5" spans="1:9">
      <c r="A29" s="120"/>
      <c r="B29" s="115" t="s">
        <v>19</v>
      </c>
      <c r="D29">
        <v>227302917</v>
      </c>
      <c r="E29" s="117">
        <v>37762081.5</v>
      </c>
      <c r="F29" s="114">
        <v>29373301.55</v>
      </c>
      <c r="G29" s="114">
        <v>561804292.19</v>
      </c>
      <c r="H29" s="116">
        <v>170741607.61</v>
      </c>
      <c r="I29" s="116">
        <v>101789422.08</v>
      </c>
    </row>
    <row r="30" ht="16.5" spans="1:9">
      <c r="A30" s="120"/>
      <c r="B30" s="115" t="s">
        <v>35</v>
      </c>
      <c r="D30">
        <v>7091.67</v>
      </c>
      <c r="E30" s="117">
        <v>47996</v>
      </c>
      <c r="F30" s="114"/>
      <c r="G30" s="114">
        <v>0.04</v>
      </c>
      <c r="H30" s="121">
        <v>0.02</v>
      </c>
      <c r="I30" s="110"/>
    </row>
    <row r="31" ht="16.5" spans="1:9">
      <c r="A31" s="120"/>
      <c r="B31" s="115" t="s">
        <v>36</v>
      </c>
      <c r="F31" s="114"/>
      <c r="G31" s="114">
        <v>115865080.86</v>
      </c>
      <c r="H31" s="110"/>
      <c r="I31" s="110"/>
    </row>
    <row r="32" ht="16.5" spans="1:9">
      <c r="A32" s="120"/>
      <c r="B32" s="115" t="s">
        <v>37</v>
      </c>
      <c r="E32" s="122">
        <v>360</v>
      </c>
      <c r="F32" s="114">
        <v>25003242.87</v>
      </c>
      <c r="G32" s="114">
        <v>290547.23</v>
      </c>
      <c r="H32" s="118">
        <v>1619333.33</v>
      </c>
      <c r="I32" s="118">
        <v>11807338.67</v>
      </c>
    </row>
    <row r="33" ht="16.5" spans="1:9">
      <c r="A33" s="120"/>
      <c r="B33" s="119" t="s">
        <v>38</v>
      </c>
      <c r="D33">
        <v>3603000</v>
      </c>
      <c r="E33" s="117">
        <v>488377.26</v>
      </c>
      <c r="F33" s="114">
        <v>579843.93</v>
      </c>
      <c r="G33" s="114">
        <v>2722499.24</v>
      </c>
      <c r="H33" s="118">
        <v>761500</v>
      </c>
      <c r="I33" s="118">
        <v>1952940</v>
      </c>
    </row>
    <row r="34" ht="16.5" spans="1:9">
      <c r="A34" s="120"/>
      <c r="B34" s="119" t="s">
        <v>39</v>
      </c>
      <c r="D34">
        <v>338836936.57</v>
      </c>
      <c r="E34" s="117">
        <v>311555613.13</v>
      </c>
      <c r="F34" s="114">
        <v>332197602.83</v>
      </c>
      <c r="G34" s="114">
        <v>333017468.23</v>
      </c>
      <c r="H34" s="118">
        <v>115153603.32</v>
      </c>
      <c r="I34" s="118">
        <v>33544616.88</v>
      </c>
    </row>
    <row r="35" ht="16.5" spans="1:9">
      <c r="A35" s="120"/>
      <c r="B35" s="119" t="s">
        <v>40</v>
      </c>
      <c r="D35">
        <v>3972.64</v>
      </c>
      <c r="E35" s="117">
        <v>35740927.3</v>
      </c>
      <c r="F35" s="114">
        <v>784616.59</v>
      </c>
      <c r="G35" s="114">
        <v>30237.2</v>
      </c>
      <c r="H35" s="118">
        <v>120026.13</v>
      </c>
      <c r="I35" s="110"/>
    </row>
    <row r="36" ht="16.5" spans="1:9">
      <c r="A36" s="120"/>
      <c r="B36" s="119" t="s">
        <v>41</v>
      </c>
      <c r="E36" s="117"/>
      <c r="F36" s="114">
        <v>310841.85</v>
      </c>
      <c r="G36" s="114">
        <v>12900894.53</v>
      </c>
      <c r="H36" s="118">
        <v>10165164.85</v>
      </c>
      <c r="I36" s="110"/>
    </row>
    <row r="37" ht="33" spans="1:9">
      <c r="A37" s="120"/>
      <c r="B37" s="115" t="s">
        <v>42</v>
      </c>
      <c r="D37">
        <v>-32389969.66</v>
      </c>
      <c r="F37" s="110"/>
      <c r="G37" s="110"/>
      <c r="H37" s="110"/>
      <c r="I37" s="110"/>
    </row>
  </sheetData>
  <mergeCells count="4">
    <mergeCell ref="B1:F1"/>
    <mergeCell ref="J1:M1"/>
    <mergeCell ref="A16:A26"/>
    <mergeCell ref="A27:A37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7"/>
  <sheetViews>
    <sheetView workbookViewId="0">
      <selection activeCell="E10" sqref="E10"/>
    </sheetView>
  </sheetViews>
  <sheetFormatPr defaultColWidth="9" defaultRowHeight="12.75"/>
  <cols>
    <col min="1" max="1" width="9" style="33"/>
    <col min="2" max="2" width="6.5" style="33" customWidth="1"/>
    <col min="3" max="3" width="31.25" style="33" customWidth="1"/>
    <col min="4" max="14" width="12.625" style="33" customWidth="1"/>
    <col min="15" max="258" width="9" style="33"/>
    <col min="259" max="259" width="31.25" style="33" customWidth="1"/>
    <col min="260" max="260" width="13.5" style="33" customWidth="1"/>
    <col min="261" max="261" width="11.25" style="33" customWidth="1"/>
    <col min="262" max="514" width="9" style="33"/>
    <col min="515" max="515" width="31.25" style="33" customWidth="1"/>
    <col min="516" max="516" width="13.5" style="33" customWidth="1"/>
    <col min="517" max="517" width="11.25" style="33" customWidth="1"/>
    <col min="518" max="770" width="9" style="33"/>
    <col min="771" max="771" width="31.25" style="33" customWidth="1"/>
    <col min="772" max="772" width="13.5" style="33" customWidth="1"/>
    <col min="773" max="773" width="11.25" style="33" customWidth="1"/>
    <col min="774" max="1026" width="9" style="33"/>
    <col min="1027" max="1027" width="31.25" style="33" customWidth="1"/>
    <col min="1028" max="1028" width="13.5" style="33" customWidth="1"/>
    <col min="1029" max="1029" width="11.25" style="33" customWidth="1"/>
    <col min="1030" max="1282" width="9" style="33"/>
    <col min="1283" max="1283" width="31.25" style="33" customWidth="1"/>
    <col min="1284" max="1284" width="13.5" style="33" customWidth="1"/>
    <col min="1285" max="1285" width="11.25" style="33" customWidth="1"/>
    <col min="1286" max="1538" width="9" style="33"/>
    <col min="1539" max="1539" width="31.25" style="33" customWidth="1"/>
    <col min="1540" max="1540" width="13.5" style="33" customWidth="1"/>
    <col min="1541" max="1541" width="11.25" style="33" customWidth="1"/>
    <col min="1542" max="1794" width="9" style="33"/>
    <col min="1795" max="1795" width="31.25" style="33" customWidth="1"/>
    <col min="1796" max="1796" width="13.5" style="33" customWidth="1"/>
    <col min="1797" max="1797" width="11.25" style="33" customWidth="1"/>
    <col min="1798" max="2050" width="9" style="33"/>
    <col min="2051" max="2051" width="31.25" style="33" customWidth="1"/>
    <col min="2052" max="2052" width="13.5" style="33" customWidth="1"/>
    <col min="2053" max="2053" width="11.25" style="33" customWidth="1"/>
    <col min="2054" max="2306" width="9" style="33"/>
    <col min="2307" max="2307" width="31.25" style="33" customWidth="1"/>
    <col min="2308" max="2308" width="13.5" style="33" customWidth="1"/>
    <col min="2309" max="2309" width="11.25" style="33" customWidth="1"/>
    <col min="2310" max="2562" width="9" style="33"/>
    <col min="2563" max="2563" width="31.25" style="33" customWidth="1"/>
    <col min="2564" max="2564" width="13.5" style="33" customWidth="1"/>
    <col min="2565" max="2565" width="11.25" style="33" customWidth="1"/>
    <col min="2566" max="2818" width="9" style="33"/>
    <col min="2819" max="2819" width="31.25" style="33" customWidth="1"/>
    <col min="2820" max="2820" width="13.5" style="33" customWidth="1"/>
    <col min="2821" max="2821" width="11.25" style="33" customWidth="1"/>
    <col min="2822" max="3074" width="9" style="33"/>
    <col min="3075" max="3075" width="31.25" style="33" customWidth="1"/>
    <col min="3076" max="3076" width="13.5" style="33" customWidth="1"/>
    <col min="3077" max="3077" width="11.25" style="33" customWidth="1"/>
    <col min="3078" max="3330" width="9" style="33"/>
    <col min="3331" max="3331" width="31.25" style="33" customWidth="1"/>
    <col min="3332" max="3332" width="13.5" style="33" customWidth="1"/>
    <col min="3333" max="3333" width="11.25" style="33" customWidth="1"/>
    <col min="3334" max="3586" width="9" style="33"/>
    <col min="3587" max="3587" width="31.25" style="33" customWidth="1"/>
    <col min="3588" max="3588" width="13.5" style="33" customWidth="1"/>
    <col min="3589" max="3589" width="11.25" style="33" customWidth="1"/>
    <col min="3590" max="3842" width="9" style="33"/>
    <col min="3843" max="3843" width="31.25" style="33" customWidth="1"/>
    <col min="3844" max="3844" width="13.5" style="33" customWidth="1"/>
    <col min="3845" max="3845" width="11.25" style="33" customWidth="1"/>
    <col min="3846" max="4098" width="9" style="33"/>
    <col min="4099" max="4099" width="31.25" style="33" customWidth="1"/>
    <col min="4100" max="4100" width="13.5" style="33" customWidth="1"/>
    <col min="4101" max="4101" width="11.25" style="33" customWidth="1"/>
    <col min="4102" max="4354" width="9" style="33"/>
    <col min="4355" max="4355" width="31.25" style="33" customWidth="1"/>
    <col min="4356" max="4356" width="13.5" style="33" customWidth="1"/>
    <col min="4357" max="4357" width="11.25" style="33" customWidth="1"/>
    <col min="4358" max="4610" width="9" style="33"/>
    <col min="4611" max="4611" width="31.25" style="33" customWidth="1"/>
    <col min="4612" max="4612" width="13.5" style="33" customWidth="1"/>
    <col min="4613" max="4613" width="11.25" style="33" customWidth="1"/>
    <col min="4614" max="4866" width="9" style="33"/>
    <col min="4867" max="4867" width="31.25" style="33" customWidth="1"/>
    <col min="4868" max="4868" width="13.5" style="33" customWidth="1"/>
    <col min="4869" max="4869" width="11.25" style="33" customWidth="1"/>
    <col min="4870" max="5122" width="9" style="33"/>
    <col min="5123" max="5123" width="31.25" style="33" customWidth="1"/>
    <col min="5124" max="5124" width="13.5" style="33" customWidth="1"/>
    <col min="5125" max="5125" width="11.25" style="33" customWidth="1"/>
    <col min="5126" max="5378" width="9" style="33"/>
    <col min="5379" max="5379" width="31.25" style="33" customWidth="1"/>
    <col min="5380" max="5380" width="13.5" style="33" customWidth="1"/>
    <col min="5381" max="5381" width="11.25" style="33" customWidth="1"/>
    <col min="5382" max="5634" width="9" style="33"/>
    <col min="5635" max="5635" width="31.25" style="33" customWidth="1"/>
    <col min="5636" max="5636" width="13.5" style="33" customWidth="1"/>
    <col min="5637" max="5637" width="11.25" style="33" customWidth="1"/>
    <col min="5638" max="5890" width="9" style="33"/>
    <col min="5891" max="5891" width="31.25" style="33" customWidth="1"/>
    <col min="5892" max="5892" width="13.5" style="33" customWidth="1"/>
    <col min="5893" max="5893" width="11.25" style="33" customWidth="1"/>
    <col min="5894" max="6146" width="9" style="33"/>
    <col min="6147" max="6147" width="31.25" style="33" customWidth="1"/>
    <col min="6148" max="6148" width="13.5" style="33" customWidth="1"/>
    <col min="6149" max="6149" width="11.25" style="33" customWidth="1"/>
    <col min="6150" max="6402" width="9" style="33"/>
    <col min="6403" max="6403" width="31.25" style="33" customWidth="1"/>
    <col min="6404" max="6404" width="13.5" style="33" customWidth="1"/>
    <col min="6405" max="6405" width="11.25" style="33" customWidth="1"/>
    <col min="6406" max="6658" width="9" style="33"/>
    <col min="6659" max="6659" width="31.25" style="33" customWidth="1"/>
    <col min="6660" max="6660" width="13.5" style="33" customWidth="1"/>
    <col min="6661" max="6661" width="11.25" style="33" customWidth="1"/>
    <col min="6662" max="6914" width="9" style="33"/>
    <col min="6915" max="6915" width="31.25" style="33" customWidth="1"/>
    <col min="6916" max="6916" width="13.5" style="33" customWidth="1"/>
    <col min="6917" max="6917" width="11.25" style="33" customWidth="1"/>
    <col min="6918" max="7170" width="9" style="33"/>
    <col min="7171" max="7171" width="31.25" style="33" customWidth="1"/>
    <col min="7172" max="7172" width="13.5" style="33" customWidth="1"/>
    <col min="7173" max="7173" width="11.25" style="33" customWidth="1"/>
    <col min="7174" max="7426" width="9" style="33"/>
    <col min="7427" max="7427" width="31.25" style="33" customWidth="1"/>
    <col min="7428" max="7428" width="13.5" style="33" customWidth="1"/>
    <col min="7429" max="7429" width="11.25" style="33" customWidth="1"/>
    <col min="7430" max="7682" width="9" style="33"/>
    <col min="7683" max="7683" width="31.25" style="33" customWidth="1"/>
    <col min="7684" max="7684" width="13.5" style="33" customWidth="1"/>
    <col min="7685" max="7685" width="11.25" style="33" customWidth="1"/>
    <col min="7686" max="7938" width="9" style="33"/>
    <col min="7939" max="7939" width="31.25" style="33" customWidth="1"/>
    <col min="7940" max="7940" width="13.5" style="33" customWidth="1"/>
    <col min="7941" max="7941" width="11.25" style="33" customWidth="1"/>
    <col min="7942" max="8194" width="9" style="33"/>
    <col min="8195" max="8195" width="31.25" style="33" customWidth="1"/>
    <col min="8196" max="8196" width="13.5" style="33" customWidth="1"/>
    <col min="8197" max="8197" width="11.25" style="33" customWidth="1"/>
    <col min="8198" max="8450" width="9" style="33"/>
    <col min="8451" max="8451" width="31.25" style="33" customWidth="1"/>
    <col min="8452" max="8452" width="13.5" style="33" customWidth="1"/>
    <col min="8453" max="8453" width="11.25" style="33" customWidth="1"/>
    <col min="8454" max="8706" width="9" style="33"/>
    <col min="8707" max="8707" width="31.25" style="33" customWidth="1"/>
    <col min="8708" max="8708" width="13.5" style="33" customWidth="1"/>
    <col min="8709" max="8709" width="11.25" style="33" customWidth="1"/>
    <col min="8710" max="8962" width="9" style="33"/>
    <col min="8963" max="8963" width="31.25" style="33" customWidth="1"/>
    <col min="8964" max="8964" width="13.5" style="33" customWidth="1"/>
    <col min="8965" max="8965" width="11.25" style="33" customWidth="1"/>
    <col min="8966" max="9218" width="9" style="33"/>
    <col min="9219" max="9219" width="31.25" style="33" customWidth="1"/>
    <col min="9220" max="9220" width="13.5" style="33" customWidth="1"/>
    <col min="9221" max="9221" width="11.25" style="33" customWidth="1"/>
    <col min="9222" max="9474" width="9" style="33"/>
    <col min="9475" max="9475" width="31.25" style="33" customWidth="1"/>
    <col min="9476" max="9476" width="13.5" style="33" customWidth="1"/>
    <col min="9477" max="9477" width="11.25" style="33" customWidth="1"/>
    <col min="9478" max="9730" width="9" style="33"/>
    <col min="9731" max="9731" width="31.25" style="33" customWidth="1"/>
    <col min="9732" max="9732" width="13.5" style="33" customWidth="1"/>
    <col min="9733" max="9733" width="11.25" style="33" customWidth="1"/>
    <col min="9734" max="9986" width="9" style="33"/>
    <col min="9987" max="9987" width="31.25" style="33" customWidth="1"/>
    <col min="9988" max="9988" width="13.5" style="33" customWidth="1"/>
    <col min="9989" max="9989" width="11.25" style="33" customWidth="1"/>
    <col min="9990" max="10242" width="9" style="33"/>
    <col min="10243" max="10243" width="31.25" style="33" customWidth="1"/>
    <col min="10244" max="10244" width="13.5" style="33" customWidth="1"/>
    <col min="10245" max="10245" width="11.25" style="33" customWidth="1"/>
    <col min="10246" max="10498" width="9" style="33"/>
    <col min="10499" max="10499" width="31.25" style="33" customWidth="1"/>
    <col min="10500" max="10500" width="13.5" style="33" customWidth="1"/>
    <col min="10501" max="10501" width="11.25" style="33" customWidth="1"/>
    <col min="10502" max="10754" width="9" style="33"/>
    <col min="10755" max="10755" width="31.25" style="33" customWidth="1"/>
    <col min="10756" max="10756" width="13.5" style="33" customWidth="1"/>
    <col min="10757" max="10757" width="11.25" style="33" customWidth="1"/>
    <col min="10758" max="11010" width="9" style="33"/>
    <col min="11011" max="11011" width="31.25" style="33" customWidth="1"/>
    <col min="11012" max="11012" width="13.5" style="33" customWidth="1"/>
    <col min="11013" max="11013" width="11.25" style="33" customWidth="1"/>
    <col min="11014" max="11266" width="9" style="33"/>
    <col min="11267" max="11267" width="31.25" style="33" customWidth="1"/>
    <col min="11268" max="11268" width="13.5" style="33" customWidth="1"/>
    <col min="11269" max="11269" width="11.25" style="33" customWidth="1"/>
    <col min="11270" max="11522" width="9" style="33"/>
    <col min="11523" max="11523" width="31.25" style="33" customWidth="1"/>
    <col min="11524" max="11524" width="13.5" style="33" customWidth="1"/>
    <col min="11525" max="11525" width="11.25" style="33" customWidth="1"/>
    <col min="11526" max="11778" width="9" style="33"/>
    <col min="11779" max="11779" width="31.25" style="33" customWidth="1"/>
    <col min="11780" max="11780" width="13.5" style="33" customWidth="1"/>
    <col min="11781" max="11781" width="11.25" style="33" customWidth="1"/>
    <col min="11782" max="12034" width="9" style="33"/>
    <col min="12035" max="12035" width="31.25" style="33" customWidth="1"/>
    <col min="12036" max="12036" width="13.5" style="33" customWidth="1"/>
    <col min="12037" max="12037" width="11.25" style="33" customWidth="1"/>
    <col min="12038" max="12290" width="9" style="33"/>
    <col min="12291" max="12291" width="31.25" style="33" customWidth="1"/>
    <col min="12292" max="12292" width="13.5" style="33" customWidth="1"/>
    <col min="12293" max="12293" width="11.25" style="33" customWidth="1"/>
    <col min="12294" max="12546" width="9" style="33"/>
    <col min="12547" max="12547" width="31.25" style="33" customWidth="1"/>
    <col min="12548" max="12548" width="13.5" style="33" customWidth="1"/>
    <col min="12549" max="12549" width="11.25" style="33" customWidth="1"/>
    <col min="12550" max="12802" width="9" style="33"/>
    <col min="12803" max="12803" width="31.25" style="33" customWidth="1"/>
    <col min="12804" max="12804" width="13.5" style="33" customWidth="1"/>
    <col min="12805" max="12805" width="11.25" style="33" customWidth="1"/>
    <col min="12806" max="13058" width="9" style="33"/>
    <col min="13059" max="13059" width="31.25" style="33" customWidth="1"/>
    <col min="13060" max="13060" width="13.5" style="33" customWidth="1"/>
    <col min="13061" max="13061" width="11.25" style="33" customWidth="1"/>
    <col min="13062" max="13314" width="9" style="33"/>
    <col min="13315" max="13315" width="31.25" style="33" customWidth="1"/>
    <col min="13316" max="13316" width="13.5" style="33" customWidth="1"/>
    <col min="13317" max="13317" width="11.25" style="33" customWidth="1"/>
    <col min="13318" max="13570" width="9" style="33"/>
    <col min="13571" max="13571" width="31.25" style="33" customWidth="1"/>
    <col min="13572" max="13572" width="13.5" style="33" customWidth="1"/>
    <col min="13573" max="13573" width="11.25" style="33" customWidth="1"/>
    <col min="13574" max="13826" width="9" style="33"/>
    <col min="13827" max="13827" width="31.25" style="33" customWidth="1"/>
    <col min="13828" max="13828" width="13.5" style="33" customWidth="1"/>
    <col min="13829" max="13829" width="11.25" style="33" customWidth="1"/>
    <col min="13830" max="14082" width="9" style="33"/>
    <col min="14083" max="14083" width="31.25" style="33" customWidth="1"/>
    <col min="14084" max="14084" width="13.5" style="33" customWidth="1"/>
    <col min="14085" max="14085" width="11.25" style="33" customWidth="1"/>
    <col min="14086" max="14338" width="9" style="33"/>
    <col min="14339" max="14339" width="31.25" style="33" customWidth="1"/>
    <col min="14340" max="14340" width="13.5" style="33" customWidth="1"/>
    <col min="14341" max="14341" width="11.25" style="33" customWidth="1"/>
    <col min="14342" max="14594" width="9" style="33"/>
    <col min="14595" max="14595" width="31.25" style="33" customWidth="1"/>
    <col min="14596" max="14596" width="13.5" style="33" customWidth="1"/>
    <col min="14597" max="14597" width="11.25" style="33" customWidth="1"/>
    <col min="14598" max="14850" width="9" style="33"/>
    <col min="14851" max="14851" width="31.25" style="33" customWidth="1"/>
    <col min="14852" max="14852" width="13.5" style="33" customWidth="1"/>
    <col min="14853" max="14853" width="11.25" style="33" customWidth="1"/>
    <col min="14854" max="15106" width="9" style="33"/>
    <col min="15107" max="15107" width="31.25" style="33" customWidth="1"/>
    <col min="15108" max="15108" width="13.5" style="33" customWidth="1"/>
    <col min="15109" max="15109" width="11.25" style="33" customWidth="1"/>
    <col min="15110" max="15362" width="9" style="33"/>
    <col min="15363" max="15363" width="31.25" style="33" customWidth="1"/>
    <col min="15364" max="15364" width="13.5" style="33" customWidth="1"/>
    <col min="15365" max="15365" width="11.25" style="33" customWidth="1"/>
    <col min="15366" max="15618" width="9" style="33"/>
    <col min="15619" max="15619" width="31.25" style="33" customWidth="1"/>
    <col min="15620" max="15620" width="13.5" style="33" customWidth="1"/>
    <col min="15621" max="15621" width="11.25" style="33" customWidth="1"/>
    <col min="15622" max="15874" width="9" style="33"/>
    <col min="15875" max="15875" width="31.25" style="33" customWidth="1"/>
    <col min="15876" max="15876" width="13.5" style="33" customWidth="1"/>
    <col min="15877" max="15877" width="11.25" style="33" customWidth="1"/>
    <col min="15878" max="16130" width="9" style="33"/>
    <col min="16131" max="16131" width="31.25" style="33" customWidth="1"/>
    <col min="16132" max="16132" width="13.5" style="33" customWidth="1"/>
    <col min="16133" max="16133" width="11.25" style="33" customWidth="1"/>
    <col min="16134" max="16384" width="9" style="33"/>
  </cols>
  <sheetData>
    <row r="1" ht="13.5"/>
    <row r="2" s="53" customFormat="1" ht="20.1" customHeight="1" spans="2:14">
      <c r="B2" s="2" t="s">
        <v>1</v>
      </c>
      <c r="C2" s="107" t="s">
        <v>44</v>
      </c>
      <c r="D2" s="3" t="s">
        <v>3</v>
      </c>
      <c r="E2" s="3" t="s">
        <v>6</v>
      </c>
      <c r="F2" s="3" t="s">
        <v>5</v>
      </c>
      <c r="G2" s="4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26" t="s">
        <v>13</v>
      </c>
    </row>
    <row r="3" ht="20.1" customHeight="1" spans="2:14">
      <c r="B3" s="36">
        <v>1</v>
      </c>
      <c r="C3" s="38" t="s">
        <v>45</v>
      </c>
      <c r="D3" s="39">
        <f>SUM(F3:N3)</f>
        <v>391.621776</v>
      </c>
      <c r="E3" s="39"/>
      <c r="F3" s="39"/>
      <c r="G3" s="39">
        <f>87.278832+42.96</f>
        <v>130.238832</v>
      </c>
      <c r="H3" s="39">
        <v>214.728378</v>
      </c>
      <c r="I3" s="39">
        <v>46.654566</v>
      </c>
      <c r="J3" s="39">
        <v>0</v>
      </c>
      <c r="K3" s="39">
        <v>0</v>
      </c>
      <c r="L3" s="39">
        <v>0</v>
      </c>
      <c r="M3" s="39">
        <v>0</v>
      </c>
      <c r="N3" s="48">
        <v>0</v>
      </c>
    </row>
    <row r="4" ht="20.1" customHeight="1" spans="2:14">
      <c r="B4" s="36">
        <v>2</v>
      </c>
      <c r="C4" s="38" t="s">
        <v>46</v>
      </c>
      <c r="D4" s="39">
        <f t="shared" ref="D4:D13" si="0">SUM(F4:N4)</f>
        <v>2097.13156875472</v>
      </c>
      <c r="E4" s="39"/>
      <c r="F4" s="39"/>
      <c r="G4" s="39">
        <f>792.860170754717+191.8</f>
        <v>984.660170754717</v>
      </c>
      <c r="H4" s="39">
        <v>794.757624</v>
      </c>
      <c r="I4" s="39">
        <f>56.603774+85.21-10.5</f>
        <v>131.313774</v>
      </c>
      <c r="J4" s="39">
        <v>186.4</v>
      </c>
      <c r="K4" s="39">
        <v>0</v>
      </c>
      <c r="L4" s="39">
        <v>0</v>
      </c>
      <c r="M4" s="39">
        <v>0</v>
      </c>
      <c r="N4" s="48">
        <v>0</v>
      </c>
    </row>
    <row r="5" ht="20.1" customHeight="1" spans="2:14">
      <c r="B5" s="36">
        <v>4</v>
      </c>
      <c r="C5" s="38" t="s">
        <v>47</v>
      </c>
      <c r="D5" s="39">
        <f t="shared" si="0"/>
        <v>460.53302</v>
      </c>
      <c r="E5" s="39"/>
      <c r="F5" s="39"/>
      <c r="G5" s="39">
        <v>40.528302</v>
      </c>
      <c r="H5" s="39">
        <v>420.004718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  <c r="N5" s="48">
        <v>0</v>
      </c>
    </row>
    <row r="6" ht="20.1" customHeight="1" spans="2:14">
      <c r="B6" s="36">
        <v>5</v>
      </c>
      <c r="C6" s="38" t="s">
        <v>48</v>
      </c>
      <c r="D6" s="39">
        <f t="shared" si="0"/>
        <v>235.849057</v>
      </c>
      <c r="E6" s="39"/>
      <c r="F6" s="39"/>
      <c r="G6" s="39">
        <v>141.509434</v>
      </c>
      <c r="H6" s="39">
        <v>94.339623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48">
        <v>0</v>
      </c>
    </row>
    <row r="7" ht="20.1" customHeight="1" spans="2:14">
      <c r="B7" s="36">
        <v>6</v>
      </c>
      <c r="C7" s="38" t="s">
        <v>49</v>
      </c>
      <c r="D7" s="39">
        <f t="shared" si="0"/>
        <v>5361.80868703774</v>
      </c>
      <c r="E7" s="39"/>
      <c r="F7" s="39">
        <f>94.3+1530.5+1374+189.989818+94.339623+179.622642</f>
        <v>3462.752083</v>
      </c>
      <c r="G7" s="39">
        <v>433.962264037736</v>
      </c>
      <c r="H7" s="39">
        <v>865.09434</v>
      </c>
      <c r="I7" s="39">
        <v>0</v>
      </c>
      <c r="J7" s="39">
        <v>0</v>
      </c>
      <c r="K7" s="39">
        <v>0</v>
      </c>
      <c r="L7" s="39">
        <v>0</v>
      </c>
      <c r="M7" s="39">
        <v>600</v>
      </c>
      <c r="N7" s="108"/>
    </row>
    <row r="8" ht="20.1" customHeight="1" spans="2:14">
      <c r="B8" s="36">
        <v>7</v>
      </c>
      <c r="C8" s="38" t="s">
        <v>50</v>
      </c>
      <c r="D8" s="39">
        <f t="shared" si="0"/>
        <v>504.012553</v>
      </c>
      <c r="E8" s="39"/>
      <c r="F8" s="39"/>
      <c r="G8" s="39">
        <v>0</v>
      </c>
      <c r="H8" s="39">
        <v>504.012553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48">
        <v>0</v>
      </c>
    </row>
    <row r="9" ht="20.1" customHeight="1" spans="2:14">
      <c r="B9" s="36">
        <v>8</v>
      </c>
      <c r="C9" s="38" t="s">
        <v>51</v>
      </c>
      <c r="D9" s="39">
        <f t="shared" si="0"/>
        <v>3265.46301811321</v>
      </c>
      <c r="E9" s="39"/>
      <c r="F9" s="39"/>
      <c r="G9" s="39">
        <f>1015.47169811321+330.18</f>
        <v>1345.65169811321</v>
      </c>
      <c r="H9" s="39">
        <v>1919.81132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  <c r="N9" s="48">
        <v>0</v>
      </c>
    </row>
    <row r="10" ht="20.1" customHeight="1" spans="2:14">
      <c r="B10" s="36">
        <v>9</v>
      </c>
      <c r="C10" s="38" t="s">
        <v>52</v>
      </c>
      <c r="D10" s="39">
        <f t="shared" si="0"/>
        <v>56.6037735849057</v>
      </c>
      <c r="E10" s="39"/>
      <c r="F10" s="39"/>
      <c r="G10" s="39">
        <v>56.6037735849057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48">
        <v>0</v>
      </c>
    </row>
    <row r="11" ht="20.1" customHeight="1" spans="2:14">
      <c r="B11" s="36">
        <v>10</v>
      </c>
      <c r="C11" s="38" t="s">
        <v>53</v>
      </c>
      <c r="D11" s="39">
        <f t="shared" si="0"/>
        <v>3709.09424339623</v>
      </c>
      <c r="E11" s="39"/>
      <c r="F11" s="39">
        <v>2674</v>
      </c>
      <c r="G11" s="39">
        <f>884.150943396226+150.9433</f>
        <v>1035.09424339623</v>
      </c>
      <c r="H11" s="39">
        <v>0</v>
      </c>
      <c r="I11" s="39">
        <v>0</v>
      </c>
      <c r="J11" s="39">
        <v>0</v>
      </c>
      <c r="K11" s="39">
        <v>0</v>
      </c>
      <c r="L11" s="39">
        <v>0</v>
      </c>
      <c r="M11" s="39">
        <v>0</v>
      </c>
      <c r="N11" s="48">
        <v>0</v>
      </c>
    </row>
    <row r="12" ht="20.1" customHeight="1" spans="2:14">
      <c r="B12" s="43">
        <v>11</v>
      </c>
      <c r="C12" s="41" t="s">
        <v>54</v>
      </c>
      <c r="D12" s="39">
        <f t="shared" si="0"/>
        <v>878.687358</v>
      </c>
      <c r="E12" s="42"/>
      <c r="F12" s="42">
        <v>253.31</v>
      </c>
      <c r="G12" s="42">
        <f>155+470.377358</f>
        <v>625.377358</v>
      </c>
      <c r="H12" s="42"/>
      <c r="I12" s="42"/>
      <c r="J12" s="42"/>
      <c r="K12" s="42"/>
      <c r="L12" s="42"/>
      <c r="M12" s="42"/>
      <c r="N12" s="51"/>
    </row>
    <row r="13" ht="20.1" customHeight="1" spans="2:14">
      <c r="B13" s="44"/>
      <c r="C13" s="46" t="s">
        <v>14</v>
      </c>
      <c r="D13" s="39">
        <f t="shared" si="0"/>
        <v>16960.8050548868</v>
      </c>
      <c r="E13" s="47">
        <f>SUM(E3:E12)</f>
        <v>0</v>
      </c>
      <c r="F13" s="47">
        <f>SUM(F3:F12)</f>
        <v>6390.062083</v>
      </c>
      <c r="G13" s="47">
        <f>SUM(G3:G12)</f>
        <v>4793.62607588679</v>
      </c>
      <c r="H13" s="47">
        <f t="shared" ref="H13:N13" si="1">SUM(H3:H11)</f>
        <v>4812.748556</v>
      </c>
      <c r="I13" s="47">
        <f t="shared" si="1"/>
        <v>177.96834</v>
      </c>
      <c r="J13" s="47">
        <f t="shared" si="1"/>
        <v>186.4</v>
      </c>
      <c r="K13" s="47">
        <f t="shared" si="1"/>
        <v>0</v>
      </c>
      <c r="L13" s="47">
        <f t="shared" si="1"/>
        <v>0</v>
      </c>
      <c r="M13" s="47">
        <f t="shared" si="1"/>
        <v>600</v>
      </c>
      <c r="N13" s="109">
        <f t="shared" si="1"/>
        <v>0</v>
      </c>
    </row>
    <row r="17" ht="38.25" customHeight="1"/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N28"/>
  <sheetViews>
    <sheetView workbookViewId="0">
      <selection activeCell="A1" sqref="$A1:$XFD28"/>
    </sheetView>
  </sheetViews>
  <sheetFormatPr defaultColWidth="9" defaultRowHeight="13.5"/>
  <sheetData>
    <row r="1" s="33" customFormat="1" ht="12.75" spans="4:13">
      <c r="D1" s="71"/>
      <c r="E1" s="71"/>
      <c r="F1" s="71"/>
      <c r="G1" s="71"/>
      <c r="H1" s="71"/>
      <c r="I1" s="71">
        <v>1</v>
      </c>
      <c r="J1" s="71">
        <v>3</v>
      </c>
      <c r="K1" s="71"/>
      <c r="L1" s="71"/>
      <c r="M1" s="71"/>
    </row>
    <row r="2" s="33" customFormat="1" ht="16.5" spans="4:13">
      <c r="D2" s="71"/>
      <c r="E2" s="71"/>
      <c r="F2" s="71" t="s">
        <v>55</v>
      </c>
      <c r="G2" s="71">
        <v>6637754.58</v>
      </c>
      <c r="H2" s="71"/>
      <c r="I2" s="38" t="s">
        <v>49</v>
      </c>
      <c r="J2" s="106" t="s">
        <v>56</v>
      </c>
      <c r="K2" s="71">
        <v>754716.98</v>
      </c>
      <c r="L2" s="71"/>
      <c r="M2" s="71"/>
    </row>
    <row r="3" s="33" customFormat="1" ht="12.75" spans="4:13">
      <c r="D3" s="71"/>
      <c r="E3" s="71"/>
      <c r="F3" s="71" t="s">
        <v>45</v>
      </c>
      <c r="G3" s="71">
        <v>2147283.78</v>
      </c>
      <c r="H3" s="71"/>
      <c r="I3" s="71"/>
      <c r="J3" s="71" t="s">
        <v>57</v>
      </c>
      <c r="K3" s="71">
        <v>872788.32</v>
      </c>
      <c r="L3" s="71"/>
      <c r="M3" s="71"/>
    </row>
    <row r="4" s="33" customFormat="1" ht="12.75" spans="4:13">
      <c r="D4" s="105" t="s">
        <v>58</v>
      </c>
      <c r="E4" s="105"/>
      <c r="F4" s="105" t="s">
        <v>59</v>
      </c>
      <c r="G4" s="71">
        <v>1309821.66</v>
      </c>
      <c r="H4" s="71">
        <f t="shared" ref="H4:H17" si="0">G4/10000</f>
        <v>130.982166</v>
      </c>
      <c r="I4" s="105" t="s">
        <v>47</v>
      </c>
      <c r="J4" s="71" t="s">
        <v>60</v>
      </c>
      <c r="K4" s="71">
        <v>196792.45</v>
      </c>
      <c r="L4" s="71"/>
      <c r="M4" s="71">
        <f>L4+L5</f>
        <v>0</v>
      </c>
    </row>
    <row r="5" s="33" customFormat="1" ht="12.75" spans="4:13">
      <c r="D5" s="105" t="s">
        <v>61</v>
      </c>
      <c r="E5" s="105"/>
      <c r="F5" s="71" t="s">
        <v>62</v>
      </c>
      <c r="G5" s="71">
        <v>568915.09</v>
      </c>
      <c r="H5" s="71">
        <f t="shared" si="0"/>
        <v>56.891509</v>
      </c>
      <c r="I5" s="105" t="s">
        <v>47</v>
      </c>
      <c r="J5" s="71" t="s">
        <v>63</v>
      </c>
      <c r="K5" s="71">
        <v>208490.57</v>
      </c>
      <c r="L5" s="71"/>
      <c r="M5" s="71"/>
    </row>
    <row r="6" s="33" customFormat="1" ht="16.5" spans="4:13">
      <c r="D6" s="105" t="s">
        <v>61</v>
      </c>
      <c r="E6" s="105"/>
      <c r="F6" s="71" t="s">
        <v>64</v>
      </c>
      <c r="G6" s="71">
        <v>943396.23</v>
      </c>
      <c r="H6" s="71">
        <f t="shared" si="0"/>
        <v>94.339623</v>
      </c>
      <c r="I6" s="105" t="s">
        <v>65</v>
      </c>
      <c r="J6" s="71" t="s">
        <v>66</v>
      </c>
      <c r="K6" s="71">
        <v>1014150.94339623</v>
      </c>
      <c r="L6" s="71"/>
      <c r="M6" s="71"/>
    </row>
    <row r="7" s="33" customFormat="1" ht="12.75" spans="4:13">
      <c r="D7" s="105" t="s">
        <v>61</v>
      </c>
      <c r="E7" s="105"/>
      <c r="F7" s="71" t="s">
        <v>67</v>
      </c>
      <c r="G7" s="71">
        <v>660377.36</v>
      </c>
      <c r="H7" s="71">
        <f t="shared" si="0"/>
        <v>66.037736</v>
      </c>
      <c r="I7" s="105" t="s">
        <v>65</v>
      </c>
      <c r="J7" s="71" t="s">
        <v>68</v>
      </c>
      <c r="K7" s="71">
        <v>949528.301886792</v>
      </c>
      <c r="L7" s="71"/>
      <c r="M7" s="71"/>
    </row>
    <row r="8" s="33" customFormat="1" ht="16.5" spans="4:13">
      <c r="D8" s="105" t="s">
        <v>61</v>
      </c>
      <c r="E8" s="105"/>
      <c r="F8" s="71" t="s">
        <v>69</v>
      </c>
      <c r="G8" s="71">
        <v>943396.23</v>
      </c>
      <c r="H8" s="71">
        <f t="shared" si="0"/>
        <v>94.339623</v>
      </c>
      <c r="I8" s="105" t="s">
        <v>65</v>
      </c>
      <c r="J8" s="71" t="s">
        <v>70</v>
      </c>
      <c r="K8" s="71">
        <v>636792.452830189</v>
      </c>
      <c r="L8" s="71"/>
      <c r="M8" s="71"/>
    </row>
    <row r="9" s="33" customFormat="1" ht="12.75" spans="4:13">
      <c r="D9" s="105" t="s">
        <v>61</v>
      </c>
      <c r="E9" s="105"/>
      <c r="F9" s="71" t="s">
        <v>71</v>
      </c>
      <c r="G9" s="71">
        <v>470754.72</v>
      </c>
      <c r="H9" s="71">
        <f t="shared" si="0"/>
        <v>47.075472</v>
      </c>
      <c r="I9" s="105" t="s">
        <v>65</v>
      </c>
      <c r="J9" s="71" t="s">
        <v>72</v>
      </c>
      <c r="K9" s="71">
        <v>5328130.00943396</v>
      </c>
      <c r="L9" s="71"/>
      <c r="M9" s="71"/>
    </row>
    <row r="10" s="33" customFormat="1" ht="16.5" spans="4:13">
      <c r="D10" s="105" t="s">
        <v>61</v>
      </c>
      <c r="E10" s="105"/>
      <c r="F10" s="71" t="s">
        <v>73</v>
      </c>
      <c r="G10" s="71">
        <v>307547.17</v>
      </c>
      <c r="H10" s="71">
        <f t="shared" si="0"/>
        <v>30.754717</v>
      </c>
      <c r="I10" s="38" t="s">
        <v>51</v>
      </c>
      <c r="J10" s="71" t="s">
        <v>74</v>
      </c>
      <c r="K10" s="71">
        <v>1698113.20754717</v>
      </c>
      <c r="L10" s="71"/>
      <c r="M10" s="71"/>
    </row>
    <row r="11" s="33" customFormat="1" ht="16.5" spans="4:13">
      <c r="D11" s="105" t="s">
        <v>61</v>
      </c>
      <c r="E11" s="105"/>
      <c r="F11" s="71" t="s">
        <v>75</v>
      </c>
      <c r="G11" s="71">
        <v>305660.38</v>
      </c>
      <c r="H11" s="71">
        <f t="shared" si="0"/>
        <v>30.566038</v>
      </c>
      <c r="I11" s="38" t="s">
        <v>48</v>
      </c>
      <c r="J11" s="71" t="s">
        <v>76</v>
      </c>
      <c r="K11" s="71">
        <v>1415094.34</v>
      </c>
      <c r="L11" s="71"/>
      <c r="M11" s="71"/>
    </row>
    <row r="12" s="33" customFormat="1" ht="16.5" spans="4:13">
      <c r="D12" s="105" t="s">
        <v>77</v>
      </c>
      <c r="E12" s="105"/>
      <c r="F12" s="105" t="s">
        <v>78</v>
      </c>
      <c r="G12" s="71">
        <v>1009433.96</v>
      </c>
      <c r="H12" s="71">
        <f t="shared" si="0"/>
        <v>100.943396</v>
      </c>
      <c r="I12" s="38" t="s">
        <v>49</v>
      </c>
      <c r="J12" s="71" t="s">
        <v>79</v>
      </c>
      <c r="K12" s="71">
        <v>2830188.67924528</v>
      </c>
      <c r="L12" s="71"/>
      <c r="M12" s="71"/>
    </row>
    <row r="13" s="33" customFormat="1" ht="16.5" spans="4:13">
      <c r="D13" s="105" t="s">
        <v>77</v>
      </c>
      <c r="E13" s="105"/>
      <c r="F13" s="105" t="s">
        <v>80</v>
      </c>
      <c r="G13" s="71">
        <v>1509433.96</v>
      </c>
      <c r="H13" s="71">
        <f t="shared" si="0"/>
        <v>150.943396</v>
      </c>
      <c r="I13" s="38" t="s">
        <v>49</v>
      </c>
      <c r="J13" s="106" t="s">
        <v>56</v>
      </c>
      <c r="K13" s="71">
        <v>754716.981132075</v>
      </c>
      <c r="L13" s="71"/>
      <c r="M13" s="71"/>
    </row>
    <row r="14" s="33" customFormat="1" ht="16.5" spans="4:13">
      <c r="D14" s="105" t="s">
        <v>81</v>
      </c>
      <c r="E14" s="105"/>
      <c r="F14" s="71" t="s">
        <v>82</v>
      </c>
      <c r="G14" s="71">
        <v>943396.23</v>
      </c>
      <c r="H14" s="71">
        <f t="shared" si="0"/>
        <v>94.339623</v>
      </c>
      <c r="I14" s="38" t="s">
        <v>52</v>
      </c>
      <c r="J14" s="71" t="s">
        <v>83</v>
      </c>
      <c r="K14" s="71">
        <v>566037.735849057</v>
      </c>
      <c r="L14" s="71"/>
      <c r="M14" s="71"/>
    </row>
    <row r="15" s="33" customFormat="1" ht="16.5" spans="4:14">
      <c r="D15" s="105" t="s">
        <v>77</v>
      </c>
      <c r="E15" s="105"/>
      <c r="F15" s="71" t="s">
        <v>84</v>
      </c>
      <c r="G15" s="71">
        <v>6132075.48</v>
      </c>
      <c r="H15" s="71">
        <f t="shared" si="0"/>
        <v>613.207548</v>
      </c>
      <c r="I15" s="38" t="s">
        <v>53</v>
      </c>
      <c r="J15" s="106" t="s">
        <v>85</v>
      </c>
      <c r="K15" s="71">
        <v>943396.226415094</v>
      </c>
      <c r="L15" s="71"/>
      <c r="M15" s="71"/>
      <c r="N15" s="33">
        <f>L15+L16+L17+L18+L19</f>
        <v>0</v>
      </c>
    </row>
    <row r="16" s="33" customFormat="1" ht="16.5" spans="4:13">
      <c r="D16" s="105" t="s">
        <v>86</v>
      </c>
      <c r="E16" s="105"/>
      <c r="F16" s="71" t="s">
        <v>87</v>
      </c>
      <c r="G16" s="71">
        <v>5040125.53</v>
      </c>
      <c r="H16" s="71">
        <f t="shared" si="0"/>
        <v>504.012553</v>
      </c>
      <c r="I16" s="38" t="s">
        <v>53</v>
      </c>
      <c r="J16" s="106" t="s">
        <v>88</v>
      </c>
      <c r="K16" s="71">
        <v>2358490.56603774</v>
      </c>
      <c r="L16" s="71"/>
      <c r="M16" s="71"/>
    </row>
    <row r="17" s="33" customFormat="1" ht="16.5" spans="4:13">
      <c r="D17" s="71"/>
      <c r="E17" s="71"/>
      <c r="F17" s="71" t="s">
        <v>89</v>
      </c>
      <c r="G17" s="71">
        <v>48127485.56</v>
      </c>
      <c r="H17" s="71">
        <f t="shared" si="0"/>
        <v>4812.748556</v>
      </c>
      <c r="I17" s="38" t="s">
        <v>53</v>
      </c>
      <c r="J17" s="71" t="s">
        <v>90</v>
      </c>
      <c r="K17" s="71">
        <v>369811.320754717</v>
      </c>
      <c r="L17" s="71"/>
      <c r="M17" s="71">
        <f>L17+L18+L19</f>
        <v>0</v>
      </c>
    </row>
    <row r="18" s="33" customFormat="1" ht="16.5" spans="4:13">
      <c r="D18" s="71"/>
      <c r="E18" s="71"/>
      <c r="F18" s="71"/>
      <c r="G18" s="71"/>
      <c r="H18" s="71"/>
      <c r="I18" s="38" t="s">
        <v>53</v>
      </c>
      <c r="J18" s="71" t="s">
        <v>90</v>
      </c>
      <c r="K18" s="71">
        <v>4226415.09433962</v>
      </c>
      <c r="L18" s="71"/>
      <c r="M18" s="71"/>
    </row>
    <row r="19" s="33" customFormat="1" ht="16.5" spans="4:13">
      <c r="D19" s="105" t="s">
        <v>51</v>
      </c>
      <c r="E19" s="105"/>
      <c r="F19" s="105" t="s">
        <v>91</v>
      </c>
      <c r="G19" s="71">
        <v>377358.49</v>
      </c>
      <c r="H19" s="71">
        <f>G19/10000</f>
        <v>37.735849</v>
      </c>
      <c r="I19" s="38" t="s">
        <v>53</v>
      </c>
      <c r="J19" s="71" t="s">
        <v>90</v>
      </c>
      <c r="K19" s="71">
        <v>943396.226415094</v>
      </c>
      <c r="L19" s="71"/>
      <c r="M19" s="71"/>
    </row>
    <row r="20" s="33" customFormat="1" ht="16.5" spans="4:14">
      <c r="D20" s="105" t="s">
        <v>51</v>
      </c>
      <c r="E20" s="105"/>
      <c r="F20" s="105" t="s">
        <v>92</v>
      </c>
      <c r="G20" s="71">
        <v>11933962.26</v>
      </c>
      <c r="H20" s="71">
        <f>G20/10000</f>
        <v>1193.396226</v>
      </c>
      <c r="I20" s="105" t="s">
        <v>51</v>
      </c>
      <c r="J20" s="106" t="s">
        <v>93</v>
      </c>
      <c r="K20" s="71">
        <v>4683018.86792453</v>
      </c>
      <c r="L20" s="71"/>
      <c r="M20" s="71"/>
      <c r="N20" s="33">
        <f>L20+L21+L10</f>
        <v>0</v>
      </c>
    </row>
    <row r="21" s="33" customFormat="1" ht="16.5" spans="4:13">
      <c r="D21" s="105" t="s">
        <v>51</v>
      </c>
      <c r="E21" s="105"/>
      <c r="F21" s="105" t="s">
        <v>94</v>
      </c>
      <c r="G21" s="71">
        <v>6886792.45</v>
      </c>
      <c r="H21" s="71">
        <f>G21/10000</f>
        <v>688.679245</v>
      </c>
      <c r="I21" s="105" t="s">
        <v>51</v>
      </c>
      <c r="J21" s="106" t="s">
        <v>95</v>
      </c>
      <c r="K21" s="71">
        <v>3773584.90566038</v>
      </c>
      <c r="L21" s="71"/>
      <c r="M21" s="71"/>
    </row>
    <row r="22" s="33" customFormat="1" ht="12.75" spans="4:13">
      <c r="D22" s="71"/>
      <c r="E22" s="71"/>
      <c r="F22" s="71"/>
      <c r="G22" s="71">
        <f>SUM(G19:G21)</f>
        <v>19198113.2</v>
      </c>
      <c r="H22" s="71">
        <f>SUM(H19:H21)</f>
        <v>1919.81132</v>
      </c>
      <c r="I22" s="71"/>
      <c r="J22" s="71"/>
      <c r="K22" s="71">
        <f>SUM(K2:K21)</f>
        <v>34523654.1788679</v>
      </c>
      <c r="L22" s="71">
        <f>K22/10000</f>
        <v>3452.36541788679</v>
      </c>
      <c r="M22" s="71"/>
    </row>
    <row r="23" s="33" customFormat="1" ht="12.75"/>
    <row r="24" s="33" customFormat="1" ht="12.75"/>
    <row r="25" s="33" customFormat="1" ht="12.75"/>
    <row r="26" s="33" customFormat="1" ht="12.75"/>
    <row r="27" s="33" customFormat="1" ht="12.75"/>
    <row r="28" s="33" customFormat="1" ht="12.75"/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P28"/>
  <sheetViews>
    <sheetView workbookViewId="0">
      <selection activeCell="F25" sqref="F25"/>
    </sheetView>
  </sheetViews>
  <sheetFormatPr defaultColWidth="9" defaultRowHeight="12.75"/>
  <cols>
    <col min="1" max="1" width="9" style="85"/>
    <col min="2" max="2" width="8.125" style="85" customWidth="1"/>
    <col min="3" max="3" width="20.25" style="33" customWidth="1"/>
    <col min="4" max="4" width="35.75" style="85" customWidth="1"/>
    <col min="5" max="15" width="11" style="85" customWidth="1"/>
    <col min="16" max="263" width="9" style="33"/>
    <col min="264" max="264" width="8.125" style="33" customWidth="1"/>
    <col min="265" max="265" width="35.75" style="33" customWidth="1"/>
    <col min="266" max="266" width="18.625" style="33" customWidth="1"/>
    <col min="267" max="267" width="20.625" style="33" customWidth="1"/>
    <col min="268" max="268" width="15.625" style="33" customWidth="1"/>
    <col min="269" max="269" width="17.625" style="33" customWidth="1"/>
    <col min="270" max="271" width="10.375" style="33" customWidth="1"/>
    <col min="272" max="519" width="9" style="33"/>
    <col min="520" max="520" width="8.125" style="33" customWidth="1"/>
    <col min="521" max="521" width="35.75" style="33" customWidth="1"/>
    <col min="522" max="522" width="18.625" style="33" customWidth="1"/>
    <col min="523" max="523" width="20.625" style="33" customWidth="1"/>
    <col min="524" max="524" width="15.625" style="33" customWidth="1"/>
    <col min="525" max="525" width="17.625" style="33" customWidth="1"/>
    <col min="526" max="527" width="10.375" style="33" customWidth="1"/>
    <col min="528" max="775" width="9" style="33"/>
    <col min="776" max="776" width="8.125" style="33" customWidth="1"/>
    <col min="777" max="777" width="35.75" style="33" customWidth="1"/>
    <col min="778" max="778" width="18.625" style="33" customWidth="1"/>
    <col min="779" max="779" width="20.625" style="33" customWidth="1"/>
    <col min="780" max="780" width="15.625" style="33" customWidth="1"/>
    <col min="781" max="781" width="17.625" style="33" customWidth="1"/>
    <col min="782" max="783" width="10.375" style="33" customWidth="1"/>
    <col min="784" max="1031" width="9" style="33"/>
    <col min="1032" max="1032" width="8.125" style="33" customWidth="1"/>
    <col min="1033" max="1033" width="35.75" style="33" customWidth="1"/>
    <col min="1034" max="1034" width="18.625" style="33" customWidth="1"/>
    <col min="1035" max="1035" width="20.625" style="33" customWidth="1"/>
    <col min="1036" max="1036" width="15.625" style="33" customWidth="1"/>
    <col min="1037" max="1037" width="17.625" style="33" customWidth="1"/>
    <col min="1038" max="1039" width="10.375" style="33" customWidth="1"/>
    <col min="1040" max="1287" width="9" style="33"/>
    <col min="1288" max="1288" width="8.125" style="33" customWidth="1"/>
    <col min="1289" max="1289" width="35.75" style="33" customWidth="1"/>
    <col min="1290" max="1290" width="18.625" style="33" customWidth="1"/>
    <col min="1291" max="1291" width="20.625" style="33" customWidth="1"/>
    <col min="1292" max="1292" width="15.625" style="33" customWidth="1"/>
    <col min="1293" max="1293" width="17.625" style="33" customWidth="1"/>
    <col min="1294" max="1295" width="10.375" style="33" customWidth="1"/>
    <col min="1296" max="1543" width="9" style="33"/>
    <col min="1544" max="1544" width="8.125" style="33" customWidth="1"/>
    <col min="1545" max="1545" width="35.75" style="33" customWidth="1"/>
    <col min="1546" max="1546" width="18.625" style="33" customWidth="1"/>
    <col min="1547" max="1547" width="20.625" style="33" customWidth="1"/>
    <col min="1548" max="1548" width="15.625" style="33" customWidth="1"/>
    <col min="1549" max="1549" width="17.625" style="33" customWidth="1"/>
    <col min="1550" max="1551" width="10.375" style="33" customWidth="1"/>
    <col min="1552" max="1799" width="9" style="33"/>
    <col min="1800" max="1800" width="8.125" style="33" customWidth="1"/>
    <col min="1801" max="1801" width="35.75" style="33" customWidth="1"/>
    <col min="1802" max="1802" width="18.625" style="33" customWidth="1"/>
    <col min="1803" max="1803" width="20.625" style="33" customWidth="1"/>
    <col min="1804" max="1804" width="15.625" style="33" customWidth="1"/>
    <col min="1805" max="1805" width="17.625" style="33" customWidth="1"/>
    <col min="1806" max="1807" width="10.375" style="33" customWidth="1"/>
    <col min="1808" max="2055" width="9" style="33"/>
    <col min="2056" max="2056" width="8.125" style="33" customWidth="1"/>
    <col min="2057" max="2057" width="35.75" style="33" customWidth="1"/>
    <col min="2058" max="2058" width="18.625" style="33" customWidth="1"/>
    <col min="2059" max="2059" width="20.625" style="33" customWidth="1"/>
    <col min="2060" max="2060" width="15.625" style="33" customWidth="1"/>
    <col min="2061" max="2061" width="17.625" style="33" customWidth="1"/>
    <col min="2062" max="2063" width="10.375" style="33" customWidth="1"/>
    <col min="2064" max="2311" width="9" style="33"/>
    <col min="2312" max="2312" width="8.125" style="33" customWidth="1"/>
    <col min="2313" max="2313" width="35.75" style="33" customWidth="1"/>
    <col min="2314" max="2314" width="18.625" style="33" customWidth="1"/>
    <col min="2315" max="2315" width="20.625" style="33" customWidth="1"/>
    <col min="2316" max="2316" width="15.625" style="33" customWidth="1"/>
    <col min="2317" max="2317" width="17.625" style="33" customWidth="1"/>
    <col min="2318" max="2319" width="10.375" style="33" customWidth="1"/>
    <col min="2320" max="2567" width="9" style="33"/>
    <col min="2568" max="2568" width="8.125" style="33" customWidth="1"/>
    <col min="2569" max="2569" width="35.75" style="33" customWidth="1"/>
    <col min="2570" max="2570" width="18.625" style="33" customWidth="1"/>
    <col min="2571" max="2571" width="20.625" style="33" customWidth="1"/>
    <col min="2572" max="2572" width="15.625" style="33" customWidth="1"/>
    <col min="2573" max="2573" width="17.625" style="33" customWidth="1"/>
    <col min="2574" max="2575" width="10.375" style="33" customWidth="1"/>
    <col min="2576" max="2823" width="9" style="33"/>
    <col min="2824" max="2824" width="8.125" style="33" customWidth="1"/>
    <col min="2825" max="2825" width="35.75" style="33" customWidth="1"/>
    <col min="2826" max="2826" width="18.625" style="33" customWidth="1"/>
    <col min="2827" max="2827" width="20.625" style="33" customWidth="1"/>
    <col min="2828" max="2828" width="15.625" style="33" customWidth="1"/>
    <col min="2829" max="2829" width="17.625" style="33" customWidth="1"/>
    <col min="2830" max="2831" width="10.375" style="33" customWidth="1"/>
    <col min="2832" max="3079" width="9" style="33"/>
    <col min="3080" max="3080" width="8.125" style="33" customWidth="1"/>
    <col min="3081" max="3081" width="35.75" style="33" customWidth="1"/>
    <col min="3082" max="3082" width="18.625" style="33" customWidth="1"/>
    <col min="3083" max="3083" width="20.625" style="33" customWidth="1"/>
    <col min="3084" max="3084" width="15.625" style="33" customWidth="1"/>
    <col min="3085" max="3085" width="17.625" style="33" customWidth="1"/>
    <col min="3086" max="3087" width="10.375" style="33" customWidth="1"/>
    <col min="3088" max="3335" width="9" style="33"/>
    <col min="3336" max="3336" width="8.125" style="33" customWidth="1"/>
    <col min="3337" max="3337" width="35.75" style="33" customWidth="1"/>
    <col min="3338" max="3338" width="18.625" style="33" customWidth="1"/>
    <col min="3339" max="3339" width="20.625" style="33" customWidth="1"/>
    <col min="3340" max="3340" width="15.625" style="33" customWidth="1"/>
    <col min="3341" max="3341" width="17.625" style="33" customWidth="1"/>
    <col min="3342" max="3343" width="10.375" style="33" customWidth="1"/>
    <col min="3344" max="3591" width="9" style="33"/>
    <col min="3592" max="3592" width="8.125" style="33" customWidth="1"/>
    <col min="3593" max="3593" width="35.75" style="33" customWidth="1"/>
    <col min="3594" max="3594" width="18.625" style="33" customWidth="1"/>
    <col min="3595" max="3595" width="20.625" style="33" customWidth="1"/>
    <col min="3596" max="3596" width="15.625" style="33" customWidth="1"/>
    <col min="3597" max="3597" width="17.625" style="33" customWidth="1"/>
    <col min="3598" max="3599" width="10.375" style="33" customWidth="1"/>
    <col min="3600" max="3847" width="9" style="33"/>
    <col min="3848" max="3848" width="8.125" style="33" customWidth="1"/>
    <col min="3849" max="3849" width="35.75" style="33" customWidth="1"/>
    <col min="3850" max="3850" width="18.625" style="33" customWidth="1"/>
    <col min="3851" max="3851" width="20.625" style="33" customWidth="1"/>
    <col min="3852" max="3852" width="15.625" style="33" customWidth="1"/>
    <col min="3853" max="3853" width="17.625" style="33" customWidth="1"/>
    <col min="3854" max="3855" width="10.375" style="33" customWidth="1"/>
    <col min="3856" max="4103" width="9" style="33"/>
    <col min="4104" max="4104" width="8.125" style="33" customWidth="1"/>
    <col min="4105" max="4105" width="35.75" style="33" customWidth="1"/>
    <col min="4106" max="4106" width="18.625" style="33" customWidth="1"/>
    <col min="4107" max="4107" width="20.625" style="33" customWidth="1"/>
    <col min="4108" max="4108" width="15.625" style="33" customWidth="1"/>
    <col min="4109" max="4109" width="17.625" style="33" customWidth="1"/>
    <col min="4110" max="4111" width="10.375" style="33" customWidth="1"/>
    <col min="4112" max="4359" width="9" style="33"/>
    <col min="4360" max="4360" width="8.125" style="33" customWidth="1"/>
    <col min="4361" max="4361" width="35.75" style="33" customWidth="1"/>
    <col min="4362" max="4362" width="18.625" style="33" customWidth="1"/>
    <col min="4363" max="4363" width="20.625" style="33" customWidth="1"/>
    <col min="4364" max="4364" width="15.625" style="33" customWidth="1"/>
    <col min="4365" max="4365" width="17.625" style="33" customWidth="1"/>
    <col min="4366" max="4367" width="10.375" style="33" customWidth="1"/>
    <col min="4368" max="4615" width="9" style="33"/>
    <col min="4616" max="4616" width="8.125" style="33" customWidth="1"/>
    <col min="4617" max="4617" width="35.75" style="33" customWidth="1"/>
    <col min="4618" max="4618" width="18.625" style="33" customWidth="1"/>
    <col min="4619" max="4619" width="20.625" style="33" customWidth="1"/>
    <col min="4620" max="4620" width="15.625" style="33" customWidth="1"/>
    <col min="4621" max="4621" width="17.625" style="33" customWidth="1"/>
    <col min="4622" max="4623" width="10.375" style="33" customWidth="1"/>
    <col min="4624" max="4871" width="9" style="33"/>
    <col min="4872" max="4872" width="8.125" style="33" customWidth="1"/>
    <col min="4873" max="4873" width="35.75" style="33" customWidth="1"/>
    <col min="4874" max="4874" width="18.625" style="33" customWidth="1"/>
    <col min="4875" max="4875" width="20.625" style="33" customWidth="1"/>
    <col min="4876" max="4876" width="15.625" style="33" customWidth="1"/>
    <col min="4877" max="4877" width="17.625" style="33" customWidth="1"/>
    <col min="4878" max="4879" width="10.375" style="33" customWidth="1"/>
    <col min="4880" max="5127" width="9" style="33"/>
    <col min="5128" max="5128" width="8.125" style="33" customWidth="1"/>
    <col min="5129" max="5129" width="35.75" style="33" customWidth="1"/>
    <col min="5130" max="5130" width="18.625" style="33" customWidth="1"/>
    <col min="5131" max="5131" width="20.625" style="33" customWidth="1"/>
    <col min="5132" max="5132" width="15.625" style="33" customWidth="1"/>
    <col min="5133" max="5133" width="17.625" style="33" customWidth="1"/>
    <col min="5134" max="5135" width="10.375" style="33" customWidth="1"/>
    <col min="5136" max="5383" width="9" style="33"/>
    <col min="5384" max="5384" width="8.125" style="33" customWidth="1"/>
    <col min="5385" max="5385" width="35.75" style="33" customWidth="1"/>
    <col min="5386" max="5386" width="18.625" style="33" customWidth="1"/>
    <col min="5387" max="5387" width="20.625" style="33" customWidth="1"/>
    <col min="5388" max="5388" width="15.625" style="33" customWidth="1"/>
    <col min="5389" max="5389" width="17.625" style="33" customWidth="1"/>
    <col min="5390" max="5391" width="10.375" style="33" customWidth="1"/>
    <col min="5392" max="5639" width="9" style="33"/>
    <col min="5640" max="5640" width="8.125" style="33" customWidth="1"/>
    <col min="5641" max="5641" width="35.75" style="33" customWidth="1"/>
    <col min="5642" max="5642" width="18.625" style="33" customWidth="1"/>
    <col min="5643" max="5643" width="20.625" style="33" customWidth="1"/>
    <col min="5644" max="5644" width="15.625" style="33" customWidth="1"/>
    <col min="5645" max="5645" width="17.625" style="33" customWidth="1"/>
    <col min="5646" max="5647" width="10.375" style="33" customWidth="1"/>
    <col min="5648" max="5895" width="9" style="33"/>
    <col min="5896" max="5896" width="8.125" style="33" customWidth="1"/>
    <col min="5897" max="5897" width="35.75" style="33" customWidth="1"/>
    <col min="5898" max="5898" width="18.625" style="33" customWidth="1"/>
    <col min="5899" max="5899" width="20.625" style="33" customWidth="1"/>
    <col min="5900" max="5900" width="15.625" style="33" customWidth="1"/>
    <col min="5901" max="5901" width="17.625" style="33" customWidth="1"/>
    <col min="5902" max="5903" width="10.375" style="33" customWidth="1"/>
    <col min="5904" max="6151" width="9" style="33"/>
    <col min="6152" max="6152" width="8.125" style="33" customWidth="1"/>
    <col min="6153" max="6153" width="35.75" style="33" customWidth="1"/>
    <col min="6154" max="6154" width="18.625" style="33" customWidth="1"/>
    <col min="6155" max="6155" width="20.625" style="33" customWidth="1"/>
    <col min="6156" max="6156" width="15.625" style="33" customWidth="1"/>
    <col min="6157" max="6157" width="17.625" style="33" customWidth="1"/>
    <col min="6158" max="6159" width="10.375" style="33" customWidth="1"/>
    <col min="6160" max="6407" width="9" style="33"/>
    <col min="6408" max="6408" width="8.125" style="33" customWidth="1"/>
    <col min="6409" max="6409" width="35.75" style="33" customWidth="1"/>
    <col min="6410" max="6410" width="18.625" style="33" customWidth="1"/>
    <col min="6411" max="6411" width="20.625" style="33" customWidth="1"/>
    <col min="6412" max="6412" width="15.625" style="33" customWidth="1"/>
    <col min="6413" max="6413" width="17.625" style="33" customWidth="1"/>
    <col min="6414" max="6415" width="10.375" style="33" customWidth="1"/>
    <col min="6416" max="6663" width="9" style="33"/>
    <col min="6664" max="6664" width="8.125" style="33" customWidth="1"/>
    <col min="6665" max="6665" width="35.75" style="33" customWidth="1"/>
    <col min="6666" max="6666" width="18.625" style="33" customWidth="1"/>
    <col min="6667" max="6667" width="20.625" style="33" customWidth="1"/>
    <col min="6668" max="6668" width="15.625" style="33" customWidth="1"/>
    <col min="6669" max="6669" width="17.625" style="33" customWidth="1"/>
    <col min="6670" max="6671" width="10.375" style="33" customWidth="1"/>
    <col min="6672" max="6919" width="9" style="33"/>
    <col min="6920" max="6920" width="8.125" style="33" customWidth="1"/>
    <col min="6921" max="6921" width="35.75" style="33" customWidth="1"/>
    <col min="6922" max="6922" width="18.625" style="33" customWidth="1"/>
    <col min="6923" max="6923" width="20.625" style="33" customWidth="1"/>
    <col min="6924" max="6924" width="15.625" style="33" customWidth="1"/>
    <col min="6925" max="6925" width="17.625" style="33" customWidth="1"/>
    <col min="6926" max="6927" width="10.375" style="33" customWidth="1"/>
    <col min="6928" max="7175" width="9" style="33"/>
    <col min="7176" max="7176" width="8.125" style="33" customWidth="1"/>
    <col min="7177" max="7177" width="35.75" style="33" customWidth="1"/>
    <col min="7178" max="7178" width="18.625" style="33" customWidth="1"/>
    <col min="7179" max="7179" width="20.625" style="33" customWidth="1"/>
    <col min="7180" max="7180" width="15.625" style="33" customWidth="1"/>
    <col min="7181" max="7181" width="17.625" style="33" customWidth="1"/>
    <col min="7182" max="7183" width="10.375" style="33" customWidth="1"/>
    <col min="7184" max="7431" width="9" style="33"/>
    <col min="7432" max="7432" width="8.125" style="33" customWidth="1"/>
    <col min="7433" max="7433" width="35.75" style="33" customWidth="1"/>
    <col min="7434" max="7434" width="18.625" style="33" customWidth="1"/>
    <col min="7435" max="7435" width="20.625" style="33" customWidth="1"/>
    <col min="7436" max="7436" width="15.625" style="33" customWidth="1"/>
    <col min="7437" max="7437" width="17.625" style="33" customWidth="1"/>
    <col min="7438" max="7439" width="10.375" style="33" customWidth="1"/>
    <col min="7440" max="7687" width="9" style="33"/>
    <col min="7688" max="7688" width="8.125" style="33" customWidth="1"/>
    <col min="7689" max="7689" width="35.75" style="33" customWidth="1"/>
    <col min="7690" max="7690" width="18.625" style="33" customWidth="1"/>
    <col min="7691" max="7691" width="20.625" style="33" customWidth="1"/>
    <col min="7692" max="7692" width="15.625" style="33" customWidth="1"/>
    <col min="7693" max="7693" width="17.625" style="33" customWidth="1"/>
    <col min="7694" max="7695" width="10.375" style="33" customWidth="1"/>
    <col min="7696" max="7943" width="9" style="33"/>
    <col min="7944" max="7944" width="8.125" style="33" customWidth="1"/>
    <col min="7945" max="7945" width="35.75" style="33" customWidth="1"/>
    <col min="7946" max="7946" width="18.625" style="33" customWidth="1"/>
    <col min="7947" max="7947" width="20.625" style="33" customWidth="1"/>
    <col min="7948" max="7948" width="15.625" style="33" customWidth="1"/>
    <col min="7949" max="7949" width="17.625" style="33" customWidth="1"/>
    <col min="7950" max="7951" width="10.375" style="33" customWidth="1"/>
    <col min="7952" max="8199" width="9" style="33"/>
    <col min="8200" max="8200" width="8.125" style="33" customWidth="1"/>
    <col min="8201" max="8201" width="35.75" style="33" customWidth="1"/>
    <col min="8202" max="8202" width="18.625" style="33" customWidth="1"/>
    <col min="8203" max="8203" width="20.625" style="33" customWidth="1"/>
    <col min="8204" max="8204" width="15.625" style="33" customWidth="1"/>
    <col min="8205" max="8205" width="17.625" style="33" customWidth="1"/>
    <col min="8206" max="8207" width="10.375" style="33" customWidth="1"/>
    <col min="8208" max="8455" width="9" style="33"/>
    <col min="8456" max="8456" width="8.125" style="33" customWidth="1"/>
    <col min="8457" max="8457" width="35.75" style="33" customWidth="1"/>
    <col min="8458" max="8458" width="18.625" style="33" customWidth="1"/>
    <col min="8459" max="8459" width="20.625" style="33" customWidth="1"/>
    <col min="8460" max="8460" width="15.625" style="33" customWidth="1"/>
    <col min="8461" max="8461" width="17.625" style="33" customWidth="1"/>
    <col min="8462" max="8463" width="10.375" style="33" customWidth="1"/>
    <col min="8464" max="8711" width="9" style="33"/>
    <col min="8712" max="8712" width="8.125" style="33" customWidth="1"/>
    <col min="8713" max="8713" width="35.75" style="33" customWidth="1"/>
    <col min="8714" max="8714" width="18.625" style="33" customWidth="1"/>
    <col min="8715" max="8715" width="20.625" style="33" customWidth="1"/>
    <col min="8716" max="8716" width="15.625" style="33" customWidth="1"/>
    <col min="8717" max="8717" width="17.625" style="33" customWidth="1"/>
    <col min="8718" max="8719" width="10.375" style="33" customWidth="1"/>
    <col min="8720" max="8967" width="9" style="33"/>
    <col min="8968" max="8968" width="8.125" style="33" customWidth="1"/>
    <col min="8969" max="8969" width="35.75" style="33" customWidth="1"/>
    <col min="8970" max="8970" width="18.625" style="33" customWidth="1"/>
    <col min="8971" max="8971" width="20.625" style="33" customWidth="1"/>
    <col min="8972" max="8972" width="15.625" style="33" customWidth="1"/>
    <col min="8973" max="8973" width="17.625" style="33" customWidth="1"/>
    <col min="8974" max="8975" width="10.375" style="33" customWidth="1"/>
    <col min="8976" max="9223" width="9" style="33"/>
    <col min="9224" max="9224" width="8.125" style="33" customWidth="1"/>
    <col min="9225" max="9225" width="35.75" style="33" customWidth="1"/>
    <col min="9226" max="9226" width="18.625" style="33" customWidth="1"/>
    <col min="9227" max="9227" width="20.625" style="33" customWidth="1"/>
    <col min="9228" max="9228" width="15.625" style="33" customWidth="1"/>
    <col min="9229" max="9229" width="17.625" style="33" customWidth="1"/>
    <col min="9230" max="9231" width="10.375" style="33" customWidth="1"/>
    <col min="9232" max="9479" width="9" style="33"/>
    <col min="9480" max="9480" width="8.125" style="33" customWidth="1"/>
    <col min="9481" max="9481" width="35.75" style="33" customWidth="1"/>
    <col min="9482" max="9482" width="18.625" style="33" customWidth="1"/>
    <col min="9483" max="9483" width="20.625" style="33" customWidth="1"/>
    <col min="9484" max="9484" width="15.625" style="33" customWidth="1"/>
    <col min="9485" max="9485" width="17.625" style="33" customWidth="1"/>
    <col min="9486" max="9487" width="10.375" style="33" customWidth="1"/>
    <col min="9488" max="9735" width="9" style="33"/>
    <col min="9736" max="9736" width="8.125" style="33" customWidth="1"/>
    <col min="9737" max="9737" width="35.75" style="33" customWidth="1"/>
    <col min="9738" max="9738" width="18.625" style="33" customWidth="1"/>
    <col min="9739" max="9739" width="20.625" style="33" customWidth="1"/>
    <col min="9740" max="9740" width="15.625" style="33" customWidth="1"/>
    <col min="9741" max="9741" width="17.625" style="33" customWidth="1"/>
    <col min="9742" max="9743" width="10.375" style="33" customWidth="1"/>
    <col min="9744" max="9991" width="9" style="33"/>
    <col min="9992" max="9992" width="8.125" style="33" customWidth="1"/>
    <col min="9993" max="9993" width="35.75" style="33" customWidth="1"/>
    <col min="9994" max="9994" width="18.625" style="33" customWidth="1"/>
    <col min="9995" max="9995" width="20.625" style="33" customWidth="1"/>
    <col min="9996" max="9996" width="15.625" style="33" customWidth="1"/>
    <col min="9997" max="9997" width="17.625" style="33" customWidth="1"/>
    <col min="9998" max="9999" width="10.375" style="33" customWidth="1"/>
    <col min="10000" max="10247" width="9" style="33"/>
    <col min="10248" max="10248" width="8.125" style="33" customWidth="1"/>
    <col min="10249" max="10249" width="35.75" style="33" customWidth="1"/>
    <col min="10250" max="10250" width="18.625" style="33" customWidth="1"/>
    <col min="10251" max="10251" width="20.625" style="33" customWidth="1"/>
    <col min="10252" max="10252" width="15.625" style="33" customWidth="1"/>
    <col min="10253" max="10253" width="17.625" style="33" customWidth="1"/>
    <col min="10254" max="10255" width="10.375" style="33" customWidth="1"/>
    <col min="10256" max="10503" width="9" style="33"/>
    <col min="10504" max="10504" width="8.125" style="33" customWidth="1"/>
    <col min="10505" max="10505" width="35.75" style="33" customWidth="1"/>
    <col min="10506" max="10506" width="18.625" style="33" customWidth="1"/>
    <col min="10507" max="10507" width="20.625" style="33" customWidth="1"/>
    <col min="10508" max="10508" width="15.625" style="33" customWidth="1"/>
    <col min="10509" max="10509" width="17.625" style="33" customWidth="1"/>
    <col min="10510" max="10511" width="10.375" style="33" customWidth="1"/>
    <col min="10512" max="10759" width="9" style="33"/>
    <col min="10760" max="10760" width="8.125" style="33" customWidth="1"/>
    <col min="10761" max="10761" width="35.75" style="33" customWidth="1"/>
    <col min="10762" max="10762" width="18.625" style="33" customWidth="1"/>
    <col min="10763" max="10763" width="20.625" style="33" customWidth="1"/>
    <col min="10764" max="10764" width="15.625" style="33" customWidth="1"/>
    <col min="10765" max="10765" width="17.625" style="33" customWidth="1"/>
    <col min="10766" max="10767" width="10.375" style="33" customWidth="1"/>
    <col min="10768" max="11015" width="9" style="33"/>
    <col min="11016" max="11016" width="8.125" style="33" customWidth="1"/>
    <col min="11017" max="11017" width="35.75" style="33" customWidth="1"/>
    <col min="11018" max="11018" width="18.625" style="33" customWidth="1"/>
    <col min="11019" max="11019" width="20.625" style="33" customWidth="1"/>
    <col min="11020" max="11020" width="15.625" style="33" customWidth="1"/>
    <col min="11021" max="11021" width="17.625" style="33" customWidth="1"/>
    <col min="11022" max="11023" width="10.375" style="33" customWidth="1"/>
    <col min="11024" max="11271" width="9" style="33"/>
    <col min="11272" max="11272" width="8.125" style="33" customWidth="1"/>
    <col min="11273" max="11273" width="35.75" style="33" customWidth="1"/>
    <col min="11274" max="11274" width="18.625" style="33" customWidth="1"/>
    <col min="11275" max="11275" width="20.625" style="33" customWidth="1"/>
    <col min="11276" max="11276" width="15.625" style="33" customWidth="1"/>
    <col min="11277" max="11277" width="17.625" style="33" customWidth="1"/>
    <col min="11278" max="11279" width="10.375" style="33" customWidth="1"/>
    <col min="11280" max="11527" width="9" style="33"/>
    <col min="11528" max="11528" width="8.125" style="33" customWidth="1"/>
    <col min="11529" max="11529" width="35.75" style="33" customWidth="1"/>
    <col min="11530" max="11530" width="18.625" style="33" customWidth="1"/>
    <col min="11531" max="11531" width="20.625" style="33" customWidth="1"/>
    <col min="11532" max="11532" width="15.625" style="33" customWidth="1"/>
    <col min="11533" max="11533" width="17.625" style="33" customWidth="1"/>
    <col min="11534" max="11535" width="10.375" style="33" customWidth="1"/>
    <col min="11536" max="11783" width="9" style="33"/>
    <col min="11784" max="11784" width="8.125" style="33" customWidth="1"/>
    <col min="11785" max="11785" width="35.75" style="33" customWidth="1"/>
    <col min="11786" max="11786" width="18.625" style="33" customWidth="1"/>
    <col min="11787" max="11787" width="20.625" style="33" customWidth="1"/>
    <col min="11788" max="11788" width="15.625" style="33" customWidth="1"/>
    <col min="11789" max="11789" width="17.625" style="33" customWidth="1"/>
    <col min="11790" max="11791" width="10.375" style="33" customWidth="1"/>
    <col min="11792" max="12039" width="9" style="33"/>
    <col min="12040" max="12040" width="8.125" style="33" customWidth="1"/>
    <col min="12041" max="12041" width="35.75" style="33" customWidth="1"/>
    <col min="12042" max="12042" width="18.625" style="33" customWidth="1"/>
    <col min="12043" max="12043" width="20.625" style="33" customWidth="1"/>
    <col min="12044" max="12044" width="15.625" style="33" customWidth="1"/>
    <col min="12045" max="12045" width="17.625" style="33" customWidth="1"/>
    <col min="12046" max="12047" width="10.375" style="33" customWidth="1"/>
    <col min="12048" max="12295" width="9" style="33"/>
    <col min="12296" max="12296" width="8.125" style="33" customWidth="1"/>
    <col min="12297" max="12297" width="35.75" style="33" customWidth="1"/>
    <col min="12298" max="12298" width="18.625" style="33" customWidth="1"/>
    <col min="12299" max="12299" width="20.625" style="33" customWidth="1"/>
    <col min="12300" max="12300" width="15.625" style="33" customWidth="1"/>
    <col min="12301" max="12301" width="17.625" style="33" customWidth="1"/>
    <col min="12302" max="12303" width="10.375" style="33" customWidth="1"/>
    <col min="12304" max="12551" width="9" style="33"/>
    <col min="12552" max="12552" width="8.125" style="33" customWidth="1"/>
    <col min="12553" max="12553" width="35.75" style="33" customWidth="1"/>
    <col min="12554" max="12554" width="18.625" style="33" customWidth="1"/>
    <col min="12555" max="12555" width="20.625" style="33" customWidth="1"/>
    <col min="12556" max="12556" width="15.625" style="33" customWidth="1"/>
    <col min="12557" max="12557" width="17.625" style="33" customWidth="1"/>
    <col min="12558" max="12559" width="10.375" style="33" customWidth="1"/>
    <col min="12560" max="12807" width="9" style="33"/>
    <col min="12808" max="12808" width="8.125" style="33" customWidth="1"/>
    <col min="12809" max="12809" width="35.75" style="33" customWidth="1"/>
    <col min="12810" max="12810" width="18.625" style="33" customWidth="1"/>
    <col min="12811" max="12811" width="20.625" style="33" customWidth="1"/>
    <col min="12812" max="12812" width="15.625" style="33" customWidth="1"/>
    <col min="12813" max="12813" width="17.625" style="33" customWidth="1"/>
    <col min="12814" max="12815" width="10.375" style="33" customWidth="1"/>
    <col min="12816" max="13063" width="9" style="33"/>
    <col min="13064" max="13064" width="8.125" style="33" customWidth="1"/>
    <col min="13065" max="13065" width="35.75" style="33" customWidth="1"/>
    <col min="13066" max="13066" width="18.625" style="33" customWidth="1"/>
    <col min="13067" max="13067" width="20.625" style="33" customWidth="1"/>
    <col min="13068" max="13068" width="15.625" style="33" customWidth="1"/>
    <col min="13069" max="13069" width="17.625" style="33" customWidth="1"/>
    <col min="13070" max="13071" width="10.375" style="33" customWidth="1"/>
    <col min="13072" max="13319" width="9" style="33"/>
    <col min="13320" max="13320" width="8.125" style="33" customWidth="1"/>
    <col min="13321" max="13321" width="35.75" style="33" customWidth="1"/>
    <col min="13322" max="13322" width="18.625" style="33" customWidth="1"/>
    <col min="13323" max="13323" width="20.625" style="33" customWidth="1"/>
    <col min="13324" max="13324" width="15.625" style="33" customWidth="1"/>
    <col min="13325" max="13325" width="17.625" style="33" customWidth="1"/>
    <col min="13326" max="13327" width="10.375" style="33" customWidth="1"/>
    <col min="13328" max="13575" width="9" style="33"/>
    <col min="13576" max="13576" width="8.125" style="33" customWidth="1"/>
    <col min="13577" max="13577" width="35.75" style="33" customWidth="1"/>
    <col min="13578" max="13578" width="18.625" style="33" customWidth="1"/>
    <col min="13579" max="13579" width="20.625" style="33" customWidth="1"/>
    <col min="13580" max="13580" width="15.625" style="33" customWidth="1"/>
    <col min="13581" max="13581" width="17.625" style="33" customWidth="1"/>
    <col min="13582" max="13583" width="10.375" style="33" customWidth="1"/>
    <col min="13584" max="13831" width="9" style="33"/>
    <col min="13832" max="13832" width="8.125" style="33" customWidth="1"/>
    <col min="13833" max="13833" width="35.75" style="33" customWidth="1"/>
    <col min="13834" max="13834" width="18.625" style="33" customWidth="1"/>
    <col min="13835" max="13835" width="20.625" style="33" customWidth="1"/>
    <col min="13836" max="13836" width="15.625" style="33" customWidth="1"/>
    <col min="13837" max="13837" width="17.625" style="33" customWidth="1"/>
    <col min="13838" max="13839" width="10.375" style="33" customWidth="1"/>
    <col min="13840" max="14087" width="9" style="33"/>
    <col min="14088" max="14088" width="8.125" style="33" customWidth="1"/>
    <col min="14089" max="14089" width="35.75" style="33" customWidth="1"/>
    <col min="14090" max="14090" width="18.625" style="33" customWidth="1"/>
    <col min="14091" max="14091" width="20.625" style="33" customWidth="1"/>
    <col min="14092" max="14092" width="15.625" style="33" customWidth="1"/>
    <col min="14093" max="14093" width="17.625" style="33" customWidth="1"/>
    <col min="14094" max="14095" width="10.375" style="33" customWidth="1"/>
    <col min="14096" max="14343" width="9" style="33"/>
    <col min="14344" max="14344" width="8.125" style="33" customWidth="1"/>
    <col min="14345" max="14345" width="35.75" style="33" customWidth="1"/>
    <col min="14346" max="14346" width="18.625" style="33" customWidth="1"/>
    <col min="14347" max="14347" width="20.625" style="33" customWidth="1"/>
    <col min="14348" max="14348" width="15.625" style="33" customWidth="1"/>
    <col min="14349" max="14349" width="17.625" style="33" customWidth="1"/>
    <col min="14350" max="14351" width="10.375" style="33" customWidth="1"/>
    <col min="14352" max="14599" width="9" style="33"/>
    <col min="14600" max="14600" width="8.125" style="33" customWidth="1"/>
    <col min="14601" max="14601" width="35.75" style="33" customWidth="1"/>
    <col min="14602" max="14602" width="18.625" style="33" customWidth="1"/>
    <col min="14603" max="14603" width="20.625" style="33" customWidth="1"/>
    <col min="14604" max="14604" width="15.625" style="33" customWidth="1"/>
    <col min="14605" max="14605" width="17.625" style="33" customWidth="1"/>
    <col min="14606" max="14607" width="10.375" style="33" customWidth="1"/>
    <col min="14608" max="14855" width="9" style="33"/>
    <col min="14856" max="14856" width="8.125" style="33" customWidth="1"/>
    <col min="14857" max="14857" width="35.75" style="33" customWidth="1"/>
    <col min="14858" max="14858" width="18.625" style="33" customWidth="1"/>
    <col min="14859" max="14859" width="20.625" style="33" customWidth="1"/>
    <col min="14860" max="14860" width="15.625" style="33" customWidth="1"/>
    <col min="14861" max="14861" width="17.625" style="33" customWidth="1"/>
    <col min="14862" max="14863" width="10.375" style="33" customWidth="1"/>
    <col min="14864" max="15111" width="9" style="33"/>
    <col min="15112" max="15112" width="8.125" style="33" customWidth="1"/>
    <col min="15113" max="15113" width="35.75" style="33" customWidth="1"/>
    <col min="15114" max="15114" width="18.625" style="33" customWidth="1"/>
    <col min="15115" max="15115" width="20.625" style="33" customWidth="1"/>
    <col min="15116" max="15116" width="15.625" style="33" customWidth="1"/>
    <col min="15117" max="15117" width="17.625" style="33" customWidth="1"/>
    <col min="15118" max="15119" width="10.375" style="33" customWidth="1"/>
    <col min="15120" max="15367" width="9" style="33"/>
    <col min="15368" max="15368" width="8.125" style="33" customWidth="1"/>
    <col min="15369" max="15369" width="35.75" style="33" customWidth="1"/>
    <col min="15370" max="15370" width="18.625" style="33" customWidth="1"/>
    <col min="15371" max="15371" width="20.625" style="33" customWidth="1"/>
    <col min="15372" max="15372" width="15.625" style="33" customWidth="1"/>
    <col min="15373" max="15373" width="17.625" style="33" customWidth="1"/>
    <col min="15374" max="15375" width="10.375" style="33" customWidth="1"/>
    <col min="15376" max="15623" width="9" style="33"/>
    <col min="15624" max="15624" width="8.125" style="33" customWidth="1"/>
    <col min="15625" max="15625" width="35.75" style="33" customWidth="1"/>
    <col min="15626" max="15626" width="18.625" style="33" customWidth="1"/>
    <col min="15627" max="15627" width="20.625" style="33" customWidth="1"/>
    <col min="15628" max="15628" width="15.625" style="33" customWidth="1"/>
    <col min="15629" max="15629" width="17.625" style="33" customWidth="1"/>
    <col min="15630" max="15631" width="10.375" style="33" customWidth="1"/>
    <col min="15632" max="15879" width="9" style="33"/>
    <col min="15880" max="15880" width="8.125" style="33" customWidth="1"/>
    <col min="15881" max="15881" width="35.75" style="33" customWidth="1"/>
    <col min="15882" max="15882" width="18.625" style="33" customWidth="1"/>
    <col min="15883" max="15883" width="20.625" style="33" customWidth="1"/>
    <col min="15884" max="15884" width="15.625" style="33" customWidth="1"/>
    <col min="15885" max="15885" width="17.625" style="33" customWidth="1"/>
    <col min="15886" max="15887" width="10.375" style="33" customWidth="1"/>
    <col min="15888" max="16135" width="9" style="33"/>
    <col min="16136" max="16136" width="8.125" style="33" customWidth="1"/>
    <col min="16137" max="16137" width="35.75" style="33" customWidth="1"/>
    <col min="16138" max="16138" width="18.625" style="33" customWidth="1"/>
    <col min="16139" max="16139" width="20.625" style="33" customWidth="1"/>
    <col min="16140" max="16140" width="15.625" style="33" customWidth="1"/>
    <col min="16141" max="16141" width="17.625" style="33" customWidth="1"/>
    <col min="16142" max="16143" width="10.375" style="33" customWidth="1"/>
    <col min="16144" max="16384" width="9" style="33"/>
  </cols>
  <sheetData>
    <row r="1" ht="13.5"/>
    <row r="2" ht="20.1" customHeight="1" spans="2:15">
      <c r="B2" s="4" t="s">
        <v>1</v>
      </c>
      <c r="C2" s="4" t="s">
        <v>96</v>
      </c>
      <c r="D2" s="4" t="s">
        <v>44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26" t="s">
        <v>13</v>
      </c>
    </row>
    <row r="3" ht="20.1" customHeight="1" spans="2:15">
      <c r="B3" s="86">
        <v>1</v>
      </c>
      <c r="C3" s="87" t="s">
        <v>97</v>
      </c>
      <c r="D3" s="88" t="s">
        <v>98</v>
      </c>
      <c r="E3" s="89">
        <f>SUM(G3:O3)</f>
        <v>5548.390587</v>
      </c>
      <c r="F3" s="89"/>
      <c r="G3" s="89"/>
      <c r="H3" s="39">
        <v>0</v>
      </c>
      <c r="I3" s="39">
        <v>0</v>
      </c>
      <c r="J3" s="89">
        <f>5548.390587</f>
        <v>5548.390587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</row>
    <row r="4" ht="20.1" customHeight="1" spans="2:15">
      <c r="B4" s="86">
        <v>2</v>
      </c>
      <c r="C4" s="87" t="s">
        <v>97</v>
      </c>
      <c r="D4" s="88" t="s">
        <v>99</v>
      </c>
      <c r="E4" s="89">
        <f t="shared" ref="E4:E25" si="0">SUM(G4:O4)</f>
        <v>0.288259</v>
      </c>
      <c r="F4" s="89"/>
      <c r="G4" s="89"/>
      <c r="H4" s="39">
        <v>0</v>
      </c>
      <c r="I4" s="39">
        <v>0</v>
      </c>
      <c r="J4" s="89">
        <v>0.288259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</row>
    <row r="5" ht="20.1" customHeight="1" spans="2:15">
      <c r="B5" s="86">
        <v>3</v>
      </c>
      <c r="C5" s="87" t="s">
        <v>97</v>
      </c>
      <c r="D5" s="88" t="s">
        <v>100</v>
      </c>
      <c r="E5" s="89">
        <f t="shared" si="0"/>
        <v>531.132075</v>
      </c>
      <c r="F5" s="89"/>
      <c r="G5" s="89"/>
      <c r="H5" s="39">
        <v>0</v>
      </c>
      <c r="I5" s="39">
        <v>0</v>
      </c>
      <c r="J5" s="89">
        <v>531.132075</v>
      </c>
      <c r="K5" s="39">
        <v>0</v>
      </c>
      <c r="L5" s="39">
        <v>0</v>
      </c>
      <c r="M5" s="39">
        <v>0</v>
      </c>
      <c r="N5" s="39">
        <v>0</v>
      </c>
      <c r="O5" s="39">
        <v>0</v>
      </c>
    </row>
    <row r="6" ht="20.1" customHeight="1" spans="2:15">
      <c r="B6" s="86">
        <v>4</v>
      </c>
      <c r="C6" s="87" t="s">
        <v>97</v>
      </c>
      <c r="D6" s="88" t="s">
        <v>101</v>
      </c>
      <c r="E6" s="89">
        <f t="shared" si="0"/>
        <v>235.61313</v>
      </c>
      <c r="F6" s="89"/>
      <c r="G6" s="89"/>
      <c r="H6" s="39">
        <v>29.95283</v>
      </c>
      <c r="I6" s="39">
        <v>0</v>
      </c>
      <c r="J6" s="89">
        <v>205.6603</v>
      </c>
      <c r="K6" s="39">
        <v>0</v>
      </c>
      <c r="L6" s="39">
        <v>0</v>
      </c>
      <c r="M6" s="39">
        <v>0</v>
      </c>
      <c r="N6" s="39">
        <v>0</v>
      </c>
      <c r="O6" s="39">
        <v>0</v>
      </c>
    </row>
    <row r="7" ht="20.1" customHeight="1" spans="2:15">
      <c r="B7" s="86">
        <v>5</v>
      </c>
      <c r="C7" s="87" t="s">
        <v>97</v>
      </c>
      <c r="D7" s="88" t="s">
        <v>102</v>
      </c>
      <c r="E7" s="89">
        <f t="shared" si="0"/>
        <v>31.446509</v>
      </c>
      <c r="F7" s="89"/>
      <c r="G7" s="89"/>
      <c r="H7" s="39">
        <v>0</v>
      </c>
      <c r="I7" s="39">
        <v>0</v>
      </c>
      <c r="J7" s="89">
        <v>31.446509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</row>
    <row r="8" ht="20.1" customHeight="1" spans="2:15">
      <c r="B8" s="86">
        <v>6</v>
      </c>
      <c r="C8" s="87" t="s">
        <v>97</v>
      </c>
      <c r="D8" s="88" t="s">
        <v>103</v>
      </c>
      <c r="E8" s="89">
        <f t="shared" si="0"/>
        <v>635.849057</v>
      </c>
      <c r="F8" s="89"/>
      <c r="G8" s="89"/>
      <c r="H8" s="39">
        <v>0</v>
      </c>
      <c r="I8" s="89">
        <v>420.754717</v>
      </c>
      <c r="J8" s="100">
        <v>215.09434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</row>
    <row r="9" ht="20.1" customHeight="1" spans="2:15">
      <c r="B9" s="86">
        <v>7</v>
      </c>
      <c r="C9" s="87" t="s">
        <v>97</v>
      </c>
      <c r="D9" s="88" t="s">
        <v>104</v>
      </c>
      <c r="E9" s="89">
        <f t="shared" si="0"/>
        <v>8690.132076</v>
      </c>
      <c r="F9" s="89"/>
      <c r="G9" s="89"/>
      <c r="H9" s="39">
        <v>0</v>
      </c>
      <c r="I9" s="89">
        <v>5615.603774</v>
      </c>
      <c r="J9" s="89">
        <v>3074.528302</v>
      </c>
      <c r="K9" s="39">
        <v>0</v>
      </c>
      <c r="L9" s="39">
        <v>0</v>
      </c>
      <c r="M9" s="39">
        <v>0</v>
      </c>
      <c r="N9" s="39">
        <v>0</v>
      </c>
      <c r="O9" s="39">
        <v>0</v>
      </c>
    </row>
    <row r="10" ht="20.1" customHeight="1" spans="2:15">
      <c r="B10" s="86">
        <v>8</v>
      </c>
      <c r="C10" s="87" t="s">
        <v>97</v>
      </c>
      <c r="D10" s="88" t="s">
        <v>105</v>
      </c>
      <c r="E10" s="89">
        <f t="shared" si="0"/>
        <v>495.453051</v>
      </c>
      <c r="F10" s="89"/>
      <c r="G10" s="89"/>
      <c r="H10" s="39">
        <v>0</v>
      </c>
      <c r="I10" s="39">
        <v>0</v>
      </c>
      <c r="J10" s="39">
        <f>-133-80.3</f>
        <v>-213.3</v>
      </c>
      <c r="K10" s="100">
        <v>25.618449</v>
      </c>
      <c r="L10" s="89">
        <v>683.134602</v>
      </c>
      <c r="M10" s="39">
        <v>0</v>
      </c>
      <c r="N10" s="39">
        <v>0</v>
      </c>
      <c r="O10" s="39">
        <v>0</v>
      </c>
    </row>
    <row r="11" ht="20.1" customHeight="1" spans="2:15">
      <c r="B11" s="86">
        <v>9</v>
      </c>
      <c r="C11" s="87" t="s">
        <v>97</v>
      </c>
      <c r="D11" s="90" t="s">
        <v>106</v>
      </c>
      <c r="E11" s="89">
        <f t="shared" si="0"/>
        <v>2644.956038</v>
      </c>
      <c r="F11" s="89"/>
      <c r="G11" s="89"/>
      <c r="H11" s="39">
        <v>0</v>
      </c>
      <c r="I11" s="39">
        <v>0</v>
      </c>
      <c r="J11" s="39">
        <v>0</v>
      </c>
      <c r="K11" s="89">
        <v>2644.956038</v>
      </c>
      <c r="L11" s="82">
        <v>0</v>
      </c>
      <c r="M11" s="39">
        <v>0</v>
      </c>
      <c r="N11" s="39">
        <v>0</v>
      </c>
      <c r="O11" s="39">
        <v>0</v>
      </c>
    </row>
    <row r="12" ht="20.1" customHeight="1" spans="2:15">
      <c r="B12" s="86">
        <v>10</v>
      </c>
      <c r="C12" s="87" t="s">
        <v>97</v>
      </c>
      <c r="D12" s="88" t="s">
        <v>107</v>
      </c>
      <c r="E12" s="89">
        <f t="shared" si="0"/>
        <v>600</v>
      </c>
      <c r="F12" s="89"/>
      <c r="G12" s="89"/>
      <c r="H12" s="39">
        <v>0</v>
      </c>
      <c r="I12" s="39">
        <v>0</v>
      </c>
      <c r="J12" s="39">
        <v>0</v>
      </c>
      <c r="K12" s="39">
        <v>0</v>
      </c>
      <c r="L12" s="100">
        <v>600</v>
      </c>
      <c r="M12" s="39">
        <v>0</v>
      </c>
      <c r="N12" s="39">
        <v>0</v>
      </c>
      <c r="O12" s="39">
        <v>0</v>
      </c>
    </row>
    <row r="13" ht="20.1" customHeight="1" spans="2:15">
      <c r="B13" s="86">
        <v>11</v>
      </c>
      <c r="C13" s="87" t="s">
        <v>97</v>
      </c>
      <c r="D13" s="90" t="s">
        <v>108</v>
      </c>
      <c r="E13" s="89">
        <f t="shared" si="0"/>
        <v>2609.696017</v>
      </c>
      <c r="F13" s="89"/>
      <c r="G13" s="89"/>
      <c r="H13" s="39">
        <v>0</v>
      </c>
      <c r="I13" s="89">
        <v>2609.696017</v>
      </c>
      <c r="J13" s="39">
        <v>0</v>
      </c>
      <c r="K13" s="39">
        <v>0</v>
      </c>
      <c r="L13" s="39">
        <v>0</v>
      </c>
      <c r="M13" s="39">
        <v>0</v>
      </c>
      <c r="N13" s="39">
        <v>0</v>
      </c>
      <c r="O13" s="39">
        <v>0</v>
      </c>
    </row>
    <row r="14" ht="20.1" customHeight="1" spans="2:15">
      <c r="B14" s="86">
        <v>12</v>
      </c>
      <c r="C14" s="87" t="s">
        <v>97</v>
      </c>
      <c r="D14" s="90" t="s">
        <v>109</v>
      </c>
      <c r="E14" s="89">
        <f t="shared" si="0"/>
        <v>3284.93717</v>
      </c>
      <c r="F14" s="89"/>
      <c r="G14" s="89"/>
      <c r="H14" s="39">
        <v>0</v>
      </c>
      <c r="I14" s="89">
        <v>3284.93717</v>
      </c>
      <c r="J14" s="39">
        <v>0</v>
      </c>
      <c r="K14" s="39">
        <v>0</v>
      </c>
      <c r="L14" s="39">
        <v>0</v>
      </c>
      <c r="M14" s="39">
        <v>0</v>
      </c>
      <c r="N14" s="39">
        <v>0</v>
      </c>
      <c r="O14" s="39">
        <v>0</v>
      </c>
    </row>
    <row r="15" ht="20.1" customHeight="1" spans="2:15">
      <c r="B15" s="86">
        <v>13</v>
      </c>
      <c r="C15" s="87" t="s">
        <v>97</v>
      </c>
      <c r="D15" s="90" t="s">
        <v>110</v>
      </c>
      <c r="E15" s="89">
        <f t="shared" si="0"/>
        <v>94.339623</v>
      </c>
      <c r="F15" s="89"/>
      <c r="G15" s="89"/>
      <c r="H15" s="39">
        <v>0</v>
      </c>
      <c r="I15" s="89">
        <v>94.339623</v>
      </c>
      <c r="J15" s="39">
        <v>0</v>
      </c>
      <c r="K15" s="39">
        <v>0</v>
      </c>
      <c r="L15" s="39">
        <v>0</v>
      </c>
      <c r="M15" s="39">
        <v>0</v>
      </c>
      <c r="N15" s="39">
        <v>0</v>
      </c>
      <c r="O15" s="39">
        <v>0</v>
      </c>
    </row>
    <row r="16" ht="20.1" customHeight="1" spans="2:15">
      <c r="B16" s="86">
        <v>14</v>
      </c>
      <c r="C16" s="87" t="s">
        <v>97</v>
      </c>
      <c r="D16" s="90" t="s">
        <v>111</v>
      </c>
      <c r="E16" s="89">
        <f t="shared" si="0"/>
        <v>824.018166</v>
      </c>
      <c r="F16" s="89"/>
      <c r="G16" s="89"/>
      <c r="H16" s="89">
        <f>(6353389.21+1886792.45)/10000</f>
        <v>824.018166</v>
      </c>
      <c r="I16" s="39">
        <v>0</v>
      </c>
      <c r="J16" s="39">
        <v>0</v>
      </c>
      <c r="K16" s="39">
        <v>0</v>
      </c>
      <c r="L16" s="39">
        <v>0</v>
      </c>
      <c r="M16" s="39">
        <v>0</v>
      </c>
      <c r="N16" s="39">
        <v>0</v>
      </c>
      <c r="O16" s="39">
        <v>0</v>
      </c>
    </row>
    <row r="17" ht="20.1" customHeight="1" spans="2:15">
      <c r="B17" s="86">
        <v>15</v>
      </c>
      <c r="C17" s="87" t="s">
        <v>97</v>
      </c>
      <c r="D17" s="90" t="s">
        <v>112</v>
      </c>
      <c r="E17" s="89">
        <f t="shared" si="0"/>
        <v>1616.492778</v>
      </c>
      <c r="F17" s="89"/>
      <c r="G17" s="89"/>
      <c r="H17" s="89">
        <f>8651500/10000+751.342778</f>
        <v>1616.492778</v>
      </c>
      <c r="I17" s="39">
        <v>0</v>
      </c>
      <c r="J17" s="39">
        <v>0</v>
      </c>
      <c r="K17" s="39">
        <v>0</v>
      </c>
      <c r="L17" s="39">
        <v>0</v>
      </c>
      <c r="M17" s="39">
        <v>0</v>
      </c>
      <c r="N17" s="39">
        <v>0</v>
      </c>
      <c r="O17" s="39">
        <v>0</v>
      </c>
    </row>
    <row r="18" ht="20.1" customHeight="1" spans="2:15">
      <c r="B18" s="86">
        <v>16</v>
      </c>
      <c r="C18" s="87" t="s">
        <v>97</v>
      </c>
      <c r="D18" s="90" t="s">
        <v>113</v>
      </c>
      <c r="E18" s="89">
        <f t="shared" si="0"/>
        <v>9407.560311</v>
      </c>
      <c r="F18" s="89"/>
      <c r="G18" s="89"/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89">
        <v>5533.333334</v>
      </c>
      <c r="N18" s="89">
        <v>1711.946977</v>
      </c>
      <c r="O18" s="101">
        <v>2162.28</v>
      </c>
    </row>
    <row r="19" ht="20.1" customHeight="1" spans="2:15">
      <c r="B19" s="86">
        <v>17</v>
      </c>
      <c r="C19" s="87" t="s">
        <v>97</v>
      </c>
      <c r="D19" s="90" t="s">
        <v>114</v>
      </c>
      <c r="E19" s="89">
        <f t="shared" si="0"/>
        <v>582.2</v>
      </c>
      <c r="F19" s="89"/>
      <c r="G19" s="89">
        <v>582.2</v>
      </c>
      <c r="H19" s="39"/>
      <c r="I19" s="39"/>
      <c r="J19" s="39"/>
      <c r="K19" s="39"/>
      <c r="L19" s="39"/>
      <c r="M19" s="89"/>
      <c r="N19" s="89"/>
      <c r="O19" s="102"/>
    </row>
    <row r="20" ht="20.1" customHeight="1" spans="2:15">
      <c r="B20" s="86">
        <v>18</v>
      </c>
      <c r="C20" s="87" t="s">
        <v>97</v>
      </c>
      <c r="D20" s="91" t="s">
        <v>115</v>
      </c>
      <c r="E20" s="89">
        <f t="shared" si="0"/>
        <v>30.962558</v>
      </c>
      <c r="F20" s="89"/>
      <c r="G20" s="89">
        <f>6.29+8.53+16.142558</f>
        <v>30.962558</v>
      </c>
      <c r="H20" s="39"/>
      <c r="I20" s="39"/>
      <c r="J20" s="39"/>
      <c r="K20" s="39"/>
      <c r="L20" s="39"/>
      <c r="M20" s="89"/>
      <c r="N20" s="89"/>
      <c r="O20" s="102"/>
    </row>
    <row r="21" ht="20.1" customHeight="1" spans="2:15">
      <c r="B21" s="86">
        <v>19</v>
      </c>
      <c r="C21" s="87" t="s">
        <v>97</v>
      </c>
      <c r="D21" s="92" t="s">
        <v>52</v>
      </c>
      <c r="E21" s="89">
        <f t="shared" si="0"/>
        <v>184.39</v>
      </c>
      <c r="F21" s="89"/>
      <c r="G21" s="93">
        <v>184.39</v>
      </c>
      <c r="H21" s="39"/>
      <c r="I21" s="39"/>
      <c r="J21" s="39"/>
      <c r="K21" s="39"/>
      <c r="L21" s="39"/>
      <c r="M21" s="89"/>
      <c r="N21" s="89"/>
      <c r="O21" s="102"/>
    </row>
    <row r="22" ht="20.1" customHeight="1" spans="2:16">
      <c r="B22" s="86">
        <v>20</v>
      </c>
      <c r="C22" s="87" t="s">
        <v>97</v>
      </c>
      <c r="D22" s="92" t="s">
        <v>116</v>
      </c>
      <c r="E22" s="89">
        <f t="shared" si="0"/>
        <v>6137.92</v>
      </c>
      <c r="F22" s="89"/>
      <c r="G22" s="93">
        <v>6137.92</v>
      </c>
      <c r="H22" s="39"/>
      <c r="I22" s="39"/>
      <c r="J22" s="39"/>
      <c r="K22" s="39"/>
      <c r="L22" s="39"/>
      <c r="M22" s="89"/>
      <c r="N22" s="89"/>
      <c r="O22" s="102"/>
      <c r="P22" s="103" t="s">
        <v>117</v>
      </c>
    </row>
    <row r="23" ht="20.1" customHeight="1" spans="2:15">
      <c r="B23" s="86">
        <v>21</v>
      </c>
      <c r="C23" s="87" t="s">
        <v>118</v>
      </c>
      <c r="D23" s="90" t="s">
        <v>113</v>
      </c>
      <c r="E23" s="89">
        <f t="shared" si="0"/>
        <v>5386.62</v>
      </c>
      <c r="F23" s="89"/>
      <c r="G23" s="89"/>
      <c r="H23" s="39">
        <v>0</v>
      </c>
      <c r="I23" s="39">
        <v>0</v>
      </c>
      <c r="J23" s="39">
        <v>0</v>
      </c>
      <c r="K23" s="89">
        <v>1351.25</v>
      </c>
      <c r="L23" s="89">
        <v>4035.37</v>
      </c>
      <c r="M23" s="39">
        <v>0</v>
      </c>
      <c r="N23" s="39">
        <v>0</v>
      </c>
      <c r="O23" s="39">
        <v>0</v>
      </c>
    </row>
    <row r="24" ht="20.1" customHeight="1" spans="2:15">
      <c r="B24" s="86"/>
      <c r="C24" s="94"/>
      <c r="D24" s="90"/>
      <c r="E24" s="89">
        <f t="shared" si="0"/>
        <v>0</v>
      </c>
      <c r="F24" s="89"/>
      <c r="G24" s="89"/>
      <c r="H24" s="89"/>
      <c r="I24" s="89"/>
      <c r="J24" s="89"/>
      <c r="K24" s="89"/>
      <c r="L24" s="89"/>
      <c r="M24" s="89"/>
      <c r="N24" s="89"/>
      <c r="O24" s="101"/>
    </row>
    <row r="25" ht="20.1" customHeight="1" spans="2:15">
      <c r="B25" s="95"/>
      <c r="C25" s="96"/>
      <c r="D25" s="97" t="s">
        <v>14</v>
      </c>
      <c r="E25" s="98">
        <f t="shared" si="0"/>
        <v>49572.397405</v>
      </c>
      <c r="F25" s="98">
        <f>SUM(F3:F24)</f>
        <v>0</v>
      </c>
      <c r="G25" s="98">
        <f>SUM(G3:G24)</f>
        <v>6935.472558</v>
      </c>
      <c r="H25" s="98">
        <f>SUM(H3:H24)</f>
        <v>2470.463774</v>
      </c>
      <c r="I25" s="98">
        <f t="shared" ref="I25:O25" si="1">SUM(I3:I24)</f>
        <v>12025.331301</v>
      </c>
      <c r="J25" s="98">
        <f t="shared" si="1"/>
        <v>9393.240372</v>
      </c>
      <c r="K25" s="98">
        <f t="shared" si="1"/>
        <v>4021.824487</v>
      </c>
      <c r="L25" s="98">
        <f t="shared" si="1"/>
        <v>5318.504602</v>
      </c>
      <c r="M25" s="98">
        <f t="shared" si="1"/>
        <v>5533.333334</v>
      </c>
      <c r="N25" s="98">
        <f t="shared" si="1"/>
        <v>1711.946977</v>
      </c>
      <c r="O25" s="98">
        <f t="shared" si="1"/>
        <v>2162.28</v>
      </c>
    </row>
    <row r="26" ht="31.5" customHeight="1" spans="4:12">
      <c r="D26" s="99"/>
      <c r="L26" s="104"/>
    </row>
    <row r="27" ht="31.5" customHeight="1" spans="4:12">
      <c r="D27" s="99"/>
      <c r="L27" s="104"/>
    </row>
    <row r="28" ht="12" customHeight="1" spans="4:12">
      <c r="D28" s="99"/>
      <c r="L28" s="104"/>
    </row>
  </sheetData>
  <pageMargins left="0.708661417322835" right="0.708661417322835" top="0.748031496062992" bottom="0.748031496062992" header="0.31496062992126" footer="0.31496062992126"/>
  <pageSetup paperSize="9" scale="77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20"/>
  <sheetViews>
    <sheetView workbookViewId="0">
      <selection activeCell="D1" sqref="D$1:D$1048576"/>
    </sheetView>
  </sheetViews>
  <sheetFormatPr defaultColWidth="9" defaultRowHeight="13.5"/>
  <cols>
    <col min="2" max="2" width="30.5" customWidth="1"/>
    <col min="3" max="3" width="9.625" customWidth="1"/>
    <col min="4" max="4" width="9.625" style="74" customWidth="1"/>
    <col min="5" max="5" width="9.625" customWidth="1"/>
    <col min="6" max="6" width="9.25" customWidth="1"/>
    <col min="7" max="7" width="10.75" customWidth="1"/>
    <col min="8" max="8" width="8.875" customWidth="1"/>
    <col min="9" max="10" width="7.25" customWidth="1"/>
    <col min="11" max="11" width="10" customWidth="1"/>
    <col min="12" max="13" width="7.25" customWidth="1"/>
  </cols>
  <sheetData>
    <row r="2" ht="14.25"/>
    <row r="3" ht="16.5" spans="1:13">
      <c r="A3" s="2" t="s">
        <v>1</v>
      </c>
      <c r="B3" s="4" t="s">
        <v>2</v>
      </c>
      <c r="C3" s="4" t="s">
        <v>3</v>
      </c>
      <c r="D3" s="75" t="s">
        <v>4</v>
      </c>
      <c r="E3" s="4" t="s">
        <v>5</v>
      </c>
      <c r="F3" s="4" t="s">
        <v>6</v>
      </c>
      <c r="G3" s="4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26" t="s">
        <v>13</v>
      </c>
    </row>
    <row r="4" ht="16.5" spans="1:13">
      <c r="A4" s="36">
        <v>1</v>
      </c>
      <c r="B4" s="76" t="s">
        <v>119</v>
      </c>
      <c r="C4" s="77">
        <f>SUM(E4:M4)</f>
        <v>3375.423382</v>
      </c>
      <c r="D4" s="78"/>
      <c r="E4" s="77">
        <v>754.713382</v>
      </c>
      <c r="F4" s="77">
        <f>613.2+141.51</f>
        <v>754.71</v>
      </c>
      <c r="G4" s="77"/>
      <c r="H4" s="77"/>
      <c r="I4" s="77"/>
      <c r="J4" s="77"/>
      <c r="K4" s="82">
        <f>1922-56</f>
        <v>1866</v>
      </c>
      <c r="L4" s="77"/>
      <c r="M4" s="83"/>
    </row>
    <row r="5" ht="16.5" spans="1:13">
      <c r="A5" s="36">
        <v>2</v>
      </c>
      <c r="B5" s="76" t="s">
        <v>120</v>
      </c>
      <c r="C5" s="77">
        <f t="shared" ref="C5:C16" si="0">SUM(E5:M5)</f>
        <v>1912.814812</v>
      </c>
      <c r="D5" s="78"/>
      <c r="E5" s="77"/>
      <c r="F5" s="77">
        <v>1912.814812</v>
      </c>
      <c r="G5" s="77"/>
      <c r="H5" s="77"/>
      <c r="I5" s="77"/>
      <c r="J5" s="77"/>
      <c r="K5" s="82"/>
      <c r="L5" s="77"/>
      <c r="M5" s="83"/>
    </row>
    <row r="6" ht="16.5" spans="1:13">
      <c r="A6" s="36">
        <v>3</v>
      </c>
      <c r="B6" s="76" t="s">
        <v>121</v>
      </c>
      <c r="C6" s="77">
        <f t="shared" si="0"/>
        <v>2028</v>
      </c>
      <c r="D6" s="78"/>
      <c r="E6" s="77"/>
      <c r="F6" s="77"/>
      <c r="G6" s="77">
        <v>2028</v>
      </c>
      <c r="H6" s="77"/>
      <c r="I6" s="77"/>
      <c r="J6" s="77"/>
      <c r="K6" s="77"/>
      <c r="L6" s="77"/>
      <c r="M6" s="83"/>
    </row>
    <row r="7" ht="16.5" spans="1:13">
      <c r="A7" s="36">
        <v>4</v>
      </c>
      <c r="B7" s="76" t="s">
        <v>122</v>
      </c>
      <c r="C7" s="77">
        <f t="shared" si="0"/>
        <v>5014.787183</v>
      </c>
      <c r="D7" s="78"/>
      <c r="E7" s="77">
        <v>-3307.3</v>
      </c>
      <c r="F7" s="77">
        <v>6545.507183</v>
      </c>
      <c r="G7" s="77"/>
      <c r="H7" s="77">
        <v>1776.58</v>
      </c>
      <c r="I7" s="77"/>
      <c r="J7" s="77"/>
      <c r="K7" s="82"/>
      <c r="L7" s="77"/>
      <c r="M7" s="83"/>
    </row>
    <row r="8" ht="16.5" spans="1:13">
      <c r="A8" s="36">
        <v>5</v>
      </c>
      <c r="B8" s="76" t="s">
        <v>123</v>
      </c>
      <c r="C8" s="77">
        <f t="shared" si="0"/>
        <v>1122.610319</v>
      </c>
      <c r="D8" s="78">
        <v>76.37</v>
      </c>
      <c r="E8" s="77">
        <f>42.9169+260.5504</f>
        <v>303.4673</v>
      </c>
      <c r="F8" s="77">
        <f>334.64+311.783019</f>
        <v>646.423019</v>
      </c>
      <c r="G8" s="77"/>
      <c r="H8" s="77">
        <v>172.72</v>
      </c>
      <c r="I8" s="77"/>
      <c r="J8" s="77"/>
      <c r="K8" s="82"/>
      <c r="L8" s="77"/>
      <c r="M8" s="83"/>
    </row>
    <row r="9" ht="16.5" spans="1:13">
      <c r="A9" s="36">
        <v>6</v>
      </c>
      <c r="B9" s="76" t="s">
        <v>124</v>
      </c>
      <c r="C9" s="77">
        <f t="shared" si="0"/>
        <v>304.71</v>
      </c>
      <c r="D9" s="78"/>
      <c r="E9" s="77"/>
      <c r="F9" s="77">
        <v>304.71</v>
      </c>
      <c r="G9" s="77"/>
      <c r="H9" s="77"/>
      <c r="I9" s="77"/>
      <c r="J9" s="77"/>
      <c r="K9" s="77"/>
      <c r="L9" s="77"/>
      <c r="M9" s="83"/>
    </row>
    <row r="10" ht="16.5" spans="1:13">
      <c r="A10" s="36">
        <v>7</v>
      </c>
      <c r="B10" s="76" t="s">
        <v>125</v>
      </c>
      <c r="C10" s="77">
        <f t="shared" si="0"/>
        <v>37.866161</v>
      </c>
      <c r="D10" s="78">
        <v>0.35</v>
      </c>
      <c r="E10" s="77">
        <f>1.95+0.6203+0.42+2.424+5.075661+0.3962-3.16</f>
        <v>7.726161</v>
      </c>
      <c r="F10" s="77">
        <f>7.72+3.86+0.63</f>
        <v>12.21</v>
      </c>
      <c r="G10" s="77">
        <v>17.93</v>
      </c>
      <c r="H10" s="77"/>
      <c r="I10" s="77"/>
      <c r="J10" s="77"/>
      <c r="K10" s="77"/>
      <c r="L10" s="77"/>
      <c r="M10" s="83"/>
    </row>
    <row r="11" ht="16.5" spans="1:13">
      <c r="A11" s="36">
        <v>8</v>
      </c>
      <c r="B11" s="76" t="s">
        <v>126</v>
      </c>
      <c r="C11" s="77">
        <f t="shared" si="0"/>
        <v>1340.361012</v>
      </c>
      <c r="D11" s="78">
        <v>269.5</v>
      </c>
      <c r="E11" s="77">
        <f>330.760366+30.1184</f>
        <v>360.878766</v>
      </c>
      <c r="F11" s="77">
        <f>389.05+278.5+27.9764+265.405846</f>
        <v>960.932246</v>
      </c>
      <c r="G11" s="77">
        <v>18.55</v>
      </c>
      <c r="H11" s="77"/>
      <c r="I11" s="77"/>
      <c r="J11" s="77"/>
      <c r="K11" s="77"/>
      <c r="L11" s="77"/>
      <c r="M11" s="83"/>
    </row>
    <row r="12" ht="17.25" spans="1:13">
      <c r="A12" s="36">
        <v>9</v>
      </c>
      <c r="B12" s="79" t="s">
        <v>127</v>
      </c>
      <c r="C12" s="77">
        <f t="shared" si="0"/>
        <v>78.9</v>
      </c>
      <c r="D12" s="78"/>
      <c r="E12" s="77"/>
      <c r="F12" s="77"/>
      <c r="G12" s="77">
        <v>56</v>
      </c>
      <c r="H12" s="77">
        <v>5.4</v>
      </c>
      <c r="I12" s="77">
        <v>6.4</v>
      </c>
      <c r="J12" s="77"/>
      <c r="K12" s="77"/>
      <c r="L12" s="77"/>
      <c r="M12" s="83">
        <v>11.1</v>
      </c>
    </row>
    <row r="13" ht="17.25" spans="1:13">
      <c r="A13" s="36">
        <v>10</v>
      </c>
      <c r="B13" s="79" t="s">
        <v>128</v>
      </c>
      <c r="C13" s="77">
        <f t="shared" si="0"/>
        <v>349.06</v>
      </c>
      <c r="D13" s="78"/>
      <c r="E13" s="77"/>
      <c r="F13" s="77">
        <v>9.7</v>
      </c>
      <c r="G13" s="77"/>
      <c r="H13" s="77"/>
      <c r="I13" s="77"/>
      <c r="J13" s="77"/>
      <c r="K13" s="77">
        <v>339.36</v>
      </c>
      <c r="L13" s="77"/>
      <c r="M13" s="83"/>
    </row>
    <row r="14" ht="17.25" spans="1:13">
      <c r="A14" s="36">
        <v>11</v>
      </c>
      <c r="B14" s="79" t="s">
        <v>129</v>
      </c>
      <c r="C14" s="77">
        <f t="shared" si="0"/>
        <v>56.9721</v>
      </c>
      <c r="D14" s="78"/>
      <c r="E14" s="77">
        <f>21+2.745+1.564+2.6196+2+4.5435</f>
        <v>34.4721</v>
      </c>
      <c r="F14" s="77">
        <f>19.8+0.88+1.85-0.17+0.14</f>
        <v>22.5</v>
      </c>
      <c r="G14" s="77"/>
      <c r="H14" s="77"/>
      <c r="I14" s="77"/>
      <c r="J14" s="77"/>
      <c r="K14" s="77"/>
      <c r="L14" s="77"/>
      <c r="M14" s="83"/>
    </row>
    <row r="15" ht="14.25" customHeight="1" spans="1:13">
      <c r="A15" s="36">
        <v>12</v>
      </c>
      <c r="B15" s="76" t="s">
        <v>130</v>
      </c>
      <c r="C15" s="77">
        <f t="shared" si="0"/>
        <v>61.8104</v>
      </c>
      <c r="D15" s="78"/>
      <c r="E15" s="77">
        <f>0.567+4+0.37+1.21+1.778</f>
        <v>7.925</v>
      </c>
      <c r="F15" s="77">
        <f>6.6+0.1154</f>
        <v>6.7154</v>
      </c>
      <c r="G15" s="77">
        <v>22</v>
      </c>
      <c r="H15" s="77">
        <v>5</v>
      </c>
      <c r="I15" s="77"/>
      <c r="J15" s="77">
        <v>11</v>
      </c>
      <c r="K15" s="77"/>
      <c r="L15" s="77"/>
      <c r="M15" s="83">
        <v>9.17</v>
      </c>
    </row>
    <row r="16" ht="17.25" spans="1:13">
      <c r="A16" s="36">
        <v>13</v>
      </c>
      <c r="B16" s="79" t="s">
        <v>131</v>
      </c>
      <c r="C16" s="77">
        <f t="shared" si="0"/>
        <v>2577.3</v>
      </c>
      <c r="D16" s="78"/>
      <c r="E16" s="77">
        <f>5.7+20+4.6+1200-165</f>
        <v>1065.3</v>
      </c>
      <c r="F16" s="77">
        <v>1000</v>
      </c>
      <c r="G16" s="77">
        <v>500</v>
      </c>
      <c r="H16" s="77"/>
      <c r="I16" s="77"/>
      <c r="J16" s="77"/>
      <c r="K16" s="77">
        <v>12</v>
      </c>
      <c r="L16" s="77"/>
      <c r="M16" s="83"/>
    </row>
    <row r="17" ht="17.25" spans="1:13">
      <c r="A17" s="80"/>
      <c r="B17" s="24" t="s">
        <v>14</v>
      </c>
      <c r="C17" s="25">
        <f>SUM(C4:C16)</f>
        <v>18260.615369</v>
      </c>
      <c r="D17" s="81">
        <f>SUM(D4:D16)</f>
        <v>346.22</v>
      </c>
      <c r="E17" s="25">
        <f t="shared" ref="E17:M17" si="1">SUM(E4:E16)</f>
        <v>-772.817291</v>
      </c>
      <c r="F17" s="25">
        <f t="shared" si="1"/>
        <v>12176.22266</v>
      </c>
      <c r="G17" s="25">
        <f t="shared" si="1"/>
        <v>2642.48</v>
      </c>
      <c r="H17" s="25">
        <f t="shared" si="1"/>
        <v>1959.7</v>
      </c>
      <c r="I17" s="25">
        <f t="shared" si="1"/>
        <v>6.4</v>
      </c>
      <c r="J17" s="25">
        <f t="shared" si="1"/>
        <v>11</v>
      </c>
      <c r="K17" s="25">
        <f t="shared" si="1"/>
        <v>2217.36</v>
      </c>
      <c r="L17" s="25">
        <f t="shared" si="1"/>
        <v>0</v>
      </c>
      <c r="M17" s="84">
        <f t="shared" si="1"/>
        <v>20.27</v>
      </c>
    </row>
    <row r="20" spans="6:6">
      <c r="F20">
        <v>1999.0864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17"/>
  <sheetViews>
    <sheetView topLeftCell="C1" workbookViewId="0">
      <selection activeCell="G11" sqref="G11"/>
    </sheetView>
  </sheetViews>
  <sheetFormatPr defaultColWidth="9" defaultRowHeight="12.75"/>
  <cols>
    <col min="1" max="1" width="9" style="33"/>
    <col min="2" max="2" width="7.375" style="32" customWidth="1"/>
    <col min="3" max="3" width="20.25" style="33" customWidth="1"/>
    <col min="4" max="4" width="36.125" style="33" customWidth="1"/>
    <col min="5" max="5" width="12.75" style="33" customWidth="1"/>
    <col min="6" max="6" width="17.375" style="33" customWidth="1"/>
    <col min="7" max="8" width="11.875" style="33" customWidth="1"/>
    <col min="9" max="9" width="10.625" style="33" customWidth="1"/>
    <col min="10" max="10" width="11.625" style="33" customWidth="1"/>
    <col min="11" max="11" width="11.25" style="33" customWidth="1"/>
    <col min="12" max="12" width="10.625" style="33" customWidth="1"/>
    <col min="13" max="13" width="15.5" style="33" customWidth="1"/>
    <col min="14" max="14" width="11.5" style="33" customWidth="1"/>
    <col min="15" max="15" width="12" style="33" customWidth="1"/>
    <col min="16" max="259" width="9" style="33"/>
    <col min="260" max="260" width="40" style="33" customWidth="1"/>
    <col min="261" max="261" width="14.375" style="33" customWidth="1"/>
    <col min="262" max="262" width="22.75" style="33" customWidth="1"/>
    <col min="263" max="263" width="16.5" style="33" customWidth="1"/>
    <col min="264" max="264" width="13" style="33" customWidth="1"/>
    <col min="265" max="265" width="14.75" style="33" customWidth="1"/>
    <col min="266" max="266" width="15.125" style="33" customWidth="1"/>
    <col min="267" max="515" width="9" style="33"/>
    <col min="516" max="516" width="40" style="33" customWidth="1"/>
    <col min="517" max="517" width="14.375" style="33" customWidth="1"/>
    <col min="518" max="518" width="22.75" style="33" customWidth="1"/>
    <col min="519" max="519" width="16.5" style="33" customWidth="1"/>
    <col min="520" max="520" width="13" style="33" customWidth="1"/>
    <col min="521" max="521" width="14.75" style="33" customWidth="1"/>
    <col min="522" max="522" width="15.125" style="33" customWidth="1"/>
    <col min="523" max="771" width="9" style="33"/>
    <col min="772" max="772" width="40" style="33" customWidth="1"/>
    <col min="773" max="773" width="14.375" style="33" customWidth="1"/>
    <col min="774" max="774" width="22.75" style="33" customWidth="1"/>
    <col min="775" max="775" width="16.5" style="33" customWidth="1"/>
    <col min="776" max="776" width="13" style="33" customWidth="1"/>
    <col min="777" max="777" width="14.75" style="33" customWidth="1"/>
    <col min="778" max="778" width="15.125" style="33" customWidth="1"/>
    <col min="779" max="1027" width="9" style="33"/>
    <col min="1028" max="1028" width="40" style="33" customWidth="1"/>
    <col min="1029" max="1029" width="14.375" style="33" customWidth="1"/>
    <col min="1030" max="1030" width="22.75" style="33" customWidth="1"/>
    <col min="1031" max="1031" width="16.5" style="33" customWidth="1"/>
    <col min="1032" max="1032" width="13" style="33" customWidth="1"/>
    <col min="1033" max="1033" width="14.75" style="33" customWidth="1"/>
    <col min="1034" max="1034" width="15.125" style="33" customWidth="1"/>
    <col min="1035" max="1283" width="9" style="33"/>
    <col min="1284" max="1284" width="40" style="33" customWidth="1"/>
    <col min="1285" max="1285" width="14.375" style="33" customWidth="1"/>
    <col min="1286" max="1286" width="22.75" style="33" customWidth="1"/>
    <col min="1287" max="1287" width="16.5" style="33" customWidth="1"/>
    <col min="1288" max="1288" width="13" style="33" customWidth="1"/>
    <col min="1289" max="1289" width="14.75" style="33" customWidth="1"/>
    <col min="1290" max="1290" width="15.125" style="33" customWidth="1"/>
    <col min="1291" max="1539" width="9" style="33"/>
    <col min="1540" max="1540" width="40" style="33" customWidth="1"/>
    <col min="1541" max="1541" width="14.375" style="33" customWidth="1"/>
    <col min="1542" max="1542" width="22.75" style="33" customWidth="1"/>
    <col min="1543" max="1543" width="16.5" style="33" customWidth="1"/>
    <col min="1544" max="1544" width="13" style="33" customWidth="1"/>
    <col min="1545" max="1545" width="14.75" style="33" customWidth="1"/>
    <col min="1546" max="1546" width="15.125" style="33" customWidth="1"/>
    <col min="1547" max="1795" width="9" style="33"/>
    <col min="1796" max="1796" width="40" style="33" customWidth="1"/>
    <col min="1797" max="1797" width="14.375" style="33" customWidth="1"/>
    <col min="1798" max="1798" width="22.75" style="33" customWidth="1"/>
    <col min="1799" max="1799" width="16.5" style="33" customWidth="1"/>
    <col min="1800" max="1800" width="13" style="33" customWidth="1"/>
    <col min="1801" max="1801" width="14.75" style="33" customWidth="1"/>
    <col min="1802" max="1802" width="15.125" style="33" customWidth="1"/>
    <col min="1803" max="2051" width="9" style="33"/>
    <col min="2052" max="2052" width="40" style="33" customWidth="1"/>
    <col min="2053" max="2053" width="14.375" style="33" customWidth="1"/>
    <col min="2054" max="2054" width="22.75" style="33" customWidth="1"/>
    <col min="2055" max="2055" width="16.5" style="33" customWidth="1"/>
    <col min="2056" max="2056" width="13" style="33" customWidth="1"/>
    <col min="2057" max="2057" width="14.75" style="33" customWidth="1"/>
    <col min="2058" max="2058" width="15.125" style="33" customWidth="1"/>
    <col min="2059" max="2307" width="9" style="33"/>
    <col min="2308" max="2308" width="40" style="33" customWidth="1"/>
    <col min="2309" max="2309" width="14.375" style="33" customWidth="1"/>
    <col min="2310" max="2310" width="22.75" style="33" customWidth="1"/>
    <col min="2311" max="2311" width="16.5" style="33" customWidth="1"/>
    <col min="2312" max="2312" width="13" style="33" customWidth="1"/>
    <col min="2313" max="2313" width="14.75" style="33" customWidth="1"/>
    <col min="2314" max="2314" width="15.125" style="33" customWidth="1"/>
    <col min="2315" max="2563" width="9" style="33"/>
    <col min="2564" max="2564" width="40" style="33" customWidth="1"/>
    <col min="2565" max="2565" width="14.375" style="33" customWidth="1"/>
    <col min="2566" max="2566" width="22.75" style="33" customWidth="1"/>
    <col min="2567" max="2567" width="16.5" style="33" customWidth="1"/>
    <col min="2568" max="2568" width="13" style="33" customWidth="1"/>
    <col min="2569" max="2569" width="14.75" style="33" customWidth="1"/>
    <col min="2570" max="2570" width="15.125" style="33" customWidth="1"/>
    <col min="2571" max="2819" width="9" style="33"/>
    <col min="2820" max="2820" width="40" style="33" customWidth="1"/>
    <col min="2821" max="2821" width="14.375" style="33" customWidth="1"/>
    <col min="2822" max="2822" width="22.75" style="33" customWidth="1"/>
    <col min="2823" max="2823" width="16.5" style="33" customWidth="1"/>
    <col min="2824" max="2824" width="13" style="33" customWidth="1"/>
    <col min="2825" max="2825" width="14.75" style="33" customWidth="1"/>
    <col min="2826" max="2826" width="15.125" style="33" customWidth="1"/>
    <col min="2827" max="3075" width="9" style="33"/>
    <col min="3076" max="3076" width="40" style="33" customWidth="1"/>
    <col min="3077" max="3077" width="14.375" style="33" customWidth="1"/>
    <col min="3078" max="3078" width="22.75" style="33" customWidth="1"/>
    <col min="3079" max="3079" width="16.5" style="33" customWidth="1"/>
    <col min="3080" max="3080" width="13" style="33" customWidth="1"/>
    <col min="3081" max="3081" width="14.75" style="33" customWidth="1"/>
    <col min="3082" max="3082" width="15.125" style="33" customWidth="1"/>
    <col min="3083" max="3331" width="9" style="33"/>
    <col min="3332" max="3332" width="40" style="33" customWidth="1"/>
    <col min="3333" max="3333" width="14.375" style="33" customWidth="1"/>
    <col min="3334" max="3334" width="22.75" style="33" customWidth="1"/>
    <col min="3335" max="3335" width="16.5" style="33" customWidth="1"/>
    <col min="3336" max="3336" width="13" style="33" customWidth="1"/>
    <col min="3337" max="3337" width="14.75" style="33" customWidth="1"/>
    <col min="3338" max="3338" width="15.125" style="33" customWidth="1"/>
    <col min="3339" max="3587" width="9" style="33"/>
    <col min="3588" max="3588" width="40" style="33" customWidth="1"/>
    <col min="3589" max="3589" width="14.375" style="33" customWidth="1"/>
    <col min="3590" max="3590" width="22.75" style="33" customWidth="1"/>
    <col min="3591" max="3591" width="16.5" style="33" customWidth="1"/>
    <col min="3592" max="3592" width="13" style="33" customWidth="1"/>
    <col min="3593" max="3593" width="14.75" style="33" customWidth="1"/>
    <col min="3594" max="3594" width="15.125" style="33" customWidth="1"/>
    <col min="3595" max="3843" width="9" style="33"/>
    <col min="3844" max="3844" width="40" style="33" customWidth="1"/>
    <col min="3845" max="3845" width="14.375" style="33" customWidth="1"/>
    <col min="3846" max="3846" width="22.75" style="33" customWidth="1"/>
    <col min="3847" max="3847" width="16.5" style="33" customWidth="1"/>
    <col min="3848" max="3848" width="13" style="33" customWidth="1"/>
    <col min="3849" max="3849" width="14.75" style="33" customWidth="1"/>
    <col min="3850" max="3850" width="15.125" style="33" customWidth="1"/>
    <col min="3851" max="4099" width="9" style="33"/>
    <col min="4100" max="4100" width="40" style="33" customWidth="1"/>
    <col min="4101" max="4101" width="14.375" style="33" customWidth="1"/>
    <col min="4102" max="4102" width="22.75" style="33" customWidth="1"/>
    <col min="4103" max="4103" width="16.5" style="33" customWidth="1"/>
    <col min="4104" max="4104" width="13" style="33" customWidth="1"/>
    <col min="4105" max="4105" width="14.75" style="33" customWidth="1"/>
    <col min="4106" max="4106" width="15.125" style="33" customWidth="1"/>
    <col min="4107" max="4355" width="9" style="33"/>
    <col min="4356" max="4356" width="40" style="33" customWidth="1"/>
    <col min="4357" max="4357" width="14.375" style="33" customWidth="1"/>
    <col min="4358" max="4358" width="22.75" style="33" customWidth="1"/>
    <col min="4359" max="4359" width="16.5" style="33" customWidth="1"/>
    <col min="4360" max="4360" width="13" style="33" customWidth="1"/>
    <col min="4361" max="4361" width="14.75" style="33" customWidth="1"/>
    <col min="4362" max="4362" width="15.125" style="33" customWidth="1"/>
    <col min="4363" max="4611" width="9" style="33"/>
    <col min="4612" max="4612" width="40" style="33" customWidth="1"/>
    <col min="4613" max="4613" width="14.375" style="33" customWidth="1"/>
    <col min="4614" max="4614" width="22.75" style="33" customWidth="1"/>
    <col min="4615" max="4615" width="16.5" style="33" customWidth="1"/>
    <col min="4616" max="4616" width="13" style="33" customWidth="1"/>
    <col min="4617" max="4617" width="14.75" style="33" customWidth="1"/>
    <col min="4618" max="4618" width="15.125" style="33" customWidth="1"/>
    <col min="4619" max="4867" width="9" style="33"/>
    <col min="4868" max="4868" width="40" style="33" customWidth="1"/>
    <col min="4869" max="4869" width="14.375" style="33" customWidth="1"/>
    <col min="4870" max="4870" width="22.75" style="33" customWidth="1"/>
    <col min="4871" max="4871" width="16.5" style="33" customWidth="1"/>
    <col min="4872" max="4872" width="13" style="33" customWidth="1"/>
    <col min="4873" max="4873" width="14.75" style="33" customWidth="1"/>
    <col min="4874" max="4874" width="15.125" style="33" customWidth="1"/>
    <col min="4875" max="5123" width="9" style="33"/>
    <col min="5124" max="5124" width="40" style="33" customWidth="1"/>
    <col min="5125" max="5125" width="14.375" style="33" customWidth="1"/>
    <col min="5126" max="5126" width="22.75" style="33" customWidth="1"/>
    <col min="5127" max="5127" width="16.5" style="33" customWidth="1"/>
    <col min="5128" max="5128" width="13" style="33" customWidth="1"/>
    <col min="5129" max="5129" width="14.75" style="33" customWidth="1"/>
    <col min="5130" max="5130" width="15.125" style="33" customWidth="1"/>
    <col min="5131" max="5379" width="9" style="33"/>
    <col min="5380" max="5380" width="40" style="33" customWidth="1"/>
    <col min="5381" max="5381" width="14.375" style="33" customWidth="1"/>
    <col min="5382" max="5382" width="22.75" style="33" customWidth="1"/>
    <col min="5383" max="5383" width="16.5" style="33" customWidth="1"/>
    <col min="5384" max="5384" width="13" style="33" customWidth="1"/>
    <col min="5385" max="5385" width="14.75" style="33" customWidth="1"/>
    <col min="5386" max="5386" width="15.125" style="33" customWidth="1"/>
    <col min="5387" max="5635" width="9" style="33"/>
    <col min="5636" max="5636" width="40" style="33" customWidth="1"/>
    <col min="5637" max="5637" width="14.375" style="33" customWidth="1"/>
    <col min="5638" max="5638" width="22.75" style="33" customWidth="1"/>
    <col min="5639" max="5639" width="16.5" style="33" customWidth="1"/>
    <col min="5640" max="5640" width="13" style="33" customWidth="1"/>
    <col min="5641" max="5641" width="14.75" style="33" customWidth="1"/>
    <col min="5642" max="5642" width="15.125" style="33" customWidth="1"/>
    <col min="5643" max="5891" width="9" style="33"/>
    <col min="5892" max="5892" width="40" style="33" customWidth="1"/>
    <col min="5893" max="5893" width="14.375" style="33" customWidth="1"/>
    <col min="5894" max="5894" width="22.75" style="33" customWidth="1"/>
    <col min="5895" max="5895" width="16.5" style="33" customWidth="1"/>
    <col min="5896" max="5896" width="13" style="33" customWidth="1"/>
    <col min="5897" max="5897" width="14.75" style="33" customWidth="1"/>
    <col min="5898" max="5898" width="15.125" style="33" customWidth="1"/>
    <col min="5899" max="6147" width="9" style="33"/>
    <col min="6148" max="6148" width="40" style="33" customWidth="1"/>
    <col min="6149" max="6149" width="14.375" style="33" customWidth="1"/>
    <col min="6150" max="6150" width="22.75" style="33" customWidth="1"/>
    <col min="6151" max="6151" width="16.5" style="33" customWidth="1"/>
    <col min="6152" max="6152" width="13" style="33" customWidth="1"/>
    <col min="6153" max="6153" width="14.75" style="33" customWidth="1"/>
    <col min="6154" max="6154" width="15.125" style="33" customWidth="1"/>
    <col min="6155" max="6403" width="9" style="33"/>
    <col min="6404" max="6404" width="40" style="33" customWidth="1"/>
    <col min="6405" max="6405" width="14.375" style="33" customWidth="1"/>
    <col min="6406" max="6406" width="22.75" style="33" customWidth="1"/>
    <col min="6407" max="6407" width="16.5" style="33" customWidth="1"/>
    <col min="6408" max="6408" width="13" style="33" customWidth="1"/>
    <col min="6409" max="6409" width="14.75" style="33" customWidth="1"/>
    <col min="6410" max="6410" width="15.125" style="33" customWidth="1"/>
    <col min="6411" max="6659" width="9" style="33"/>
    <col min="6660" max="6660" width="40" style="33" customWidth="1"/>
    <col min="6661" max="6661" width="14.375" style="33" customWidth="1"/>
    <col min="6662" max="6662" width="22.75" style="33" customWidth="1"/>
    <col min="6663" max="6663" width="16.5" style="33" customWidth="1"/>
    <col min="6664" max="6664" width="13" style="33" customWidth="1"/>
    <col min="6665" max="6665" width="14.75" style="33" customWidth="1"/>
    <col min="6666" max="6666" width="15.125" style="33" customWidth="1"/>
    <col min="6667" max="6915" width="9" style="33"/>
    <col min="6916" max="6916" width="40" style="33" customWidth="1"/>
    <col min="6917" max="6917" width="14.375" style="33" customWidth="1"/>
    <col min="6918" max="6918" width="22.75" style="33" customWidth="1"/>
    <col min="6919" max="6919" width="16.5" style="33" customWidth="1"/>
    <col min="6920" max="6920" width="13" style="33" customWidth="1"/>
    <col min="6921" max="6921" width="14.75" style="33" customWidth="1"/>
    <col min="6922" max="6922" width="15.125" style="33" customWidth="1"/>
    <col min="6923" max="7171" width="9" style="33"/>
    <col min="7172" max="7172" width="40" style="33" customWidth="1"/>
    <col min="7173" max="7173" width="14.375" style="33" customWidth="1"/>
    <col min="7174" max="7174" width="22.75" style="33" customWidth="1"/>
    <col min="7175" max="7175" width="16.5" style="33" customWidth="1"/>
    <col min="7176" max="7176" width="13" style="33" customWidth="1"/>
    <col min="7177" max="7177" width="14.75" style="33" customWidth="1"/>
    <col min="7178" max="7178" width="15.125" style="33" customWidth="1"/>
    <col min="7179" max="7427" width="9" style="33"/>
    <col min="7428" max="7428" width="40" style="33" customWidth="1"/>
    <col min="7429" max="7429" width="14.375" style="33" customWidth="1"/>
    <col min="7430" max="7430" width="22.75" style="33" customWidth="1"/>
    <col min="7431" max="7431" width="16.5" style="33" customWidth="1"/>
    <col min="7432" max="7432" width="13" style="33" customWidth="1"/>
    <col min="7433" max="7433" width="14.75" style="33" customWidth="1"/>
    <col min="7434" max="7434" width="15.125" style="33" customWidth="1"/>
    <col min="7435" max="7683" width="9" style="33"/>
    <col min="7684" max="7684" width="40" style="33" customWidth="1"/>
    <col min="7685" max="7685" width="14.375" style="33" customWidth="1"/>
    <col min="7686" max="7686" width="22.75" style="33" customWidth="1"/>
    <col min="7687" max="7687" width="16.5" style="33" customWidth="1"/>
    <col min="7688" max="7688" width="13" style="33" customWidth="1"/>
    <col min="7689" max="7689" width="14.75" style="33" customWidth="1"/>
    <col min="7690" max="7690" width="15.125" style="33" customWidth="1"/>
    <col min="7691" max="7939" width="9" style="33"/>
    <col min="7940" max="7940" width="40" style="33" customWidth="1"/>
    <col min="7941" max="7941" width="14.375" style="33" customWidth="1"/>
    <col min="7942" max="7942" width="22.75" style="33" customWidth="1"/>
    <col min="7943" max="7943" width="16.5" style="33" customWidth="1"/>
    <col min="7944" max="7944" width="13" style="33" customWidth="1"/>
    <col min="7945" max="7945" width="14.75" style="33" customWidth="1"/>
    <col min="7946" max="7946" width="15.125" style="33" customWidth="1"/>
    <col min="7947" max="8195" width="9" style="33"/>
    <col min="8196" max="8196" width="40" style="33" customWidth="1"/>
    <col min="8197" max="8197" width="14.375" style="33" customWidth="1"/>
    <col min="8198" max="8198" width="22.75" style="33" customWidth="1"/>
    <col min="8199" max="8199" width="16.5" style="33" customWidth="1"/>
    <col min="8200" max="8200" width="13" style="33" customWidth="1"/>
    <col min="8201" max="8201" width="14.75" style="33" customWidth="1"/>
    <col min="8202" max="8202" width="15.125" style="33" customWidth="1"/>
    <col min="8203" max="8451" width="9" style="33"/>
    <col min="8452" max="8452" width="40" style="33" customWidth="1"/>
    <col min="8453" max="8453" width="14.375" style="33" customWidth="1"/>
    <col min="8454" max="8454" width="22.75" style="33" customWidth="1"/>
    <col min="8455" max="8455" width="16.5" style="33" customWidth="1"/>
    <col min="8456" max="8456" width="13" style="33" customWidth="1"/>
    <col min="8457" max="8457" width="14.75" style="33" customWidth="1"/>
    <col min="8458" max="8458" width="15.125" style="33" customWidth="1"/>
    <col min="8459" max="8707" width="9" style="33"/>
    <col min="8708" max="8708" width="40" style="33" customWidth="1"/>
    <col min="8709" max="8709" width="14.375" style="33" customWidth="1"/>
    <col min="8710" max="8710" width="22.75" style="33" customWidth="1"/>
    <col min="8711" max="8711" width="16.5" style="33" customWidth="1"/>
    <col min="8712" max="8712" width="13" style="33" customWidth="1"/>
    <col min="8713" max="8713" width="14.75" style="33" customWidth="1"/>
    <col min="8714" max="8714" width="15.125" style="33" customWidth="1"/>
    <col min="8715" max="8963" width="9" style="33"/>
    <col min="8964" max="8964" width="40" style="33" customWidth="1"/>
    <col min="8965" max="8965" width="14.375" style="33" customWidth="1"/>
    <col min="8966" max="8966" width="22.75" style="33" customWidth="1"/>
    <col min="8967" max="8967" width="16.5" style="33" customWidth="1"/>
    <col min="8968" max="8968" width="13" style="33" customWidth="1"/>
    <col min="8969" max="8969" width="14.75" style="33" customWidth="1"/>
    <col min="8970" max="8970" width="15.125" style="33" customWidth="1"/>
    <col min="8971" max="9219" width="9" style="33"/>
    <col min="9220" max="9220" width="40" style="33" customWidth="1"/>
    <col min="9221" max="9221" width="14.375" style="33" customWidth="1"/>
    <col min="9222" max="9222" width="22.75" style="33" customWidth="1"/>
    <col min="9223" max="9223" width="16.5" style="33" customWidth="1"/>
    <col min="9224" max="9224" width="13" style="33" customWidth="1"/>
    <col min="9225" max="9225" width="14.75" style="33" customWidth="1"/>
    <col min="9226" max="9226" width="15.125" style="33" customWidth="1"/>
    <col min="9227" max="9475" width="9" style="33"/>
    <col min="9476" max="9476" width="40" style="33" customWidth="1"/>
    <col min="9477" max="9477" width="14.375" style="33" customWidth="1"/>
    <col min="9478" max="9478" width="22.75" style="33" customWidth="1"/>
    <col min="9479" max="9479" width="16.5" style="33" customWidth="1"/>
    <col min="9480" max="9480" width="13" style="33" customWidth="1"/>
    <col min="9481" max="9481" width="14.75" style="33" customWidth="1"/>
    <col min="9482" max="9482" width="15.125" style="33" customWidth="1"/>
    <col min="9483" max="9731" width="9" style="33"/>
    <col min="9732" max="9732" width="40" style="33" customWidth="1"/>
    <col min="9733" max="9733" width="14.375" style="33" customWidth="1"/>
    <col min="9734" max="9734" width="22.75" style="33" customWidth="1"/>
    <col min="9735" max="9735" width="16.5" style="33" customWidth="1"/>
    <col min="9736" max="9736" width="13" style="33" customWidth="1"/>
    <col min="9737" max="9737" width="14.75" style="33" customWidth="1"/>
    <col min="9738" max="9738" width="15.125" style="33" customWidth="1"/>
    <col min="9739" max="9987" width="9" style="33"/>
    <col min="9988" max="9988" width="40" style="33" customWidth="1"/>
    <col min="9989" max="9989" width="14.375" style="33" customWidth="1"/>
    <col min="9990" max="9990" width="22.75" style="33" customWidth="1"/>
    <col min="9991" max="9991" width="16.5" style="33" customWidth="1"/>
    <col min="9992" max="9992" width="13" style="33" customWidth="1"/>
    <col min="9993" max="9993" width="14.75" style="33" customWidth="1"/>
    <col min="9994" max="9994" width="15.125" style="33" customWidth="1"/>
    <col min="9995" max="10243" width="9" style="33"/>
    <col min="10244" max="10244" width="40" style="33" customWidth="1"/>
    <col min="10245" max="10245" width="14.375" style="33" customWidth="1"/>
    <col min="10246" max="10246" width="22.75" style="33" customWidth="1"/>
    <col min="10247" max="10247" width="16.5" style="33" customWidth="1"/>
    <col min="10248" max="10248" width="13" style="33" customWidth="1"/>
    <col min="10249" max="10249" width="14.75" style="33" customWidth="1"/>
    <col min="10250" max="10250" width="15.125" style="33" customWidth="1"/>
    <col min="10251" max="10499" width="9" style="33"/>
    <col min="10500" max="10500" width="40" style="33" customWidth="1"/>
    <col min="10501" max="10501" width="14.375" style="33" customWidth="1"/>
    <col min="10502" max="10502" width="22.75" style="33" customWidth="1"/>
    <col min="10503" max="10503" width="16.5" style="33" customWidth="1"/>
    <col min="10504" max="10504" width="13" style="33" customWidth="1"/>
    <col min="10505" max="10505" width="14.75" style="33" customWidth="1"/>
    <col min="10506" max="10506" width="15.125" style="33" customWidth="1"/>
    <col min="10507" max="10755" width="9" style="33"/>
    <col min="10756" max="10756" width="40" style="33" customWidth="1"/>
    <col min="10757" max="10757" width="14.375" style="33" customWidth="1"/>
    <col min="10758" max="10758" width="22.75" style="33" customWidth="1"/>
    <col min="10759" max="10759" width="16.5" style="33" customWidth="1"/>
    <col min="10760" max="10760" width="13" style="33" customWidth="1"/>
    <col min="10761" max="10761" width="14.75" style="33" customWidth="1"/>
    <col min="10762" max="10762" width="15.125" style="33" customWidth="1"/>
    <col min="10763" max="11011" width="9" style="33"/>
    <col min="11012" max="11012" width="40" style="33" customWidth="1"/>
    <col min="11013" max="11013" width="14.375" style="33" customWidth="1"/>
    <col min="11014" max="11014" width="22.75" style="33" customWidth="1"/>
    <col min="11015" max="11015" width="16.5" style="33" customWidth="1"/>
    <col min="11016" max="11016" width="13" style="33" customWidth="1"/>
    <col min="11017" max="11017" width="14.75" style="33" customWidth="1"/>
    <col min="11018" max="11018" width="15.125" style="33" customWidth="1"/>
    <col min="11019" max="11267" width="9" style="33"/>
    <col min="11268" max="11268" width="40" style="33" customWidth="1"/>
    <col min="11269" max="11269" width="14.375" style="33" customWidth="1"/>
    <col min="11270" max="11270" width="22.75" style="33" customWidth="1"/>
    <col min="11271" max="11271" width="16.5" style="33" customWidth="1"/>
    <col min="11272" max="11272" width="13" style="33" customWidth="1"/>
    <col min="11273" max="11273" width="14.75" style="33" customWidth="1"/>
    <col min="11274" max="11274" width="15.125" style="33" customWidth="1"/>
    <col min="11275" max="11523" width="9" style="33"/>
    <col min="11524" max="11524" width="40" style="33" customWidth="1"/>
    <col min="11525" max="11525" width="14.375" style="33" customWidth="1"/>
    <col min="11526" max="11526" width="22.75" style="33" customWidth="1"/>
    <col min="11527" max="11527" width="16.5" style="33" customWidth="1"/>
    <col min="11528" max="11528" width="13" style="33" customWidth="1"/>
    <col min="11529" max="11529" width="14.75" style="33" customWidth="1"/>
    <col min="11530" max="11530" width="15.125" style="33" customWidth="1"/>
    <col min="11531" max="11779" width="9" style="33"/>
    <col min="11780" max="11780" width="40" style="33" customWidth="1"/>
    <col min="11781" max="11781" width="14.375" style="33" customWidth="1"/>
    <col min="11782" max="11782" width="22.75" style="33" customWidth="1"/>
    <col min="11783" max="11783" width="16.5" style="33" customWidth="1"/>
    <col min="11784" max="11784" width="13" style="33" customWidth="1"/>
    <col min="11785" max="11785" width="14.75" style="33" customWidth="1"/>
    <col min="11786" max="11786" width="15.125" style="33" customWidth="1"/>
    <col min="11787" max="12035" width="9" style="33"/>
    <col min="12036" max="12036" width="40" style="33" customWidth="1"/>
    <col min="12037" max="12037" width="14.375" style="33" customWidth="1"/>
    <col min="12038" max="12038" width="22.75" style="33" customWidth="1"/>
    <col min="12039" max="12039" width="16.5" style="33" customWidth="1"/>
    <col min="12040" max="12040" width="13" style="33" customWidth="1"/>
    <col min="12041" max="12041" width="14.75" style="33" customWidth="1"/>
    <col min="12042" max="12042" width="15.125" style="33" customWidth="1"/>
    <col min="12043" max="12291" width="9" style="33"/>
    <col min="12292" max="12292" width="40" style="33" customWidth="1"/>
    <col min="12293" max="12293" width="14.375" style="33" customWidth="1"/>
    <col min="12294" max="12294" width="22.75" style="33" customWidth="1"/>
    <col min="12295" max="12295" width="16.5" style="33" customWidth="1"/>
    <col min="12296" max="12296" width="13" style="33" customWidth="1"/>
    <col min="12297" max="12297" width="14.75" style="33" customWidth="1"/>
    <col min="12298" max="12298" width="15.125" style="33" customWidth="1"/>
    <col min="12299" max="12547" width="9" style="33"/>
    <col min="12548" max="12548" width="40" style="33" customWidth="1"/>
    <col min="12549" max="12549" width="14.375" style="33" customWidth="1"/>
    <col min="12550" max="12550" width="22.75" style="33" customWidth="1"/>
    <col min="12551" max="12551" width="16.5" style="33" customWidth="1"/>
    <col min="12552" max="12552" width="13" style="33" customWidth="1"/>
    <col min="12553" max="12553" width="14.75" style="33" customWidth="1"/>
    <col min="12554" max="12554" width="15.125" style="33" customWidth="1"/>
    <col min="12555" max="12803" width="9" style="33"/>
    <col min="12804" max="12804" width="40" style="33" customWidth="1"/>
    <col min="12805" max="12805" width="14.375" style="33" customWidth="1"/>
    <col min="12806" max="12806" width="22.75" style="33" customWidth="1"/>
    <col min="12807" max="12807" width="16.5" style="33" customWidth="1"/>
    <col min="12808" max="12808" width="13" style="33" customWidth="1"/>
    <col min="12809" max="12809" width="14.75" style="33" customWidth="1"/>
    <col min="12810" max="12810" width="15.125" style="33" customWidth="1"/>
    <col min="12811" max="13059" width="9" style="33"/>
    <col min="13060" max="13060" width="40" style="33" customWidth="1"/>
    <col min="13061" max="13061" width="14.375" style="33" customWidth="1"/>
    <col min="13062" max="13062" width="22.75" style="33" customWidth="1"/>
    <col min="13063" max="13063" width="16.5" style="33" customWidth="1"/>
    <col min="13064" max="13064" width="13" style="33" customWidth="1"/>
    <col min="13065" max="13065" width="14.75" style="33" customWidth="1"/>
    <col min="13066" max="13066" width="15.125" style="33" customWidth="1"/>
    <col min="13067" max="13315" width="9" style="33"/>
    <col min="13316" max="13316" width="40" style="33" customWidth="1"/>
    <col min="13317" max="13317" width="14.375" style="33" customWidth="1"/>
    <col min="13318" max="13318" width="22.75" style="33" customWidth="1"/>
    <col min="13319" max="13319" width="16.5" style="33" customWidth="1"/>
    <col min="13320" max="13320" width="13" style="33" customWidth="1"/>
    <col min="13321" max="13321" width="14.75" style="33" customWidth="1"/>
    <col min="13322" max="13322" width="15.125" style="33" customWidth="1"/>
    <col min="13323" max="13571" width="9" style="33"/>
    <col min="13572" max="13572" width="40" style="33" customWidth="1"/>
    <col min="13573" max="13573" width="14.375" style="33" customWidth="1"/>
    <col min="13574" max="13574" width="22.75" style="33" customWidth="1"/>
    <col min="13575" max="13575" width="16.5" style="33" customWidth="1"/>
    <col min="13576" max="13576" width="13" style="33" customWidth="1"/>
    <col min="13577" max="13577" width="14.75" style="33" customWidth="1"/>
    <col min="13578" max="13578" width="15.125" style="33" customWidth="1"/>
    <col min="13579" max="13827" width="9" style="33"/>
    <col min="13828" max="13828" width="40" style="33" customWidth="1"/>
    <col min="13829" max="13829" width="14.375" style="33" customWidth="1"/>
    <col min="13830" max="13830" width="22.75" style="33" customWidth="1"/>
    <col min="13831" max="13831" width="16.5" style="33" customWidth="1"/>
    <col min="13832" max="13832" width="13" style="33" customWidth="1"/>
    <col min="13833" max="13833" width="14.75" style="33" customWidth="1"/>
    <col min="13834" max="13834" width="15.125" style="33" customWidth="1"/>
    <col min="13835" max="14083" width="9" style="33"/>
    <col min="14084" max="14084" width="40" style="33" customWidth="1"/>
    <col min="14085" max="14085" width="14.375" style="33" customWidth="1"/>
    <col min="14086" max="14086" width="22.75" style="33" customWidth="1"/>
    <col min="14087" max="14087" width="16.5" style="33" customWidth="1"/>
    <col min="14088" max="14088" width="13" style="33" customWidth="1"/>
    <col min="14089" max="14089" width="14.75" style="33" customWidth="1"/>
    <col min="14090" max="14090" width="15.125" style="33" customWidth="1"/>
    <col min="14091" max="14339" width="9" style="33"/>
    <col min="14340" max="14340" width="40" style="33" customWidth="1"/>
    <col min="14341" max="14341" width="14.375" style="33" customWidth="1"/>
    <col min="14342" max="14342" width="22.75" style="33" customWidth="1"/>
    <col min="14343" max="14343" width="16.5" style="33" customWidth="1"/>
    <col min="14344" max="14344" width="13" style="33" customWidth="1"/>
    <col min="14345" max="14345" width="14.75" style="33" customWidth="1"/>
    <col min="14346" max="14346" width="15.125" style="33" customWidth="1"/>
    <col min="14347" max="14595" width="9" style="33"/>
    <col min="14596" max="14596" width="40" style="33" customWidth="1"/>
    <col min="14597" max="14597" width="14.375" style="33" customWidth="1"/>
    <col min="14598" max="14598" width="22.75" style="33" customWidth="1"/>
    <col min="14599" max="14599" width="16.5" style="33" customWidth="1"/>
    <col min="14600" max="14600" width="13" style="33" customWidth="1"/>
    <col min="14601" max="14601" width="14.75" style="33" customWidth="1"/>
    <col min="14602" max="14602" width="15.125" style="33" customWidth="1"/>
    <col min="14603" max="14851" width="9" style="33"/>
    <col min="14852" max="14852" width="40" style="33" customWidth="1"/>
    <col min="14853" max="14853" width="14.375" style="33" customWidth="1"/>
    <col min="14854" max="14854" width="22.75" style="33" customWidth="1"/>
    <col min="14855" max="14855" width="16.5" style="33" customWidth="1"/>
    <col min="14856" max="14856" width="13" style="33" customWidth="1"/>
    <col min="14857" max="14857" width="14.75" style="33" customWidth="1"/>
    <col min="14858" max="14858" width="15.125" style="33" customWidth="1"/>
    <col min="14859" max="15107" width="9" style="33"/>
    <col min="15108" max="15108" width="40" style="33" customWidth="1"/>
    <col min="15109" max="15109" width="14.375" style="33" customWidth="1"/>
    <col min="15110" max="15110" width="22.75" style="33" customWidth="1"/>
    <col min="15111" max="15111" width="16.5" style="33" customWidth="1"/>
    <col min="15112" max="15112" width="13" style="33" customWidth="1"/>
    <col min="15113" max="15113" width="14.75" style="33" customWidth="1"/>
    <col min="15114" max="15114" width="15.125" style="33" customWidth="1"/>
    <col min="15115" max="15363" width="9" style="33"/>
    <col min="15364" max="15364" width="40" style="33" customWidth="1"/>
    <col min="15365" max="15365" width="14.375" style="33" customWidth="1"/>
    <col min="15366" max="15366" width="22.75" style="33" customWidth="1"/>
    <col min="15367" max="15367" width="16.5" style="33" customWidth="1"/>
    <col min="15368" max="15368" width="13" style="33" customWidth="1"/>
    <col min="15369" max="15369" width="14.75" style="33" customWidth="1"/>
    <col min="15370" max="15370" width="15.125" style="33" customWidth="1"/>
    <col min="15371" max="15619" width="9" style="33"/>
    <col min="15620" max="15620" width="40" style="33" customWidth="1"/>
    <col min="15621" max="15621" width="14.375" style="33" customWidth="1"/>
    <col min="15622" max="15622" width="22.75" style="33" customWidth="1"/>
    <col min="15623" max="15623" width="16.5" style="33" customWidth="1"/>
    <col min="15624" max="15624" width="13" style="33" customWidth="1"/>
    <col min="15625" max="15625" width="14.75" style="33" customWidth="1"/>
    <col min="15626" max="15626" width="15.125" style="33" customWidth="1"/>
    <col min="15627" max="15875" width="9" style="33"/>
    <col min="15876" max="15876" width="40" style="33" customWidth="1"/>
    <col min="15877" max="15877" width="14.375" style="33" customWidth="1"/>
    <col min="15878" max="15878" width="22.75" style="33" customWidth="1"/>
    <col min="15879" max="15879" width="16.5" style="33" customWidth="1"/>
    <col min="15880" max="15880" width="13" style="33" customWidth="1"/>
    <col min="15881" max="15881" width="14.75" style="33" customWidth="1"/>
    <col min="15882" max="15882" width="15.125" style="33" customWidth="1"/>
    <col min="15883" max="16131" width="9" style="33"/>
    <col min="16132" max="16132" width="40" style="33" customWidth="1"/>
    <col min="16133" max="16133" width="14.375" style="33" customWidth="1"/>
    <col min="16134" max="16134" width="22.75" style="33" customWidth="1"/>
    <col min="16135" max="16135" width="16.5" style="33" customWidth="1"/>
    <col min="16136" max="16136" width="13" style="33" customWidth="1"/>
    <col min="16137" max="16137" width="14.75" style="33" customWidth="1"/>
    <col min="16138" max="16138" width="15.125" style="33" customWidth="1"/>
    <col min="16139" max="16384" width="9" style="33"/>
  </cols>
  <sheetData>
    <row r="1" ht="30" customHeight="1" spans="2:17">
      <c r="B1" s="37"/>
      <c r="C1" s="37"/>
      <c r="D1" s="54" t="s">
        <v>132</v>
      </c>
      <c r="E1" s="55"/>
      <c r="F1" s="56">
        <v>44378</v>
      </c>
      <c r="G1" s="56">
        <v>44013</v>
      </c>
      <c r="H1" s="56">
        <v>43647</v>
      </c>
      <c r="I1" s="68">
        <v>43282</v>
      </c>
      <c r="J1" s="68">
        <v>42917</v>
      </c>
      <c r="K1" s="68">
        <v>42552</v>
      </c>
      <c r="L1" s="68">
        <v>42156</v>
      </c>
      <c r="M1" s="68">
        <v>41883</v>
      </c>
      <c r="N1" s="68">
        <v>41426</v>
      </c>
      <c r="O1" s="68"/>
      <c r="P1" s="68"/>
      <c r="Q1" s="68"/>
    </row>
    <row r="3" s="53" customFormat="1" ht="39.75" customHeight="1" spans="2:15">
      <c r="B3" s="57" t="s">
        <v>1</v>
      </c>
      <c r="C3" s="57" t="s">
        <v>96</v>
      </c>
      <c r="D3" s="57" t="s">
        <v>44</v>
      </c>
      <c r="E3" s="57" t="s">
        <v>3</v>
      </c>
      <c r="F3" s="57" t="s">
        <v>5</v>
      </c>
      <c r="G3" s="57" t="s">
        <v>6</v>
      </c>
      <c r="H3" s="57" t="s">
        <v>7</v>
      </c>
      <c r="I3" s="69" t="s">
        <v>8</v>
      </c>
      <c r="J3" s="69" t="s">
        <v>9</v>
      </c>
      <c r="K3" s="69" t="s">
        <v>10</v>
      </c>
      <c r="L3" s="69" t="s">
        <v>11</v>
      </c>
      <c r="M3" s="69" t="s">
        <v>12</v>
      </c>
      <c r="N3" s="69" t="s">
        <v>13</v>
      </c>
      <c r="O3" s="69" t="s">
        <v>133</v>
      </c>
    </row>
    <row r="4" ht="30" customHeight="1" spans="2:15">
      <c r="B4" s="37">
        <v>1</v>
      </c>
      <c r="C4" s="37" t="s">
        <v>97</v>
      </c>
      <c r="D4" s="54" t="s">
        <v>134</v>
      </c>
      <c r="E4" s="55">
        <f>SUM(F4:N4)</f>
        <v>4312.5</v>
      </c>
      <c r="F4" s="55"/>
      <c r="G4" s="39">
        <v>0</v>
      </c>
      <c r="H4" s="39">
        <v>0</v>
      </c>
      <c r="I4" s="70">
        <f>1725+1437.5</f>
        <v>3162.5</v>
      </c>
      <c r="J4" s="70">
        <v>1150</v>
      </c>
      <c r="K4" s="39">
        <v>0</v>
      </c>
      <c r="L4" s="39">
        <v>0</v>
      </c>
      <c r="M4" s="39">
        <v>0</v>
      </c>
      <c r="N4" s="39">
        <v>0</v>
      </c>
      <c r="O4" s="71"/>
    </row>
    <row r="5" ht="30" customHeight="1" spans="2:15">
      <c r="B5" s="37">
        <v>2</v>
      </c>
      <c r="C5" s="37" t="s">
        <v>97</v>
      </c>
      <c r="D5" s="58" t="s">
        <v>135</v>
      </c>
      <c r="E5" s="55">
        <f>SUM(F5:N5)</f>
        <v>5856.007807</v>
      </c>
      <c r="F5" s="55">
        <v>1535.806</v>
      </c>
      <c r="G5" s="55">
        <v>1535.808</v>
      </c>
      <c r="H5" s="55">
        <v>288.68534</v>
      </c>
      <c r="I5" s="70">
        <v>113.257267</v>
      </c>
      <c r="J5" s="70">
        <v>107.2512</v>
      </c>
      <c r="K5" s="70">
        <v>115.2</v>
      </c>
      <c r="L5" s="70">
        <v>720</v>
      </c>
      <c r="M5" s="70">
        <v>720</v>
      </c>
      <c r="N5" s="70">
        <v>720</v>
      </c>
      <c r="O5" s="71"/>
    </row>
    <row r="6" ht="30" customHeight="1" spans="2:15">
      <c r="B6" s="37">
        <v>3</v>
      </c>
      <c r="C6" s="37" t="s">
        <v>97</v>
      </c>
      <c r="D6" s="58" t="s">
        <v>136</v>
      </c>
      <c r="E6" s="55">
        <f t="shared" ref="E6:E9" si="0">SUM(F6:N6)</f>
        <v>58</v>
      </c>
      <c r="F6" s="55">
        <v>9</v>
      </c>
      <c r="G6" s="39">
        <v>9.6</v>
      </c>
      <c r="H6" s="55">
        <v>9.6</v>
      </c>
      <c r="I6" s="70">
        <v>9.6</v>
      </c>
      <c r="J6" s="70">
        <v>9</v>
      </c>
      <c r="K6" s="70">
        <v>8.6</v>
      </c>
      <c r="L6" s="70">
        <v>2.6</v>
      </c>
      <c r="M6" s="39">
        <v>0</v>
      </c>
      <c r="N6" s="39">
        <v>0</v>
      </c>
      <c r="O6" s="71"/>
    </row>
    <row r="7" ht="30" customHeight="1" spans="2:15">
      <c r="B7" s="37">
        <v>4</v>
      </c>
      <c r="C7" s="37" t="s">
        <v>97</v>
      </c>
      <c r="D7" s="58" t="s">
        <v>103</v>
      </c>
      <c r="E7" s="55">
        <f t="shared" si="0"/>
        <v>2982.969639</v>
      </c>
      <c r="F7" s="59">
        <v>1778.358</v>
      </c>
      <c r="G7" s="59">
        <v>1204.611639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71" t="s">
        <v>137</v>
      </c>
    </row>
    <row r="8" ht="30" customHeight="1" spans="2:15">
      <c r="B8" s="37">
        <v>5</v>
      </c>
      <c r="C8" s="37" t="s">
        <v>97</v>
      </c>
      <c r="D8" s="58" t="s">
        <v>101</v>
      </c>
      <c r="E8" s="55">
        <f t="shared" si="0"/>
        <v>2672</v>
      </c>
      <c r="F8" s="55"/>
      <c r="G8" s="59">
        <v>2672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71" t="s">
        <v>137</v>
      </c>
    </row>
    <row r="9" ht="30" customHeight="1" spans="2:15">
      <c r="B9" s="37">
        <v>6</v>
      </c>
      <c r="C9" s="37" t="s">
        <v>97</v>
      </c>
      <c r="D9" s="58" t="s">
        <v>104</v>
      </c>
      <c r="E9" s="55">
        <f t="shared" si="0"/>
        <v>2660.64</v>
      </c>
      <c r="F9" s="59">
        <v>2660.64</v>
      </c>
      <c r="G9" s="59"/>
      <c r="H9" s="39"/>
      <c r="I9" s="39"/>
      <c r="J9" s="39"/>
      <c r="K9" s="39"/>
      <c r="L9" s="39"/>
      <c r="M9" s="39"/>
      <c r="N9" s="39"/>
      <c r="O9" s="71" t="s">
        <v>137</v>
      </c>
    </row>
    <row r="10" ht="30" customHeight="1" spans="2:15">
      <c r="B10" s="37"/>
      <c r="C10" s="60" t="s">
        <v>28</v>
      </c>
      <c r="D10" s="61"/>
      <c r="E10" s="55">
        <f t="shared" ref="E10:N10" si="1">SUM(E4:E9)</f>
        <v>18542.117446</v>
      </c>
      <c r="F10" s="55">
        <f t="shared" si="1"/>
        <v>5983.804</v>
      </c>
      <c r="G10" s="55">
        <f t="shared" si="1"/>
        <v>5422.019639</v>
      </c>
      <c r="H10" s="55">
        <f t="shared" si="1"/>
        <v>298.28534</v>
      </c>
      <c r="I10" s="55">
        <f t="shared" si="1"/>
        <v>3285.357267</v>
      </c>
      <c r="J10" s="55">
        <f t="shared" si="1"/>
        <v>1266.2512</v>
      </c>
      <c r="K10" s="55">
        <f t="shared" si="1"/>
        <v>123.8</v>
      </c>
      <c r="L10" s="55">
        <f t="shared" si="1"/>
        <v>722.6</v>
      </c>
      <c r="M10" s="55">
        <f t="shared" si="1"/>
        <v>720</v>
      </c>
      <c r="N10" s="55">
        <f t="shared" si="1"/>
        <v>720</v>
      </c>
      <c r="O10" s="71"/>
    </row>
    <row r="11" ht="30" customHeight="1" spans="2:15">
      <c r="B11" s="37">
        <v>6</v>
      </c>
      <c r="C11" s="37" t="s">
        <v>118</v>
      </c>
      <c r="D11" s="54" t="s">
        <v>138</v>
      </c>
      <c r="E11" s="55">
        <f>SUM(F11:N11)</f>
        <v>115367.12855</v>
      </c>
      <c r="F11" s="55">
        <v>6950</v>
      </c>
      <c r="G11" s="55">
        <f>54091+3500</f>
        <v>57591</v>
      </c>
      <c r="H11" s="55">
        <v>22730.2917</v>
      </c>
      <c r="I11" s="72">
        <v>3776.20815</v>
      </c>
      <c r="J11" s="72">
        <v>3012.5501</v>
      </c>
      <c r="K11" s="72">
        <v>3213.3868</v>
      </c>
      <c r="L11" s="72">
        <v>7914.7518</v>
      </c>
      <c r="M11" s="72">
        <v>10178.94</v>
      </c>
      <c r="N11" s="39">
        <v>0</v>
      </c>
      <c r="O11" s="71"/>
    </row>
    <row r="12" ht="30" customHeight="1" spans="2:15">
      <c r="B12" s="62"/>
      <c r="C12" s="62"/>
      <c r="D12" s="63" t="s">
        <v>14</v>
      </c>
      <c r="E12" s="64">
        <f>SUM(E10:E11)</f>
        <v>133909.245996</v>
      </c>
      <c r="F12" s="64">
        <f t="shared" ref="F12:N12" si="2">SUM(F10:F11)</f>
        <v>12933.804</v>
      </c>
      <c r="G12" s="64">
        <f t="shared" si="2"/>
        <v>63013.019639</v>
      </c>
      <c r="H12" s="64">
        <f t="shared" si="2"/>
        <v>23028.57704</v>
      </c>
      <c r="I12" s="64">
        <f t="shared" si="2"/>
        <v>7061.565417</v>
      </c>
      <c r="J12" s="64">
        <f t="shared" si="2"/>
        <v>4278.8013</v>
      </c>
      <c r="K12" s="64">
        <f t="shared" si="2"/>
        <v>3337.1868</v>
      </c>
      <c r="L12" s="64">
        <f t="shared" si="2"/>
        <v>8637.3518</v>
      </c>
      <c r="M12" s="64">
        <f t="shared" si="2"/>
        <v>10898.94</v>
      </c>
      <c r="N12" s="64">
        <f t="shared" si="2"/>
        <v>720</v>
      </c>
      <c r="O12" s="71"/>
    </row>
    <row r="14" ht="17.25" spans="3:15">
      <c r="C14" s="65" t="s">
        <v>139</v>
      </c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73"/>
    </row>
    <row r="15" ht="30" customHeight="1" spans="2:15">
      <c r="B15" s="37"/>
      <c r="C15" s="37" t="s">
        <v>97</v>
      </c>
      <c r="D15" s="54" t="s">
        <v>140</v>
      </c>
      <c r="E15" s="55">
        <v>18317.04</v>
      </c>
      <c r="F15" s="55">
        <v>4069.04</v>
      </c>
      <c r="G15" s="55"/>
      <c r="H15" s="55">
        <v>751</v>
      </c>
      <c r="I15" s="55">
        <f>1805+3272</f>
        <v>5077</v>
      </c>
      <c r="J15" s="55">
        <f>1308+3022</f>
        <v>4330</v>
      </c>
      <c r="K15" s="55">
        <f>2300+1790</f>
        <v>4090</v>
      </c>
      <c r="L15" s="72"/>
      <c r="M15" s="72"/>
      <c r="N15" s="39"/>
      <c r="O15" s="71"/>
    </row>
    <row r="17" spans="6:6">
      <c r="F17" s="67"/>
    </row>
  </sheetData>
  <mergeCells count="2">
    <mergeCell ref="C10:D10"/>
    <mergeCell ref="C14:O14"/>
  </mergeCells>
  <pageMargins left="0.7" right="0.7" top="0.75" bottom="0.75" header="0.3" footer="0.3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4"/>
  <sheetViews>
    <sheetView topLeftCell="B6" workbookViewId="0">
      <selection activeCell="E27" sqref="E27"/>
    </sheetView>
  </sheetViews>
  <sheetFormatPr defaultColWidth="9" defaultRowHeight="12.75"/>
  <cols>
    <col min="1" max="1" width="9" style="33"/>
    <col min="2" max="2" width="8.125" style="34" customWidth="1"/>
    <col min="3" max="3" width="11.75" style="34" customWidth="1"/>
    <col min="4" max="4" width="34.125" style="33" customWidth="1"/>
    <col min="5" max="14" width="9.75" style="33" customWidth="1"/>
    <col min="15" max="257" width="9" style="33"/>
    <col min="258" max="258" width="8.125" style="33" customWidth="1"/>
    <col min="259" max="259" width="24.875" style="33" customWidth="1"/>
    <col min="260" max="261" width="15.5" style="33" customWidth="1"/>
    <col min="262" max="262" width="11.25" style="33" customWidth="1"/>
    <col min="263" max="263" width="11.375" style="33" customWidth="1"/>
    <col min="264" max="264" width="12.25" style="33" customWidth="1"/>
    <col min="265" max="265" width="10.875" style="33" customWidth="1"/>
    <col min="266" max="513" width="9" style="33"/>
    <col min="514" max="514" width="8.125" style="33" customWidth="1"/>
    <col min="515" max="515" width="24.875" style="33" customWidth="1"/>
    <col min="516" max="517" width="15.5" style="33" customWidth="1"/>
    <col min="518" max="518" width="11.25" style="33" customWidth="1"/>
    <col min="519" max="519" width="11.375" style="33" customWidth="1"/>
    <col min="520" max="520" width="12.25" style="33" customWidth="1"/>
    <col min="521" max="521" width="10.875" style="33" customWidth="1"/>
    <col min="522" max="769" width="9" style="33"/>
    <col min="770" max="770" width="8.125" style="33" customWidth="1"/>
    <col min="771" max="771" width="24.875" style="33" customWidth="1"/>
    <col min="772" max="773" width="15.5" style="33" customWidth="1"/>
    <col min="774" max="774" width="11.25" style="33" customWidth="1"/>
    <col min="775" max="775" width="11.375" style="33" customWidth="1"/>
    <col min="776" max="776" width="12.25" style="33" customWidth="1"/>
    <col min="777" max="777" width="10.875" style="33" customWidth="1"/>
    <col min="778" max="1025" width="9" style="33"/>
    <col min="1026" max="1026" width="8.125" style="33" customWidth="1"/>
    <col min="1027" max="1027" width="24.875" style="33" customWidth="1"/>
    <col min="1028" max="1029" width="15.5" style="33" customWidth="1"/>
    <col min="1030" max="1030" width="11.25" style="33" customWidth="1"/>
    <col min="1031" max="1031" width="11.375" style="33" customWidth="1"/>
    <col min="1032" max="1032" width="12.25" style="33" customWidth="1"/>
    <col min="1033" max="1033" width="10.875" style="33" customWidth="1"/>
    <col min="1034" max="1281" width="9" style="33"/>
    <col min="1282" max="1282" width="8.125" style="33" customWidth="1"/>
    <col min="1283" max="1283" width="24.875" style="33" customWidth="1"/>
    <col min="1284" max="1285" width="15.5" style="33" customWidth="1"/>
    <col min="1286" max="1286" width="11.25" style="33" customWidth="1"/>
    <col min="1287" max="1287" width="11.375" style="33" customWidth="1"/>
    <col min="1288" max="1288" width="12.25" style="33" customWidth="1"/>
    <col min="1289" max="1289" width="10.875" style="33" customWidth="1"/>
    <col min="1290" max="1537" width="9" style="33"/>
    <col min="1538" max="1538" width="8.125" style="33" customWidth="1"/>
    <col min="1539" max="1539" width="24.875" style="33" customWidth="1"/>
    <col min="1540" max="1541" width="15.5" style="33" customWidth="1"/>
    <col min="1542" max="1542" width="11.25" style="33" customWidth="1"/>
    <col min="1543" max="1543" width="11.375" style="33" customWidth="1"/>
    <col min="1544" max="1544" width="12.25" style="33" customWidth="1"/>
    <col min="1545" max="1545" width="10.875" style="33" customWidth="1"/>
    <col min="1546" max="1793" width="9" style="33"/>
    <col min="1794" max="1794" width="8.125" style="33" customWidth="1"/>
    <col min="1795" max="1795" width="24.875" style="33" customWidth="1"/>
    <col min="1796" max="1797" width="15.5" style="33" customWidth="1"/>
    <col min="1798" max="1798" width="11.25" style="33" customWidth="1"/>
    <col min="1799" max="1799" width="11.375" style="33" customWidth="1"/>
    <col min="1800" max="1800" width="12.25" style="33" customWidth="1"/>
    <col min="1801" max="1801" width="10.875" style="33" customWidth="1"/>
    <col min="1802" max="2049" width="9" style="33"/>
    <col min="2050" max="2050" width="8.125" style="33" customWidth="1"/>
    <col min="2051" max="2051" width="24.875" style="33" customWidth="1"/>
    <col min="2052" max="2053" width="15.5" style="33" customWidth="1"/>
    <col min="2054" max="2054" width="11.25" style="33" customWidth="1"/>
    <col min="2055" max="2055" width="11.375" style="33" customWidth="1"/>
    <col min="2056" max="2056" width="12.25" style="33" customWidth="1"/>
    <col min="2057" max="2057" width="10.875" style="33" customWidth="1"/>
    <col min="2058" max="2305" width="9" style="33"/>
    <col min="2306" max="2306" width="8.125" style="33" customWidth="1"/>
    <col min="2307" max="2307" width="24.875" style="33" customWidth="1"/>
    <col min="2308" max="2309" width="15.5" style="33" customWidth="1"/>
    <col min="2310" max="2310" width="11.25" style="33" customWidth="1"/>
    <col min="2311" max="2311" width="11.375" style="33" customWidth="1"/>
    <col min="2312" max="2312" width="12.25" style="33" customWidth="1"/>
    <col min="2313" max="2313" width="10.875" style="33" customWidth="1"/>
    <col min="2314" max="2561" width="9" style="33"/>
    <col min="2562" max="2562" width="8.125" style="33" customWidth="1"/>
    <col min="2563" max="2563" width="24.875" style="33" customWidth="1"/>
    <col min="2564" max="2565" width="15.5" style="33" customWidth="1"/>
    <col min="2566" max="2566" width="11.25" style="33" customWidth="1"/>
    <col min="2567" max="2567" width="11.375" style="33" customWidth="1"/>
    <col min="2568" max="2568" width="12.25" style="33" customWidth="1"/>
    <col min="2569" max="2569" width="10.875" style="33" customWidth="1"/>
    <col min="2570" max="2817" width="9" style="33"/>
    <col min="2818" max="2818" width="8.125" style="33" customWidth="1"/>
    <col min="2819" max="2819" width="24.875" style="33" customWidth="1"/>
    <col min="2820" max="2821" width="15.5" style="33" customWidth="1"/>
    <col min="2822" max="2822" width="11.25" style="33" customWidth="1"/>
    <col min="2823" max="2823" width="11.375" style="33" customWidth="1"/>
    <col min="2824" max="2824" width="12.25" style="33" customWidth="1"/>
    <col min="2825" max="2825" width="10.875" style="33" customWidth="1"/>
    <col min="2826" max="3073" width="9" style="33"/>
    <col min="3074" max="3074" width="8.125" style="33" customWidth="1"/>
    <col min="3075" max="3075" width="24.875" style="33" customWidth="1"/>
    <col min="3076" max="3077" width="15.5" style="33" customWidth="1"/>
    <col min="3078" max="3078" width="11.25" style="33" customWidth="1"/>
    <col min="3079" max="3079" width="11.375" style="33" customWidth="1"/>
    <col min="3080" max="3080" width="12.25" style="33" customWidth="1"/>
    <col min="3081" max="3081" width="10.875" style="33" customWidth="1"/>
    <col min="3082" max="3329" width="9" style="33"/>
    <col min="3330" max="3330" width="8.125" style="33" customWidth="1"/>
    <col min="3331" max="3331" width="24.875" style="33" customWidth="1"/>
    <col min="3332" max="3333" width="15.5" style="33" customWidth="1"/>
    <col min="3334" max="3334" width="11.25" style="33" customWidth="1"/>
    <col min="3335" max="3335" width="11.375" style="33" customWidth="1"/>
    <col min="3336" max="3336" width="12.25" style="33" customWidth="1"/>
    <col min="3337" max="3337" width="10.875" style="33" customWidth="1"/>
    <col min="3338" max="3585" width="9" style="33"/>
    <col min="3586" max="3586" width="8.125" style="33" customWidth="1"/>
    <col min="3587" max="3587" width="24.875" style="33" customWidth="1"/>
    <col min="3588" max="3589" width="15.5" style="33" customWidth="1"/>
    <col min="3590" max="3590" width="11.25" style="33" customWidth="1"/>
    <col min="3591" max="3591" width="11.375" style="33" customWidth="1"/>
    <col min="3592" max="3592" width="12.25" style="33" customWidth="1"/>
    <col min="3593" max="3593" width="10.875" style="33" customWidth="1"/>
    <col min="3594" max="3841" width="9" style="33"/>
    <col min="3842" max="3842" width="8.125" style="33" customWidth="1"/>
    <col min="3843" max="3843" width="24.875" style="33" customWidth="1"/>
    <col min="3844" max="3845" width="15.5" style="33" customWidth="1"/>
    <col min="3846" max="3846" width="11.25" style="33" customWidth="1"/>
    <col min="3847" max="3847" width="11.375" style="33" customWidth="1"/>
    <col min="3848" max="3848" width="12.25" style="33" customWidth="1"/>
    <col min="3849" max="3849" width="10.875" style="33" customWidth="1"/>
    <col min="3850" max="4097" width="9" style="33"/>
    <col min="4098" max="4098" width="8.125" style="33" customWidth="1"/>
    <col min="4099" max="4099" width="24.875" style="33" customWidth="1"/>
    <col min="4100" max="4101" width="15.5" style="33" customWidth="1"/>
    <col min="4102" max="4102" width="11.25" style="33" customWidth="1"/>
    <col min="4103" max="4103" width="11.375" style="33" customWidth="1"/>
    <col min="4104" max="4104" width="12.25" style="33" customWidth="1"/>
    <col min="4105" max="4105" width="10.875" style="33" customWidth="1"/>
    <col min="4106" max="4353" width="9" style="33"/>
    <col min="4354" max="4354" width="8.125" style="33" customWidth="1"/>
    <col min="4355" max="4355" width="24.875" style="33" customWidth="1"/>
    <col min="4356" max="4357" width="15.5" style="33" customWidth="1"/>
    <col min="4358" max="4358" width="11.25" style="33" customWidth="1"/>
    <col min="4359" max="4359" width="11.375" style="33" customWidth="1"/>
    <col min="4360" max="4360" width="12.25" style="33" customWidth="1"/>
    <col min="4361" max="4361" width="10.875" style="33" customWidth="1"/>
    <col min="4362" max="4609" width="9" style="33"/>
    <col min="4610" max="4610" width="8.125" style="33" customWidth="1"/>
    <col min="4611" max="4611" width="24.875" style="33" customWidth="1"/>
    <col min="4612" max="4613" width="15.5" style="33" customWidth="1"/>
    <col min="4614" max="4614" width="11.25" style="33" customWidth="1"/>
    <col min="4615" max="4615" width="11.375" style="33" customWidth="1"/>
    <col min="4616" max="4616" width="12.25" style="33" customWidth="1"/>
    <col min="4617" max="4617" width="10.875" style="33" customWidth="1"/>
    <col min="4618" max="4865" width="9" style="33"/>
    <col min="4866" max="4866" width="8.125" style="33" customWidth="1"/>
    <col min="4867" max="4867" width="24.875" style="33" customWidth="1"/>
    <col min="4868" max="4869" width="15.5" style="33" customWidth="1"/>
    <col min="4870" max="4870" width="11.25" style="33" customWidth="1"/>
    <col min="4871" max="4871" width="11.375" style="33" customWidth="1"/>
    <col min="4872" max="4872" width="12.25" style="33" customWidth="1"/>
    <col min="4873" max="4873" width="10.875" style="33" customWidth="1"/>
    <col min="4874" max="5121" width="9" style="33"/>
    <col min="5122" max="5122" width="8.125" style="33" customWidth="1"/>
    <col min="5123" max="5123" width="24.875" style="33" customWidth="1"/>
    <col min="5124" max="5125" width="15.5" style="33" customWidth="1"/>
    <col min="5126" max="5126" width="11.25" style="33" customWidth="1"/>
    <col min="5127" max="5127" width="11.375" style="33" customWidth="1"/>
    <col min="5128" max="5128" width="12.25" style="33" customWidth="1"/>
    <col min="5129" max="5129" width="10.875" style="33" customWidth="1"/>
    <col min="5130" max="5377" width="9" style="33"/>
    <col min="5378" max="5378" width="8.125" style="33" customWidth="1"/>
    <col min="5379" max="5379" width="24.875" style="33" customWidth="1"/>
    <col min="5380" max="5381" width="15.5" style="33" customWidth="1"/>
    <col min="5382" max="5382" width="11.25" style="33" customWidth="1"/>
    <col min="5383" max="5383" width="11.375" style="33" customWidth="1"/>
    <col min="5384" max="5384" width="12.25" style="33" customWidth="1"/>
    <col min="5385" max="5385" width="10.875" style="33" customWidth="1"/>
    <col min="5386" max="5633" width="9" style="33"/>
    <col min="5634" max="5634" width="8.125" style="33" customWidth="1"/>
    <col min="5635" max="5635" width="24.875" style="33" customWidth="1"/>
    <col min="5636" max="5637" width="15.5" style="33" customWidth="1"/>
    <col min="5638" max="5638" width="11.25" style="33" customWidth="1"/>
    <col min="5639" max="5639" width="11.375" style="33" customWidth="1"/>
    <col min="5640" max="5640" width="12.25" style="33" customWidth="1"/>
    <col min="5641" max="5641" width="10.875" style="33" customWidth="1"/>
    <col min="5642" max="5889" width="9" style="33"/>
    <col min="5890" max="5890" width="8.125" style="33" customWidth="1"/>
    <col min="5891" max="5891" width="24.875" style="33" customWidth="1"/>
    <col min="5892" max="5893" width="15.5" style="33" customWidth="1"/>
    <col min="5894" max="5894" width="11.25" style="33" customWidth="1"/>
    <col min="5895" max="5895" width="11.375" style="33" customWidth="1"/>
    <col min="5896" max="5896" width="12.25" style="33" customWidth="1"/>
    <col min="5897" max="5897" width="10.875" style="33" customWidth="1"/>
    <col min="5898" max="6145" width="9" style="33"/>
    <col min="6146" max="6146" width="8.125" style="33" customWidth="1"/>
    <col min="6147" max="6147" width="24.875" style="33" customWidth="1"/>
    <col min="6148" max="6149" width="15.5" style="33" customWidth="1"/>
    <col min="6150" max="6150" width="11.25" style="33" customWidth="1"/>
    <col min="6151" max="6151" width="11.375" style="33" customWidth="1"/>
    <col min="6152" max="6152" width="12.25" style="33" customWidth="1"/>
    <col min="6153" max="6153" width="10.875" style="33" customWidth="1"/>
    <col min="6154" max="6401" width="9" style="33"/>
    <col min="6402" max="6402" width="8.125" style="33" customWidth="1"/>
    <col min="6403" max="6403" width="24.875" style="33" customWidth="1"/>
    <col min="6404" max="6405" width="15.5" style="33" customWidth="1"/>
    <col min="6406" max="6406" width="11.25" style="33" customWidth="1"/>
    <col min="6407" max="6407" width="11.375" style="33" customWidth="1"/>
    <col min="6408" max="6408" width="12.25" style="33" customWidth="1"/>
    <col min="6409" max="6409" width="10.875" style="33" customWidth="1"/>
    <col min="6410" max="6657" width="9" style="33"/>
    <col min="6658" max="6658" width="8.125" style="33" customWidth="1"/>
    <col min="6659" max="6659" width="24.875" style="33" customWidth="1"/>
    <col min="6660" max="6661" width="15.5" style="33" customWidth="1"/>
    <col min="6662" max="6662" width="11.25" style="33" customWidth="1"/>
    <col min="6663" max="6663" width="11.375" style="33" customWidth="1"/>
    <col min="6664" max="6664" width="12.25" style="33" customWidth="1"/>
    <col min="6665" max="6665" width="10.875" style="33" customWidth="1"/>
    <col min="6666" max="6913" width="9" style="33"/>
    <col min="6914" max="6914" width="8.125" style="33" customWidth="1"/>
    <col min="6915" max="6915" width="24.875" style="33" customWidth="1"/>
    <col min="6916" max="6917" width="15.5" style="33" customWidth="1"/>
    <col min="6918" max="6918" width="11.25" style="33" customWidth="1"/>
    <col min="6919" max="6919" width="11.375" style="33" customWidth="1"/>
    <col min="6920" max="6920" width="12.25" style="33" customWidth="1"/>
    <col min="6921" max="6921" width="10.875" style="33" customWidth="1"/>
    <col min="6922" max="7169" width="9" style="33"/>
    <col min="7170" max="7170" width="8.125" style="33" customWidth="1"/>
    <col min="7171" max="7171" width="24.875" style="33" customWidth="1"/>
    <col min="7172" max="7173" width="15.5" style="33" customWidth="1"/>
    <col min="7174" max="7174" width="11.25" style="33" customWidth="1"/>
    <col min="7175" max="7175" width="11.375" style="33" customWidth="1"/>
    <col min="7176" max="7176" width="12.25" style="33" customWidth="1"/>
    <col min="7177" max="7177" width="10.875" style="33" customWidth="1"/>
    <col min="7178" max="7425" width="9" style="33"/>
    <col min="7426" max="7426" width="8.125" style="33" customWidth="1"/>
    <col min="7427" max="7427" width="24.875" style="33" customWidth="1"/>
    <col min="7428" max="7429" width="15.5" style="33" customWidth="1"/>
    <col min="7430" max="7430" width="11.25" style="33" customWidth="1"/>
    <col min="7431" max="7431" width="11.375" style="33" customWidth="1"/>
    <col min="7432" max="7432" width="12.25" style="33" customWidth="1"/>
    <col min="7433" max="7433" width="10.875" style="33" customWidth="1"/>
    <col min="7434" max="7681" width="9" style="33"/>
    <col min="7682" max="7682" width="8.125" style="33" customWidth="1"/>
    <col min="7683" max="7683" width="24.875" style="33" customWidth="1"/>
    <col min="7684" max="7685" width="15.5" style="33" customWidth="1"/>
    <col min="7686" max="7686" width="11.25" style="33" customWidth="1"/>
    <col min="7687" max="7687" width="11.375" style="33" customWidth="1"/>
    <col min="7688" max="7688" width="12.25" style="33" customWidth="1"/>
    <col min="7689" max="7689" width="10.875" style="33" customWidth="1"/>
    <col min="7690" max="7937" width="9" style="33"/>
    <col min="7938" max="7938" width="8.125" style="33" customWidth="1"/>
    <col min="7939" max="7939" width="24.875" style="33" customWidth="1"/>
    <col min="7940" max="7941" width="15.5" style="33" customWidth="1"/>
    <col min="7942" max="7942" width="11.25" style="33" customWidth="1"/>
    <col min="7943" max="7943" width="11.375" style="33" customWidth="1"/>
    <col min="7944" max="7944" width="12.25" style="33" customWidth="1"/>
    <col min="7945" max="7945" width="10.875" style="33" customWidth="1"/>
    <col min="7946" max="8193" width="9" style="33"/>
    <col min="8194" max="8194" width="8.125" style="33" customWidth="1"/>
    <col min="8195" max="8195" width="24.875" style="33" customWidth="1"/>
    <col min="8196" max="8197" width="15.5" style="33" customWidth="1"/>
    <col min="8198" max="8198" width="11.25" style="33" customWidth="1"/>
    <col min="8199" max="8199" width="11.375" style="33" customWidth="1"/>
    <col min="8200" max="8200" width="12.25" style="33" customWidth="1"/>
    <col min="8201" max="8201" width="10.875" style="33" customWidth="1"/>
    <col min="8202" max="8449" width="9" style="33"/>
    <col min="8450" max="8450" width="8.125" style="33" customWidth="1"/>
    <col min="8451" max="8451" width="24.875" style="33" customWidth="1"/>
    <col min="8452" max="8453" width="15.5" style="33" customWidth="1"/>
    <col min="8454" max="8454" width="11.25" style="33" customWidth="1"/>
    <col min="8455" max="8455" width="11.375" style="33" customWidth="1"/>
    <col min="8456" max="8456" width="12.25" style="33" customWidth="1"/>
    <col min="8457" max="8457" width="10.875" style="33" customWidth="1"/>
    <col min="8458" max="8705" width="9" style="33"/>
    <col min="8706" max="8706" width="8.125" style="33" customWidth="1"/>
    <col min="8707" max="8707" width="24.875" style="33" customWidth="1"/>
    <col min="8708" max="8709" width="15.5" style="33" customWidth="1"/>
    <col min="8710" max="8710" width="11.25" style="33" customWidth="1"/>
    <col min="8711" max="8711" width="11.375" style="33" customWidth="1"/>
    <col min="8712" max="8712" width="12.25" style="33" customWidth="1"/>
    <col min="8713" max="8713" width="10.875" style="33" customWidth="1"/>
    <col min="8714" max="8961" width="9" style="33"/>
    <col min="8962" max="8962" width="8.125" style="33" customWidth="1"/>
    <col min="8963" max="8963" width="24.875" style="33" customWidth="1"/>
    <col min="8964" max="8965" width="15.5" style="33" customWidth="1"/>
    <col min="8966" max="8966" width="11.25" style="33" customWidth="1"/>
    <col min="8967" max="8967" width="11.375" style="33" customWidth="1"/>
    <col min="8968" max="8968" width="12.25" style="33" customWidth="1"/>
    <col min="8969" max="8969" width="10.875" style="33" customWidth="1"/>
    <col min="8970" max="9217" width="9" style="33"/>
    <col min="9218" max="9218" width="8.125" style="33" customWidth="1"/>
    <col min="9219" max="9219" width="24.875" style="33" customWidth="1"/>
    <col min="9220" max="9221" width="15.5" style="33" customWidth="1"/>
    <col min="9222" max="9222" width="11.25" style="33" customWidth="1"/>
    <col min="9223" max="9223" width="11.375" style="33" customWidth="1"/>
    <col min="9224" max="9224" width="12.25" style="33" customWidth="1"/>
    <col min="9225" max="9225" width="10.875" style="33" customWidth="1"/>
    <col min="9226" max="9473" width="9" style="33"/>
    <col min="9474" max="9474" width="8.125" style="33" customWidth="1"/>
    <col min="9475" max="9475" width="24.875" style="33" customWidth="1"/>
    <col min="9476" max="9477" width="15.5" style="33" customWidth="1"/>
    <col min="9478" max="9478" width="11.25" style="33" customWidth="1"/>
    <col min="9479" max="9479" width="11.375" style="33" customWidth="1"/>
    <col min="9480" max="9480" width="12.25" style="33" customWidth="1"/>
    <col min="9481" max="9481" width="10.875" style="33" customWidth="1"/>
    <col min="9482" max="9729" width="9" style="33"/>
    <col min="9730" max="9730" width="8.125" style="33" customWidth="1"/>
    <col min="9731" max="9731" width="24.875" style="33" customWidth="1"/>
    <col min="9732" max="9733" width="15.5" style="33" customWidth="1"/>
    <col min="9734" max="9734" width="11.25" style="33" customWidth="1"/>
    <col min="9735" max="9735" width="11.375" style="33" customWidth="1"/>
    <col min="9736" max="9736" width="12.25" style="33" customWidth="1"/>
    <col min="9737" max="9737" width="10.875" style="33" customWidth="1"/>
    <col min="9738" max="9985" width="9" style="33"/>
    <col min="9986" max="9986" width="8.125" style="33" customWidth="1"/>
    <col min="9987" max="9987" width="24.875" style="33" customWidth="1"/>
    <col min="9988" max="9989" width="15.5" style="33" customWidth="1"/>
    <col min="9990" max="9990" width="11.25" style="33" customWidth="1"/>
    <col min="9991" max="9991" width="11.375" style="33" customWidth="1"/>
    <col min="9992" max="9992" width="12.25" style="33" customWidth="1"/>
    <col min="9993" max="9993" width="10.875" style="33" customWidth="1"/>
    <col min="9994" max="10241" width="9" style="33"/>
    <col min="10242" max="10242" width="8.125" style="33" customWidth="1"/>
    <col min="10243" max="10243" width="24.875" style="33" customWidth="1"/>
    <col min="10244" max="10245" width="15.5" style="33" customWidth="1"/>
    <col min="10246" max="10246" width="11.25" style="33" customWidth="1"/>
    <col min="10247" max="10247" width="11.375" style="33" customWidth="1"/>
    <col min="10248" max="10248" width="12.25" style="33" customWidth="1"/>
    <col min="10249" max="10249" width="10.875" style="33" customWidth="1"/>
    <col min="10250" max="10497" width="9" style="33"/>
    <col min="10498" max="10498" width="8.125" style="33" customWidth="1"/>
    <col min="10499" max="10499" width="24.875" style="33" customWidth="1"/>
    <col min="10500" max="10501" width="15.5" style="33" customWidth="1"/>
    <col min="10502" max="10502" width="11.25" style="33" customWidth="1"/>
    <col min="10503" max="10503" width="11.375" style="33" customWidth="1"/>
    <col min="10504" max="10504" width="12.25" style="33" customWidth="1"/>
    <col min="10505" max="10505" width="10.875" style="33" customWidth="1"/>
    <col min="10506" max="10753" width="9" style="33"/>
    <col min="10754" max="10754" width="8.125" style="33" customWidth="1"/>
    <col min="10755" max="10755" width="24.875" style="33" customWidth="1"/>
    <col min="10756" max="10757" width="15.5" style="33" customWidth="1"/>
    <col min="10758" max="10758" width="11.25" style="33" customWidth="1"/>
    <col min="10759" max="10759" width="11.375" style="33" customWidth="1"/>
    <col min="10760" max="10760" width="12.25" style="33" customWidth="1"/>
    <col min="10761" max="10761" width="10.875" style="33" customWidth="1"/>
    <col min="10762" max="11009" width="9" style="33"/>
    <col min="11010" max="11010" width="8.125" style="33" customWidth="1"/>
    <col min="11011" max="11011" width="24.875" style="33" customWidth="1"/>
    <col min="11012" max="11013" width="15.5" style="33" customWidth="1"/>
    <col min="11014" max="11014" width="11.25" style="33" customWidth="1"/>
    <col min="11015" max="11015" width="11.375" style="33" customWidth="1"/>
    <col min="11016" max="11016" width="12.25" style="33" customWidth="1"/>
    <col min="11017" max="11017" width="10.875" style="33" customWidth="1"/>
    <col min="11018" max="11265" width="9" style="33"/>
    <col min="11266" max="11266" width="8.125" style="33" customWidth="1"/>
    <col min="11267" max="11267" width="24.875" style="33" customWidth="1"/>
    <col min="11268" max="11269" width="15.5" style="33" customWidth="1"/>
    <col min="11270" max="11270" width="11.25" style="33" customWidth="1"/>
    <col min="11271" max="11271" width="11.375" style="33" customWidth="1"/>
    <col min="11272" max="11272" width="12.25" style="33" customWidth="1"/>
    <col min="11273" max="11273" width="10.875" style="33" customWidth="1"/>
    <col min="11274" max="11521" width="9" style="33"/>
    <col min="11522" max="11522" width="8.125" style="33" customWidth="1"/>
    <col min="11523" max="11523" width="24.875" style="33" customWidth="1"/>
    <col min="11524" max="11525" width="15.5" style="33" customWidth="1"/>
    <col min="11526" max="11526" width="11.25" style="33" customWidth="1"/>
    <col min="11527" max="11527" width="11.375" style="33" customWidth="1"/>
    <col min="11528" max="11528" width="12.25" style="33" customWidth="1"/>
    <col min="11529" max="11529" width="10.875" style="33" customWidth="1"/>
    <col min="11530" max="11777" width="9" style="33"/>
    <col min="11778" max="11778" width="8.125" style="33" customWidth="1"/>
    <col min="11779" max="11779" width="24.875" style="33" customWidth="1"/>
    <col min="11780" max="11781" width="15.5" style="33" customWidth="1"/>
    <col min="11782" max="11782" width="11.25" style="33" customWidth="1"/>
    <col min="11783" max="11783" width="11.375" style="33" customWidth="1"/>
    <col min="11784" max="11784" width="12.25" style="33" customWidth="1"/>
    <col min="11785" max="11785" width="10.875" style="33" customWidth="1"/>
    <col min="11786" max="12033" width="9" style="33"/>
    <col min="12034" max="12034" width="8.125" style="33" customWidth="1"/>
    <col min="12035" max="12035" width="24.875" style="33" customWidth="1"/>
    <col min="12036" max="12037" width="15.5" style="33" customWidth="1"/>
    <col min="12038" max="12038" width="11.25" style="33" customWidth="1"/>
    <col min="12039" max="12039" width="11.375" style="33" customWidth="1"/>
    <col min="12040" max="12040" width="12.25" style="33" customWidth="1"/>
    <col min="12041" max="12041" width="10.875" style="33" customWidth="1"/>
    <col min="12042" max="12289" width="9" style="33"/>
    <col min="12290" max="12290" width="8.125" style="33" customWidth="1"/>
    <col min="12291" max="12291" width="24.875" style="33" customWidth="1"/>
    <col min="12292" max="12293" width="15.5" style="33" customWidth="1"/>
    <col min="12294" max="12294" width="11.25" style="33" customWidth="1"/>
    <col min="12295" max="12295" width="11.375" style="33" customWidth="1"/>
    <col min="12296" max="12296" width="12.25" style="33" customWidth="1"/>
    <col min="12297" max="12297" width="10.875" style="33" customWidth="1"/>
    <col min="12298" max="12545" width="9" style="33"/>
    <col min="12546" max="12546" width="8.125" style="33" customWidth="1"/>
    <col min="12547" max="12547" width="24.875" style="33" customWidth="1"/>
    <col min="12548" max="12549" width="15.5" style="33" customWidth="1"/>
    <col min="12550" max="12550" width="11.25" style="33" customWidth="1"/>
    <col min="12551" max="12551" width="11.375" style="33" customWidth="1"/>
    <col min="12552" max="12552" width="12.25" style="33" customWidth="1"/>
    <col min="12553" max="12553" width="10.875" style="33" customWidth="1"/>
    <col min="12554" max="12801" width="9" style="33"/>
    <col min="12802" max="12802" width="8.125" style="33" customWidth="1"/>
    <col min="12803" max="12803" width="24.875" style="33" customWidth="1"/>
    <col min="12804" max="12805" width="15.5" style="33" customWidth="1"/>
    <col min="12806" max="12806" width="11.25" style="33" customWidth="1"/>
    <col min="12807" max="12807" width="11.375" style="33" customWidth="1"/>
    <col min="12808" max="12808" width="12.25" style="33" customWidth="1"/>
    <col min="12809" max="12809" width="10.875" style="33" customWidth="1"/>
    <col min="12810" max="13057" width="9" style="33"/>
    <col min="13058" max="13058" width="8.125" style="33" customWidth="1"/>
    <col min="13059" max="13059" width="24.875" style="33" customWidth="1"/>
    <col min="13060" max="13061" width="15.5" style="33" customWidth="1"/>
    <col min="13062" max="13062" width="11.25" style="33" customWidth="1"/>
    <col min="13063" max="13063" width="11.375" style="33" customWidth="1"/>
    <col min="13064" max="13064" width="12.25" style="33" customWidth="1"/>
    <col min="13065" max="13065" width="10.875" style="33" customWidth="1"/>
    <col min="13066" max="13313" width="9" style="33"/>
    <col min="13314" max="13314" width="8.125" style="33" customWidth="1"/>
    <col min="13315" max="13315" width="24.875" style="33" customWidth="1"/>
    <col min="13316" max="13317" width="15.5" style="33" customWidth="1"/>
    <col min="13318" max="13318" width="11.25" style="33" customWidth="1"/>
    <col min="13319" max="13319" width="11.375" style="33" customWidth="1"/>
    <col min="13320" max="13320" width="12.25" style="33" customWidth="1"/>
    <col min="13321" max="13321" width="10.875" style="33" customWidth="1"/>
    <col min="13322" max="13569" width="9" style="33"/>
    <col min="13570" max="13570" width="8.125" style="33" customWidth="1"/>
    <col min="13571" max="13571" width="24.875" style="33" customWidth="1"/>
    <col min="13572" max="13573" width="15.5" style="33" customWidth="1"/>
    <col min="13574" max="13574" width="11.25" style="33" customWidth="1"/>
    <col min="13575" max="13575" width="11.375" style="33" customWidth="1"/>
    <col min="13576" max="13576" width="12.25" style="33" customWidth="1"/>
    <col min="13577" max="13577" width="10.875" style="33" customWidth="1"/>
    <col min="13578" max="13825" width="9" style="33"/>
    <col min="13826" max="13826" width="8.125" style="33" customWidth="1"/>
    <col min="13827" max="13827" width="24.875" style="33" customWidth="1"/>
    <col min="13828" max="13829" width="15.5" style="33" customWidth="1"/>
    <col min="13830" max="13830" width="11.25" style="33" customWidth="1"/>
    <col min="13831" max="13831" width="11.375" style="33" customWidth="1"/>
    <col min="13832" max="13832" width="12.25" style="33" customWidth="1"/>
    <col min="13833" max="13833" width="10.875" style="33" customWidth="1"/>
    <col min="13834" max="14081" width="9" style="33"/>
    <col min="14082" max="14082" width="8.125" style="33" customWidth="1"/>
    <col min="14083" max="14083" width="24.875" style="33" customWidth="1"/>
    <col min="14084" max="14085" width="15.5" style="33" customWidth="1"/>
    <col min="14086" max="14086" width="11.25" style="33" customWidth="1"/>
    <col min="14087" max="14087" width="11.375" style="33" customWidth="1"/>
    <col min="14088" max="14088" width="12.25" style="33" customWidth="1"/>
    <col min="14089" max="14089" width="10.875" style="33" customWidth="1"/>
    <col min="14090" max="14337" width="9" style="33"/>
    <col min="14338" max="14338" width="8.125" style="33" customWidth="1"/>
    <col min="14339" max="14339" width="24.875" style="33" customWidth="1"/>
    <col min="14340" max="14341" width="15.5" style="33" customWidth="1"/>
    <col min="14342" max="14342" width="11.25" style="33" customWidth="1"/>
    <col min="14343" max="14343" width="11.375" style="33" customWidth="1"/>
    <col min="14344" max="14344" width="12.25" style="33" customWidth="1"/>
    <col min="14345" max="14345" width="10.875" style="33" customWidth="1"/>
    <col min="14346" max="14593" width="9" style="33"/>
    <col min="14594" max="14594" width="8.125" style="33" customWidth="1"/>
    <col min="14595" max="14595" width="24.875" style="33" customWidth="1"/>
    <col min="14596" max="14597" width="15.5" style="33" customWidth="1"/>
    <col min="14598" max="14598" width="11.25" style="33" customWidth="1"/>
    <col min="14599" max="14599" width="11.375" style="33" customWidth="1"/>
    <col min="14600" max="14600" width="12.25" style="33" customWidth="1"/>
    <col min="14601" max="14601" width="10.875" style="33" customWidth="1"/>
    <col min="14602" max="14849" width="9" style="33"/>
    <col min="14850" max="14850" width="8.125" style="33" customWidth="1"/>
    <col min="14851" max="14851" width="24.875" style="33" customWidth="1"/>
    <col min="14852" max="14853" width="15.5" style="33" customWidth="1"/>
    <col min="14854" max="14854" width="11.25" style="33" customWidth="1"/>
    <col min="14855" max="14855" width="11.375" style="33" customWidth="1"/>
    <col min="14856" max="14856" width="12.25" style="33" customWidth="1"/>
    <col min="14857" max="14857" width="10.875" style="33" customWidth="1"/>
    <col min="14858" max="15105" width="9" style="33"/>
    <col min="15106" max="15106" width="8.125" style="33" customWidth="1"/>
    <col min="15107" max="15107" width="24.875" style="33" customWidth="1"/>
    <col min="15108" max="15109" width="15.5" style="33" customWidth="1"/>
    <col min="15110" max="15110" width="11.25" style="33" customWidth="1"/>
    <col min="15111" max="15111" width="11.375" style="33" customWidth="1"/>
    <col min="15112" max="15112" width="12.25" style="33" customWidth="1"/>
    <col min="15113" max="15113" width="10.875" style="33" customWidth="1"/>
    <col min="15114" max="15361" width="9" style="33"/>
    <col min="15362" max="15362" width="8.125" style="33" customWidth="1"/>
    <col min="15363" max="15363" width="24.875" style="33" customWidth="1"/>
    <col min="15364" max="15365" width="15.5" style="33" customWidth="1"/>
    <col min="15366" max="15366" width="11.25" style="33" customWidth="1"/>
    <col min="15367" max="15367" width="11.375" style="33" customWidth="1"/>
    <col min="15368" max="15368" width="12.25" style="33" customWidth="1"/>
    <col min="15369" max="15369" width="10.875" style="33" customWidth="1"/>
    <col min="15370" max="15617" width="9" style="33"/>
    <col min="15618" max="15618" width="8.125" style="33" customWidth="1"/>
    <col min="15619" max="15619" width="24.875" style="33" customWidth="1"/>
    <col min="15620" max="15621" width="15.5" style="33" customWidth="1"/>
    <col min="15622" max="15622" width="11.25" style="33" customWidth="1"/>
    <col min="15623" max="15623" width="11.375" style="33" customWidth="1"/>
    <col min="15624" max="15624" width="12.25" style="33" customWidth="1"/>
    <col min="15625" max="15625" width="10.875" style="33" customWidth="1"/>
    <col min="15626" max="15873" width="9" style="33"/>
    <col min="15874" max="15874" width="8.125" style="33" customWidth="1"/>
    <col min="15875" max="15875" width="24.875" style="33" customWidth="1"/>
    <col min="15876" max="15877" width="15.5" style="33" customWidth="1"/>
    <col min="15878" max="15878" width="11.25" style="33" customWidth="1"/>
    <col min="15879" max="15879" width="11.375" style="33" customWidth="1"/>
    <col min="15880" max="15880" width="12.25" style="33" customWidth="1"/>
    <col min="15881" max="15881" width="10.875" style="33" customWidth="1"/>
    <col min="15882" max="16129" width="9" style="33"/>
    <col min="16130" max="16130" width="8.125" style="33" customWidth="1"/>
    <col min="16131" max="16131" width="24.875" style="33" customWidth="1"/>
    <col min="16132" max="16133" width="15.5" style="33" customWidth="1"/>
    <col min="16134" max="16134" width="11.25" style="33" customWidth="1"/>
    <col min="16135" max="16135" width="11.375" style="33" customWidth="1"/>
    <col min="16136" max="16136" width="12.25" style="33" customWidth="1"/>
    <col min="16137" max="16137" width="10.875" style="33" customWidth="1"/>
    <col min="16138" max="16384" width="9" style="33"/>
  </cols>
  <sheetData>
    <row r="1" ht="13.5"/>
    <row r="2" s="32" customFormat="1" ht="17.25" spans="2:14">
      <c r="B2" s="2" t="s">
        <v>1</v>
      </c>
      <c r="C2" s="35" t="s">
        <v>96</v>
      </c>
      <c r="D2" s="4" t="s">
        <v>44</v>
      </c>
      <c r="E2" s="4" t="s">
        <v>3</v>
      </c>
      <c r="F2" s="4" t="s">
        <v>5</v>
      </c>
      <c r="G2" s="4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26" t="s">
        <v>13</v>
      </c>
    </row>
    <row r="3" s="32" customFormat="1" ht="17.25" spans="2:14">
      <c r="B3" s="36">
        <v>1</v>
      </c>
      <c r="C3" s="37" t="s">
        <v>97</v>
      </c>
      <c r="D3" s="38" t="s">
        <v>141</v>
      </c>
      <c r="E3" s="39">
        <f>SUM(F3:N3)</f>
        <v>-1500</v>
      </c>
      <c r="F3" s="39"/>
      <c r="G3" s="39">
        <v>0</v>
      </c>
      <c r="H3" s="39">
        <v>-1500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48">
        <v>0</v>
      </c>
    </row>
    <row r="4" s="32" customFormat="1" ht="17.25" spans="2:14">
      <c r="B4" s="36">
        <v>2</v>
      </c>
      <c r="C4" s="37" t="s">
        <v>97</v>
      </c>
      <c r="D4" s="38" t="s">
        <v>142</v>
      </c>
      <c r="E4" s="39">
        <f t="shared" ref="E4:E24" si="0">SUM(F4:N4)</f>
        <v>-2542.05</v>
      </c>
      <c r="F4" s="39"/>
      <c r="G4" s="39">
        <v>0</v>
      </c>
      <c r="H4" s="39">
        <v>-2542.05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48">
        <v>0</v>
      </c>
    </row>
    <row r="5" s="32" customFormat="1" ht="17.25" spans="2:14">
      <c r="B5" s="36">
        <v>3</v>
      </c>
      <c r="C5" s="37" t="s">
        <v>97</v>
      </c>
      <c r="D5" s="38" t="s">
        <v>143</v>
      </c>
      <c r="E5" s="39">
        <f t="shared" si="0"/>
        <v>-2000</v>
      </c>
      <c r="F5" s="39"/>
      <c r="G5" s="39">
        <v>0</v>
      </c>
      <c r="H5" s="39">
        <v>-2000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  <c r="N5" s="48">
        <v>0</v>
      </c>
    </row>
    <row r="6" s="32" customFormat="1" ht="17.25" spans="2:14">
      <c r="B6" s="36">
        <v>4</v>
      </c>
      <c r="C6" s="37" t="s">
        <v>97</v>
      </c>
      <c r="D6" s="38" t="s">
        <v>144</v>
      </c>
      <c r="E6" s="39">
        <f t="shared" si="0"/>
        <v>-566.38</v>
      </c>
      <c r="F6" s="39"/>
      <c r="G6" s="39">
        <v>0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49">
        <v>-566.38</v>
      </c>
      <c r="N6" s="48">
        <v>0</v>
      </c>
    </row>
    <row r="7" s="32" customFormat="1" ht="17.25" spans="2:14">
      <c r="B7" s="36">
        <v>5</v>
      </c>
      <c r="C7" s="37" t="s">
        <v>97</v>
      </c>
      <c r="D7" s="38" t="s">
        <v>145</v>
      </c>
      <c r="E7" s="39">
        <f t="shared" si="0"/>
        <v>-45.72</v>
      </c>
      <c r="F7" s="39"/>
      <c r="G7" s="39">
        <v>0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49">
        <v>-45.72</v>
      </c>
      <c r="N7" s="48">
        <v>0</v>
      </c>
    </row>
    <row r="8" s="32" customFormat="1" ht="17.25" spans="2:14">
      <c r="B8" s="36">
        <v>6</v>
      </c>
      <c r="C8" s="37" t="s">
        <v>97</v>
      </c>
      <c r="D8" s="38" t="s">
        <v>146</v>
      </c>
      <c r="E8" s="39">
        <f t="shared" si="0"/>
        <v>-7830</v>
      </c>
      <c r="F8" s="39"/>
      <c r="G8" s="39">
        <v>0</v>
      </c>
      <c r="H8" s="39">
        <v>-7830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48">
        <v>0</v>
      </c>
    </row>
    <row r="9" s="32" customFormat="1" ht="17.25" spans="2:14">
      <c r="B9" s="36">
        <v>7</v>
      </c>
      <c r="C9" s="37" t="s">
        <v>97</v>
      </c>
      <c r="D9" s="38" t="s">
        <v>147</v>
      </c>
      <c r="E9" s="39">
        <f t="shared" si="0"/>
        <v>-2700</v>
      </c>
      <c r="F9" s="39"/>
      <c r="G9" s="39">
        <v>0</v>
      </c>
      <c r="H9" s="39">
        <v>-2700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  <c r="N9" s="48">
        <v>0</v>
      </c>
    </row>
    <row r="10" ht="17.25" spans="2:14">
      <c r="B10" s="36">
        <v>8</v>
      </c>
      <c r="C10" s="37" t="s">
        <v>97</v>
      </c>
      <c r="D10" s="38" t="s">
        <v>108</v>
      </c>
      <c r="E10" s="39">
        <f t="shared" si="0"/>
        <v>5254.9</v>
      </c>
      <c r="F10" s="39"/>
      <c r="G10" s="39">
        <v>0</v>
      </c>
      <c r="H10" s="39">
        <v>0</v>
      </c>
      <c r="I10" s="39">
        <v>5254.9</v>
      </c>
      <c r="J10" s="39">
        <v>0</v>
      </c>
      <c r="K10" s="39">
        <v>0</v>
      </c>
      <c r="L10" s="39">
        <v>0</v>
      </c>
      <c r="M10" s="39">
        <v>0</v>
      </c>
      <c r="N10" s="48">
        <v>0</v>
      </c>
    </row>
    <row r="11" ht="17.25" spans="2:14">
      <c r="B11" s="36">
        <v>9</v>
      </c>
      <c r="C11" s="37" t="s">
        <v>97</v>
      </c>
      <c r="D11" s="38" t="s">
        <v>148</v>
      </c>
      <c r="E11" s="39">
        <f t="shared" si="0"/>
        <v>526.022354</v>
      </c>
      <c r="F11" s="39"/>
      <c r="G11" s="39">
        <v>0</v>
      </c>
      <c r="H11" s="39">
        <v>0</v>
      </c>
      <c r="I11" s="39">
        <v>526.022354</v>
      </c>
      <c r="J11" s="39">
        <v>0</v>
      </c>
      <c r="K11" s="39">
        <v>0</v>
      </c>
      <c r="L11" s="39">
        <v>0</v>
      </c>
      <c r="M11" s="39">
        <v>0</v>
      </c>
      <c r="N11" s="48">
        <v>0</v>
      </c>
    </row>
    <row r="12" ht="17.25" spans="2:14">
      <c r="B12" s="36">
        <v>10</v>
      </c>
      <c r="C12" s="37" t="s">
        <v>97</v>
      </c>
      <c r="D12" s="38" t="s">
        <v>149</v>
      </c>
      <c r="E12" s="39">
        <f t="shared" si="0"/>
        <v>9798.024703</v>
      </c>
      <c r="F12" s="39"/>
      <c r="G12" s="39">
        <v>0</v>
      </c>
      <c r="H12" s="39">
        <v>0</v>
      </c>
      <c r="I12" s="39">
        <v>9798.024703</v>
      </c>
      <c r="J12" s="39">
        <v>0</v>
      </c>
      <c r="K12" s="39">
        <v>0</v>
      </c>
      <c r="L12" s="39">
        <v>0</v>
      </c>
      <c r="M12" s="39">
        <v>0</v>
      </c>
      <c r="N12" s="48">
        <v>0</v>
      </c>
    </row>
    <row r="13" ht="17.25" spans="2:14">
      <c r="B13" s="36">
        <v>11</v>
      </c>
      <c r="C13" s="37" t="s">
        <v>97</v>
      </c>
      <c r="D13" s="38" t="s">
        <v>150</v>
      </c>
      <c r="E13" s="39">
        <f t="shared" si="0"/>
        <v>-6061.375276</v>
      </c>
      <c r="F13" s="39"/>
      <c r="G13" s="39">
        <v>0</v>
      </c>
      <c r="H13" s="39">
        <v>0</v>
      </c>
      <c r="I13" s="39">
        <v>-6061.375276</v>
      </c>
      <c r="J13" s="39">
        <v>0</v>
      </c>
      <c r="K13" s="39">
        <v>0</v>
      </c>
      <c r="L13" s="39">
        <v>0</v>
      </c>
      <c r="M13" s="39">
        <v>0</v>
      </c>
      <c r="N13" s="48">
        <v>0</v>
      </c>
    </row>
    <row r="14" ht="17.25" spans="2:14">
      <c r="B14" s="36">
        <v>12</v>
      </c>
      <c r="C14" s="37" t="s">
        <v>97</v>
      </c>
      <c r="D14" s="38" t="s">
        <v>151</v>
      </c>
      <c r="E14" s="39">
        <f t="shared" si="0"/>
        <v>2350</v>
      </c>
      <c r="F14" s="39"/>
      <c r="G14" s="39">
        <v>0</v>
      </c>
      <c r="H14" s="39">
        <v>1131.25</v>
      </c>
      <c r="I14" s="39">
        <v>0</v>
      </c>
      <c r="J14" s="39">
        <v>1218.75</v>
      </c>
      <c r="K14" s="39">
        <v>0</v>
      </c>
      <c r="L14" s="39">
        <v>0</v>
      </c>
      <c r="M14" s="39">
        <v>0</v>
      </c>
      <c r="N14" s="48">
        <v>0</v>
      </c>
    </row>
    <row r="15" ht="17.25" spans="2:14">
      <c r="B15" s="36">
        <v>13</v>
      </c>
      <c r="C15" s="37" t="s">
        <v>97</v>
      </c>
      <c r="D15" s="38" t="s">
        <v>152</v>
      </c>
      <c r="E15" s="39">
        <f t="shared" si="0"/>
        <v>-47.6</v>
      </c>
      <c r="F15" s="39"/>
      <c r="G15" s="39">
        <v>0</v>
      </c>
      <c r="H15" s="39">
        <v>0</v>
      </c>
      <c r="I15" s="39">
        <v>0</v>
      </c>
      <c r="J15" s="39">
        <v>0</v>
      </c>
      <c r="K15" s="39">
        <v>0</v>
      </c>
      <c r="L15" s="50">
        <v>-47.6</v>
      </c>
      <c r="M15" s="39">
        <v>0</v>
      </c>
      <c r="N15" s="48">
        <v>0</v>
      </c>
    </row>
    <row r="16" ht="27.75" customHeight="1" spans="2:14">
      <c r="B16" s="36">
        <v>14</v>
      </c>
      <c r="C16" s="37" t="s">
        <v>97</v>
      </c>
      <c r="D16" s="40" t="s">
        <v>153</v>
      </c>
      <c r="E16" s="39">
        <f t="shared" si="0"/>
        <v>1417.79</v>
      </c>
      <c r="F16" s="39"/>
      <c r="G16" s="39">
        <v>1417.79</v>
      </c>
      <c r="H16" s="39">
        <v>0</v>
      </c>
      <c r="I16" s="39">
        <v>0</v>
      </c>
      <c r="J16" s="39">
        <v>0</v>
      </c>
      <c r="K16" s="39">
        <v>0</v>
      </c>
      <c r="L16" s="39">
        <v>0</v>
      </c>
      <c r="M16" s="39">
        <v>0</v>
      </c>
      <c r="N16" s="48">
        <v>0</v>
      </c>
    </row>
    <row r="17" ht="17.25" spans="2:14">
      <c r="B17" s="36">
        <v>15</v>
      </c>
      <c r="C17" s="37" t="s">
        <v>118</v>
      </c>
      <c r="D17" s="38" t="s">
        <v>154</v>
      </c>
      <c r="E17" s="39">
        <f t="shared" si="0"/>
        <v>-75.22</v>
      </c>
      <c r="F17" s="39"/>
      <c r="G17" s="39">
        <v>0</v>
      </c>
      <c r="H17" s="39">
        <v>0</v>
      </c>
      <c r="I17" s="39">
        <v>0</v>
      </c>
      <c r="J17" s="39">
        <v>-75.22</v>
      </c>
      <c r="K17" s="39">
        <v>0</v>
      </c>
      <c r="L17" s="39">
        <v>0</v>
      </c>
      <c r="M17" s="39">
        <v>0</v>
      </c>
      <c r="N17" s="48">
        <v>0</v>
      </c>
    </row>
    <row r="18" ht="17.25" spans="2:14">
      <c r="B18" s="36">
        <v>16</v>
      </c>
      <c r="C18" s="37" t="s">
        <v>118</v>
      </c>
      <c r="D18" s="41" t="s">
        <v>155</v>
      </c>
      <c r="E18" s="39">
        <f t="shared" si="0"/>
        <v>-397.4</v>
      </c>
      <c r="F18" s="42"/>
      <c r="G18" s="42"/>
      <c r="H18" s="42"/>
      <c r="I18" s="42"/>
      <c r="J18" s="42"/>
      <c r="K18" s="42"/>
      <c r="L18" s="42">
        <v>-397.4</v>
      </c>
      <c r="M18" s="42"/>
      <c r="N18" s="51"/>
    </row>
    <row r="19" ht="17.25" spans="2:14">
      <c r="B19" s="36">
        <v>17</v>
      </c>
      <c r="C19" s="37" t="s">
        <v>97</v>
      </c>
      <c r="D19" s="41" t="s">
        <v>114</v>
      </c>
      <c r="E19" s="39">
        <f t="shared" si="0"/>
        <v>5650</v>
      </c>
      <c r="F19" s="42">
        <v>5650</v>
      </c>
      <c r="G19" s="42"/>
      <c r="H19" s="42"/>
      <c r="I19" s="42"/>
      <c r="J19" s="42"/>
      <c r="K19" s="42"/>
      <c r="L19" s="42"/>
      <c r="M19" s="42"/>
      <c r="N19" s="51"/>
    </row>
    <row r="20" ht="17.25" spans="2:14">
      <c r="B20" s="43">
        <v>18</v>
      </c>
      <c r="C20" s="37" t="s">
        <v>97</v>
      </c>
      <c r="D20" s="41" t="s">
        <v>47</v>
      </c>
      <c r="E20" s="39">
        <f t="shared" si="0"/>
        <v>54118.44</v>
      </c>
      <c r="F20" s="42">
        <v>54118.44</v>
      </c>
      <c r="G20" s="42"/>
      <c r="H20" s="42"/>
      <c r="I20" s="42"/>
      <c r="J20" s="42"/>
      <c r="K20" s="42"/>
      <c r="L20" s="42"/>
      <c r="M20" s="42"/>
      <c r="N20" s="52"/>
    </row>
    <row r="21" ht="17.25" spans="2:14">
      <c r="B21" s="43">
        <v>19</v>
      </c>
      <c r="C21" s="37" t="s">
        <v>97</v>
      </c>
      <c r="D21" s="41" t="s">
        <v>156</v>
      </c>
      <c r="E21" s="39">
        <f t="shared" si="0"/>
        <v>-3000</v>
      </c>
      <c r="F21" s="42">
        <v>-3000</v>
      </c>
      <c r="G21" s="42"/>
      <c r="H21" s="42"/>
      <c r="I21" s="42"/>
      <c r="J21" s="42"/>
      <c r="K21" s="42"/>
      <c r="L21" s="42"/>
      <c r="M21" s="42"/>
      <c r="N21" s="52"/>
    </row>
    <row r="22" ht="17.25" spans="2:14">
      <c r="B22" s="44"/>
      <c r="C22" s="45"/>
      <c r="D22" s="46" t="s">
        <v>14</v>
      </c>
      <c r="E22" s="47">
        <f>SUM(E3:E21)</f>
        <v>52349.431781</v>
      </c>
      <c r="F22" s="47">
        <f>SUM(F3:F21)</f>
        <v>56768.44</v>
      </c>
      <c r="G22" s="47">
        <f t="shared" ref="G22:N22" si="1">SUM(G3:G20)</f>
        <v>1417.79</v>
      </c>
      <c r="H22" s="47">
        <f t="shared" si="1"/>
        <v>-15440.8</v>
      </c>
      <c r="I22" s="47">
        <f t="shared" si="1"/>
        <v>9517.571781</v>
      </c>
      <c r="J22" s="47">
        <f t="shared" si="1"/>
        <v>1143.53</v>
      </c>
      <c r="K22" s="47">
        <f t="shared" si="1"/>
        <v>0</v>
      </c>
      <c r="L22" s="47">
        <f t="shared" si="1"/>
        <v>-445</v>
      </c>
      <c r="M22" s="47">
        <f t="shared" si="1"/>
        <v>-612.1</v>
      </c>
      <c r="N22" s="47">
        <f t="shared" si="1"/>
        <v>0</v>
      </c>
    </row>
    <row r="23" ht="17.25" spans="2:14">
      <c r="B23" s="36">
        <v>1</v>
      </c>
      <c r="C23" s="37" t="s">
        <v>118</v>
      </c>
      <c r="D23" s="38" t="s">
        <v>157</v>
      </c>
      <c r="E23" s="39">
        <f t="shared" si="0"/>
        <v>-4024.3</v>
      </c>
      <c r="F23" s="39">
        <v>-4024.3</v>
      </c>
      <c r="G23" s="39" t="s">
        <v>158</v>
      </c>
      <c r="H23" s="39"/>
      <c r="I23" s="39"/>
      <c r="J23" s="39"/>
      <c r="K23" s="39"/>
      <c r="L23" s="39"/>
      <c r="M23" s="39"/>
      <c r="N23" s="48"/>
    </row>
    <row r="24" ht="17.25" spans="2:14">
      <c r="B24" s="36">
        <v>2</v>
      </c>
      <c r="C24" s="37" t="s">
        <v>159</v>
      </c>
      <c r="D24" s="38"/>
      <c r="E24" s="39">
        <f t="shared" si="0"/>
        <v>1511.17</v>
      </c>
      <c r="F24" s="39"/>
      <c r="G24" s="39"/>
      <c r="H24" s="39">
        <f>1387.17+124</f>
        <v>1511.17</v>
      </c>
      <c r="I24" s="39"/>
      <c r="J24" s="39"/>
      <c r="K24" s="39"/>
      <c r="L24" s="39"/>
      <c r="M24" s="39"/>
      <c r="N24" s="48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收入汇总2022.2</vt:lpstr>
      <vt:lpstr>Sheet4</vt:lpstr>
      <vt:lpstr>Sheet3</vt:lpstr>
      <vt:lpstr>担保明细</vt:lpstr>
      <vt:lpstr>Sheet1</vt:lpstr>
      <vt:lpstr>利息明细</vt:lpstr>
      <vt:lpstr>管理费收入</vt:lpstr>
      <vt:lpstr>分红明细</vt:lpstr>
      <vt:lpstr>投资收益</vt:lpstr>
      <vt:lpstr>租金收入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2022-03-03T07:24:08Z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29C0BFDA2FB24CB39EE8E1EF2E69289D</vt:lpwstr>
  </property>
  <property fmtid="{D5CDD505-2E9C-101B-9397-08002B2CF9AE}" pid="3" name="KSOProductBuildVer">
    <vt:lpwstr>2052-11.1.0.11365</vt:lpwstr>
  </property>
</Properties>
</file>