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27c9035e07ed9d/"/>
    </mc:Choice>
  </mc:AlternateContent>
  <xr:revisionPtr revIDLastSave="3391" documentId="6_{516DA0FA-4991-444D-B2F4-79B95251E2CE}" xr6:coauthVersionLast="47" xr6:coauthVersionMax="47" xr10:uidLastSave="{D9989D9C-BDBB-4E13-B968-08EDD2232D41}"/>
  <bookViews>
    <workbookView xWindow="-120" yWindow="-16320" windowWidth="29040" windowHeight="15720" activeTab="8" xr2:uid="{58096CC1-C944-4940-B4EE-A2E49DBCE17C}"/>
  </bookViews>
  <sheets>
    <sheet name="roasts" sheetId="4" r:id="rId1"/>
    <sheet name="tempo" sheetId="2" r:id="rId2"/>
    <sheet name="fire_control" sheetId="11" r:id="rId3"/>
    <sheet name="guide" sheetId="6" r:id="rId4"/>
    <sheet name="tips" sheetId="7" r:id="rId5"/>
    <sheet name="rate" sheetId="10" r:id="rId6"/>
    <sheet name="taste" sheetId="9" r:id="rId7"/>
    <sheet name="menu" sheetId="5" r:id="rId8"/>
    <sheet name="beans" sheetId="8" r:id="rId9"/>
    <sheet name="stock" sheetId="12" r:id="rId10"/>
    <sheet name="帳本" sheetId="13" r:id="rId11"/>
  </sheets>
  <definedNames>
    <definedName name="_xlnm._FilterDatabase" localSheetId="8" hidden="1">beans!$A$1:$R$267</definedName>
    <definedName name="_xlnm._FilterDatabase" localSheetId="0" hidden="1">roasts!$A$1:$AJ$1501</definedName>
    <definedName name="_xlnm._FilterDatabase" localSheetId="10" hidden="1">帳本!$A$1:$E$104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3" i="8" l="1"/>
  <c r="P87" i="8"/>
  <c r="P94" i="8"/>
  <c r="P79" i="8"/>
  <c r="P73" i="8"/>
  <c r="P64" i="8"/>
  <c r="P113" i="8"/>
  <c r="P107" i="8"/>
  <c r="P115" i="8"/>
  <c r="P111" i="8"/>
  <c r="P105" i="8"/>
  <c r="P29" i="8"/>
  <c r="P118" i="8"/>
  <c r="P117" i="8"/>
  <c r="P55" i="8"/>
  <c r="P116" i="8"/>
  <c r="P69" i="8"/>
  <c r="P58" i="8"/>
  <c r="P86" i="8"/>
  <c r="P109" i="8"/>
  <c r="P108" i="8"/>
  <c r="P114" i="8"/>
  <c r="P112" i="8"/>
  <c r="P110" i="8"/>
  <c r="P106" i="8"/>
  <c r="P96" i="8"/>
  <c r="T663" i="4"/>
  <c r="P80" i="8"/>
  <c r="P101" i="8"/>
  <c r="P104" i="8"/>
  <c r="P56" i="8"/>
  <c r="P31" i="8"/>
  <c r="P89" i="8"/>
  <c r="P85" i="8"/>
  <c r="P76" i="8"/>
  <c r="P98" i="8"/>
  <c r="P93" i="8"/>
  <c r="P102" i="8"/>
  <c r="P97" i="8"/>
  <c r="P46" i="8"/>
  <c r="P68" i="8"/>
  <c r="P84" i="8"/>
  <c r="P48" i="8"/>
  <c r="P38" i="8"/>
  <c r="P100" i="8"/>
  <c r="T628" i="4"/>
  <c r="U628" i="4" a="1"/>
  <c r="U628" i="4"/>
  <c r="P83" i="8"/>
  <c r="P65" i="8"/>
  <c r="P95" i="8"/>
  <c r="P7" i="8"/>
  <c r="P88" i="8"/>
  <c r="P63" i="8"/>
  <c r="P92" i="8"/>
  <c r="P91" i="8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602" i="4"/>
  <c r="P44" i="8"/>
  <c r="H601" i="4"/>
  <c r="P22" i="8"/>
  <c r="P23" i="8"/>
  <c r="P3" i="8"/>
  <c r="P71" i="8"/>
  <c r="P57" i="8"/>
  <c r="P90" i="8"/>
  <c r="P60" i="8"/>
  <c r="P35" i="8"/>
  <c r="P70" i="8"/>
  <c r="P75" i="8"/>
  <c r="P67" i="8"/>
  <c r="P43" i="8"/>
  <c r="P34" i="8"/>
  <c r="H507" i="4"/>
  <c r="B2" i="12"/>
  <c r="P82" i="8"/>
  <c r="P45" i="8"/>
  <c r="P74" i="8"/>
  <c r="P59" i="8"/>
  <c r="P37" i="8"/>
  <c r="P10" i="8"/>
  <c r="P50" i="8"/>
  <c r="P78" i="8"/>
  <c r="P36" i="8"/>
  <c r="P47" i="8"/>
  <c r="P6" i="8"/>
  <c r="P32" i="8"/>
  <c r="P61" i="8"/>
  <c r="P12" i="8"/>
  <c r="P33" i="8"/>
  <c r="P49" i="8"/>
  <c r="P77" i="8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122" i="13"/>
  <c r="P42" i="8"/>
  <c r="E121" i="13"/>
  <c r="E120" i="13"/>
  <c r="P66" i="8"/>
  <c r="E119" i="13"/>
  <c r="P54" i="8"/>
  <c r="E118" i="13"/>
  <c r="E117" i="13"/>
  <c r="AI388" i="4"/>
  <c r="P72" i="8"/>
  <c r="E116" i="13"/>
  <c r="E115" i="13"/>
  <c r="E114" i="13"/>
  <c r="E113" i="13"/>
  <c r="P19" i="8"/>
  <c r="P81" i="8"/>
  <c r="E112" i="13"/>
  <c r="E108" i="13"/>
  <c r="E109" i="13"/>
  <c r="E110" i="13"/>
  <c r="E111" i="13"/>
  <c r="E107" i="13"/>
  <c r="T373" i="4"/>
  <c r="E106" i="13"/>
  <c r="P20" i="8"/>
  <c r="P30" i="8"/>
  <c r="P28" i="8"/>
  <c r="Z294" i="4"/>
  <c r="E105" i="13"/>
  <c r="D98" i="13"/>
  <c r="AE334" i="4"/>
  <c r="P8" i="8"/>
  <c r="P13" i="8"/>
  <c r="P24" i="8"/>
  <c r="P40" i="8"/>
  <c r="E322" i="4"/>
  <c r="G322" i="4" s="1"/>
  <c r="P11" i="8"/>
  <c r="F310" i="4"/>
  <c r="Z146" i="4"/>
  <c r="P41" i="8"/>
  <c r="Z231" i="4"/>
  <c r="Z87" i="4"/>
  <c r="AE264" i="4"/>
  <c r="Z222" i="4"/>
  <c r="E70" i="13"/>
  <c r="P39" i="8"/>
  <c r="Z232" i="4"/>
  <c r="Z223" i="4"/>
  <c r="P18" i="8"/>
  <c r="Z217" i="4"/>
  <c r="Z184" i="4"/>
  <c r="P27" i="8"/>
  <c r="P21" i="8"/>
  <c r="Z219" i="4"/>
  <c r="Z220" i="4"/>
  <c r="Z186" i="4"/>
  <c r="Z185" i="4"/>
  <c r="P4" i="8"/>
  <c r="Z196" i="4"/>
  <c r="Z195" i="4"/>
  <c r="Z171" i="4"/>
  <c r="AB188" i="4"/>
  <c r="E36" i="13"/>
  <c r="E26" i="13"/>
  <c r="E27" i="13"/>
  <c r="E18" i="13"/>
  <c r="E19" i="13"/>
  <c r="E20" i="13"/>
  <c r="E12" i="13"/>
  <c r="E6" i="13"/>
  <c r="E2" i="13"/>
  <c r="E3" i="13"/>
  <c r="E4" i="13"/>
  <c r="E9" i="13"/>
  <c r="E10" i="13"/>
  <c r="E11" i="13"/>
  <c r="E7" i="13"/>
  <c r="E5" i="13"/>
  <c r="E8" i="13"/>
  <c r="E13" i="13"/>
  <c r="E14" i="13"/>
  <c r="E15" i="13"/>
  <c r="E16" i="13"/>
  <c r="E17" i="13"/>
  <c r="E21" i="13"/>
  <c r="E22" i="13"/>
  <c r="E23" i="13"/>
  <c r="E25" i="13"/>
  <c r="E24" i="13"/>
  <c r="E28" i="13"/>
  <c r="E29" i="13"/>
  <c r="E30" i="13"/>
  <c r="E31" i="13"/>
  <c r="E32" i="13"/>
  <c r="E34" i="13"/>
  <c r="E35" i="13"/>
  <c r="E37" i="13"/>
  <c r="E33" i="13"/>
  <c r="E39" i="13"/>
  <c r="E38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40" i="13"/>
  <c r="Z155" i="4"/>
  <c r="B5" i="12"/>
  <c r="P15" i="8"/>
  <c r="P5" i="8"/>
  <c r="AE143" i="4"/>
  <c r="P25" i="8"/>
  <c r="G3" i="4"/>
  <c r="G8" i="4"/>
  <c r="G16" i="4"/>
  <c r="G17" i="4"/>
  <c r="G18" i="4"/>
  <c r="G19" i="4"/>
  <c r="G20" i="4"/>
  <c r="G21" i="4"/>
  <c r="G22" i="4"/>
  <c r="G90" i="4"/>
  <c r="G91" i="4"/>
  <c r="G92" i="4"/>
  <c r="G93" i="4"/>
  <c r="G96" i="4"/>
  <c r="G104" i="4"/>
  <c r="G106" i="4"/>
  <c r="G2" i="4"/>
  <c r="E23" i="4"/>
  <c r="G23" i="4" s="1"/>
  <c r="E24" i="4"/>
  <c r="G24" i="4" s="1"/>
  <c r="E25" i="4"/>
  <c r="G25" i="4" s="1"/>
  <c r="E26" i="4"/>
  <c r="G26" i="4" s="1"/>
  <c r="E27" i="4"/>
  <c r="G27" i="4" s="1"/>
  <c r="E28" i="4"/>
  <c r="F28" i="4" s="1"/>
  <c r="E29" i="4"/>
  <c r="F29" i="4" s="1"/>
  <c r="E30" i="4"/>
  <c r="G30" i="4" s="1"/>
  <c r="E31" i="4"/>
  <c r="G31" i="4" s="1"/>
  <c r="E32" i="4"/>
  <c r="G32" i="4" s="1"/>
  <c r="E33" i="4"/>
  <c r="G33" i="4" s="1"/>
  <c r="E34" i="4"/>
  <c r="G34" i="4" s="1"/>
  <c r="E35" i="4"/>
  <c r="G35" i="4" s="1"/>
  <c r="E36" i="4"/>
  <c r="G36" i="4" s="1"/>
  <c r="E37" i="4"/>
  <c r="F37" i="4" s="1"/>
  <c r="E38" i="4"/>
  <c r="G38" i="4" s="1"/>
  <c r="E39" i="4"/>
  <c r="E40" i="4"/>
  <c r="G40" i="4" s="1"/>
  <c r="E41" i="4"/>
  <c r="E42" i="4"/>
  <c r="G42" i="4" s="1"/>
  <c r="E43" i="4"/>
  <c r="G43" i="4" s="1"/>
  <c r="E44" i="4"/>
  <c r="G44" i="4" s="1"/>
  <c r="E45" i="4"/>
  <c r="G45" i="4" s="1"/>
  <c r="E46" i="4"/>
  <c r="G46" i="4" s="1"/>
  <c r="E47" i="4"/>
  <c r="G47" i="4" s="1"/>
  <c r="E48" i="4"/>
  <c r="G48" i="4" s="1"/>
  <c r="E49" i="4"/>
  <c r="G49" i="4" s="1"/>
  <c r="E50" i="4"/>
  <c r="G50" i="4" s="1"/>
  <c r="E51" i="4"/>
  <c r="G51" i="4" s="1"/>
  <c r="E52" i="4"/>
  <c r="F52" i="4" s="1"/>
  <c r="E53" i="4"/>
  <c r="F53" i="4" s="1"/>
  <c r="E54" i="4"/>
  <c r="E55" i="4"/>
  <c r="G55" i="4" s="1"/>
  <c r="E56" i="4"/>
  <c r="G56" i="4" s="1"/>
  <c r="E57" i="4"/>
  <c r="G57" i="4" s="1"/>
  <c r="E58" i="4"/>
  <c r="G58" i="4" s="1"/>
  <c r="E59" i="4"/>
  <c r="G59" i="4" s="1"/>
  <c r="E60" i="4"/>
  <c r="F60" i="4" s="1"/>
  <c r="E61" i="4"/>
  <c r="F61" i="4" s="1"/>
  <c r="E62" i="4"/>
  <c r="G62" i="4" s="1"/>
  <c r="E63" i="4"/>
  <c r="G63" i="4" s="1"/>
  <c r="E64" i="4"/>
  <c r="G64" i="4" s="1"/>
  <c r="F3" i="4"/>
  <c r="F8" i="4"/>
  <c r="F16" i="4"/>
  <c r="F18" i="4"/>
  <c r="F19" i="4"/>
  <c r="F20" i="4"/>
  <c r="F21" i="4"/>
  <c r="F22" i="4"/>
  <c r="F90" i="4"/>
  <c r="F91" i="4"/>
  <c r="F92" i="4"/>
  <c r="F93" i="4"/>
  <c r="F96" i="4"/>
  <c r="F104" i="4"/>
  <c r="F106" i="4"/>
  <c r="F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2" i="4"/>
  <c r="H93" i="4"/>
  <c r="H92" i="4"/>
  <c r="H91" i="4"/>
  <c r="H90" i="4"/>
  <c r="L13" i="2"/>
  <c r="L9" i="2"/>
  <c r="L3" i="2"/>
  <c r="K9" i="2"/>
  <c r="K10" i="2"/>
  <c r="K11" i="2"/>
  <c r="K12" i="2"/>
  <c r="K5" i="2"/>
  <c r="K6" i="2"/>
  <c r="K7" i="2"/>
  <c r="I3" i="2"/>
  <c r="I11" i="2"/>
  <c r="I14" i="2"/>
  <c r="H5" i="2"/>
  <c r="H6" i="2"/>
  <c r="H7" i="2"/>
  <c r="H8" i="2"/>
  <c r="H9" i="2"/>
  <c r="H10" i="2"/>
  <c r="H11" i="2"/>
  <c r="H12" i="2"/>
  <c r="H13" i="2"/>
  <c r="H14" i="2"/>
  <c r="H15" i="2"/>
  <c r="F12" i="2"/>
  <c r="F9" i="2"/>
  <c r="F3" i="2"/>
  <c r="C14" i="2"/>
  <c r="C10" i="2"/>
  <c r="C3" i="2"/>
  <c r="AE83" i="4"/>
  <c r="Z5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V430" i="4" s="1"/>
  <c r="U431" i="4"/>
  <c r="V431" i="4" s="1"/>
  <c r="U432" i="4"/>
  <c r="U433" i="4"/>
  <c r="U434" i="4"/>
  <c r="U435" i="4"/>
  <c r="U436" i="4"/>
  <c r="V436" i="4" s="1"/>
  <c r="U437" i="4"/>
  <c r="V437" i="4" s="1"/>
  <c r="U438" i="4"/>
  <c r="V438" i="4" s="1"/>
  <c r="U439" i="4"/>
  <c r="U440" i="4"/>
  <c r="V440" i="4" s="1"/>
  <c r="U441" i="4"/>
  <c r="V441" i="4" s="1"/>
  <c r="U442" i="4"/>
  <c r="V442" i="4" s="1"/>
  <c r="U443" i="4"/>
  <c r="U444" i="4"/>
  <c r="V444" i="4" s="1"/>
  <c r="U445" i="4"/>
  <c r="V445" i="4" s="1"/>
  <c r="U446" i="4"/>
  <c r="V446" i="4" s="1"/>
  <c r="U447" i="4"/>
  <c r="V447" i="4" s="1"/>
  <c r="U448" i="4"/>
  <c r="U449" i="4"/>
  <c r="V449" i="4" s="1"/>
  <c r="U450" i="4"/>
  <c r="V450" i="4" s="1"/>
  <c r="U451" i="4"/>
  <c r="V451" i="4" s="1"/>
  <c r="U452" i="4"/>
  <c r="V452" i="4" s="1"/>
  <c r="U453" i="4"/>
  <c r="V453" i="4" s="1"/>
  <c r="U454" i="4"/>
  <c r="V454" i="4" s="1"/>
  <c r="U455" i="4"/>
  <c r="V455" i="4" s="1"/>
  <c r="U456" i="4"/>
  <c r="V456" i="4" s="1"/>
  <c r="U457" i="4"/>
  <c r="V457" i="4" s="1"/>
  <c r="U458" i="4"/>
  <c r="V458" i="4" s="1"/>
  <c r="U459" i="4"/>
  <c r="V459" i="4" s="1"/>
  <c r="U460" i="4"/>
  <c r="V460" i="4" s="1"/>
  <c r="U461" i="4"/>
  <c r="V461" i="4" s="1"/>
  <c r="U462" i="4"/>
  <c r="V462" i="4" s="1"/>
  <c r="U463" i="4"/>
  <c r="U464" i="4"/>
  <c r="U465" i="4"/>
  <c r="V465" i="4" s="1"/>
  <c r="U466" i="4"/>
  <c r="U467" i="4"/>
  <c r="U468" i="4"/>
  <c r="U469" i="4"/>
  <c r="V469" i="4" s="1"/>
  <c r="U470" i="4"/>
  <c r="U471" i="4"/>
  <c r="U472" i="4"/>
  <c r="V472" i="4" s="1"/>
  <c r="U473" i="4"/>
  <c r="U474" i="4"/>
  <c r="U475" i="4"/>
  <c r="V475" i="4" s="1"/>
  <c r="U476" i="4"/>
  <c r="V476" i="4" s="1"/>
  <c r="U477" i="4"/>
  <c r="U478" i="4"/>
  <c r="U479" i="4"/>
  <c r="U480" i="4"/>
  <c r="U481" i="4"/>
  <c r="V481" i="4" s="1"/>
  <c r="U482" i="4"/>
  <c r="U483" i="4"/>
  <c r="V483" i="4" s="1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2" i="4"/>
  <c r="Z55" i="4"/>
  <c r="B3" i="12"/>
  <c r="P2" i="8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AF975" i="4"/>
  <c r="AF976" i="4"/>
  <c r="AF977" i="4"/>
  <c r="AF978" i="4"/>
  <c r="AF979" i="4"/>
  <c r="AF980" i="4"/>
  <c r="AF981" i="4"/>
  <c r="AF982" i="4"/>
  <c r="AF983" i="4"/>
  <c r="AF984" i="4"/>
  <c r="AF985" i="4"/>
  <c r="AF986" i="4"/>
  <c r="AF987" i="4"/>
  <c r="AF988" i="4"/>
  <c r="AF989" i="4"/>
  <c r="AF990" i="4"/>
  <c r="AF991" i="4"/>
  <c r="AF992" i="4"/>
  <c r="AF993" i="4"/>
  <c r="AF994" i="4"/>
  <c r="AF995" i="4"/>
  <c r="AF996" i="4"/>
  <c r="AF997" i="4"/>
  <c r="AF998" i="4"/>
  <c r="AF999" i="4"/>
  <c r="AF1000" i="4"/>
  <c r="AF1001" i="4"/>
  <c r="AF1002" i="4"/>
  <c r="AF1003" i="4"/>
  <c r="AF1004" i="4"/>
  <c r="AF1005" i="4"/>
  <c r="AF1006" i="4"/>
  <c r="AF1007" i="4"/>
  <c r="AF1008" i="4"/>
  <c r="AF1009" i="4"/>
  <c r="AF1010" i="4"/>
  <c r="AF1011" i="4"/>
  <c r="AF1012" i="4"/>
  <c r="AF1013" i="4"/>
  <c r="AF1014" i="4"/>
  <c r="AF1015" i="4"/>
  <c r="AF1016" i="4"/>
  <c r="AF1017" i="4"/>
  <c r="AF1018" i="4"/>
  <c r="AF1019" i="4"/>
  <c r="AF1020" i="4"/>
  <c r="AF1021" i="4"/>
  <c r="AF1022" i="4"/>
  <c r="AF1023" i="4"/>
  <c r="AF1024" i="4"/>
  <c r="AF1025" i="4"/>
  <c r="AF1026" i="4"/>
  <c r="AF1027" i="4"/>
  <c r="AF1028" i="4"/>
  <c r="AF1029" i="4"/>
  <c r="AF1030" i="4"/>
  <c r="AF1031" i="4"/>
  <c r="AF1032" i="4"/>
  <c r="AF1033" i="4"/>
  <c r="AF1034" i="4"/>
  <c r="AF1035" i="4"/>
  <c r="AF1036" i="4"/>
  <c r="AF1037" i="4"/>
  <c r="AF1038" i="4"/>
  <c r="AF1039" i="4"/>
  <c r="AF1040" i="4"/>
  <c r="AF1041" i="4"/>
  <c r="AF1042" i="4"/>
  <c r="AF1043" i="4"/>
  <c r="AF1044" i="4"/>
  <c r="AF1045" i="4"/>
  <c r="AF1046" i="4"/>
  <c r="AF1047" i="4"/>
  <c r="AF1048" i="4"/>
  <c r="AF1049" i="4"/>
  <c r="AF1050" i="4"/>
  <c r="AF1051" i="4"/>
  <c r="AF1052" i="4"/>
  <c r="AF1053" i="4"/>
  <c r="AF1054" i="4"/>
  <c r="AF1055" i="4"/>
  <c r="AF1056" i="4"/>
  <c r="AF1057" i="4"/>
  <c r="AF1058" i="4"/>
  <c r="AF1059" i="4"/>
  <c r="AF1060" i="4"/>
  <c r="AF1061" i="4"/>
  <c r="AF1062" i="4"/>
  <c r="AF1063" i="4"/>
  <c r="AF1064" i="4"/>
  <c r="AF1065" i="4"/>
  <c r="AF1066" i="4"/>
  <c r="AF1067" i="4"/>
  <c r="AF1068" i="4"/>
  <c r="AF1069" i="4"/>
  <c r="AF1070" i="4"/>
  <c r="AF1071" i="4"/>
  <c r="AF1072" i="4"/>
  <c r="AF1073" i="4"/>
  <c r="AF1074" i="4"/>
  <c r="AF1075" i="4"/>
  <c r="AF1076" i="4"/>
  <c r="AF1077" i="4"/>
  <c r="AF1078" i="4"/>
  <c r="AF1079" i="4"/>
  <c r="AF1080" i="4"/>
  <c r="AF1081" i="4"/>
  <c r="AF1082" i="4"/>
  <c r="AF1083" i="4"/>
  <c r="AF1084" i="4"/>
  <c r="AF1085" i="4"/>
  <c r="AF1086" i="4"/>
  <c r="AF1087" i="4"/>
  <c r="AF1088" i="4"/>
  <c r="AF1089" i="4"/>
  <c r="AF1090" i="4"/>
  <c r="AF1091" i="4"/>
  <c r="AF1092" i="4"/>
  <c r="AF1093" i="4"/>
  <c r="AF1094" i="4"/>
  <c r="AF1095" i="4"/>
  <c r="AF1096" i="4"/>
  <c r="AF1097" i="4"/>
  <c r="AF1098" i="4"/>
  <c r="AF1099" i="4"/>
  <c r="AF1100" i="4"/>
  <c r="AF1101" i="4"/>
  <c r="AF1102" i="4"/>
  <c r="AF1103" i="4"/>
  <c r="AF1104" i="4"/>
  <c r="AF1105" i="4"/>
  <c r="AF1106" i="4"/>
  <c r="AF1107" i="4"/>
  <c r="AF1108" i="4"/>
  <c r="AF1109" i="4"/>
  <c r="AF1110" i="4"/>
  <c r="AF1111" i="4"/>
  <c r="AF1112" i="4"/>
  <c r="AF1113" i="4"/>
  <c r="AF1114" i="4"/>
  <c r="AF1115" i="4"/>
  <c r="AF1116" i="4"/>
  <c r="AF1117" i="4"/>
  <c r="AF1118" i="4"/>
  <c r="AF1119" i="4"/>
  <c r="AF1120" i="4"/>
  <c r="AF1121" i="4"/>
  <c r="AF1122" i="4"/>
  <c r="AF1123" i="4"/>
  <c r="AF1124" i="4"/>
  <c r="AF1125" i="4"/>
  <c r="AF1126" i="4"/>
  <c r="AF1127" i="4"/>
  <c r="AF1128" i="4"/>
  <c r="AF1129" i="4"/>
  <c r="AF1130" i="4"/>
  <c r="AF1131" i="4"/>
  <c r="AF1132" i="4"/>
  <c r="AF1133" i="4"/>
  <c r="AF1134" i="4"/>
  <c r="AF1135" i="4"/>
  <c r="AF1136" i="4"/>
  <c r="AF1137" i="4"/>
  <c r="AF1138" i="4"/>
  <c r="AF1139" i="4"/>
  <c r="AF1140" i="4"/>
  <c r="AF1141" i="4"/>
  <c r="AF1142" i="4"/>
  <c r="AF1143" i="4"/>
  <c r="AF1144" i="4"/>
  <c r="AF1145" i="4"/>
  <c r="AF1146" i="4"/>
  <c r="AF1147" i="4"/>
  <c r="AF1148" i="4"/>
  <c r="AF1149" i="4"/>
  <c r="AF1150" i="4"/>
  <c r="AF1151" i="4"/>
  <c r="AF1152" i="4"/>
  <c r="AF1153" i="4"/>
  <c r="AF1154" i="4"/>
  <c r="AF1155" i="4"/>
  <c r="AF1156" i="4"/>
  <c r="AF1157" i="4"/>
  <c r="AF1158" i="4"/>
  <c r="AF1159" i="4"/>
  <c r="AF1160" i="4"/>
  <c r="AF1161" i="4"/>
  <c r="AF1162" i="4"/>
  <c r="AF1163" i="4"/>
  <c r="AF1164" i="4"/>
  <c r="AF1165" i="4"/>
  <c r="AF1166" i="4"/>
  <c r="AF1167" i="4"/>
  <c r="AF1168" i="4"/>
  <c r="AF1169" i="4"/>
  <c r="AF1170" i="4"/>
  <c r="AF1171" i="4"/>
  <c r="AF1172" i="4"/>
  <c r="AF1173" i="4"/>
  <c r="AF1174" i="4"/>
  <c r="AF1175" i="4"/>
  <c r="AF1176" i="4"/>
  <c r="AF1177" i="4"/>
  <c r="AF1178" i="4"/>
  <c r="AF1179" i="4"/>
  <c r="AF1180" i="4"/>
  <c r="AF1181" i="4"/>
  <c r="AF1182" i="4"/>
  <c r="AF1183" i="4"/>
  <c r="AF1184" i="4"/>
  <c r="AF1185" i="4"/>
  <c r="AF1186" i="4"/>
  <c r="AF1187" i="4"/>
  <c r="AF1188" i="4"/>
  <c r="AF1189" i="4"/>
  <c r="AF1190" i="4"/>
  <c r="AF1191" i="4"/>
  <c r="AF1192" i="4"/>
  <c r="AF1193" i="4"/>
  <c r="AF1194" i="4"/>
  <c r="AF1195" i="4"/>
  <c r="AF1196" i="4"/>
  <c r="AF1197" i="4"/>
  <c r="AF1198" i="4"/>
  <c r="AF1199" i="4"/>
  <c r="AF1200" i="4"/>
  <c r="AF1201" i="4"/>
  <c r="AF1202" i="4"/>
  <c r="AF1203" i="4"/>
  <c r="AF1204" i="4"/>
  <c r="AF1205" i="4"/>
  <c r="AF1206" i="4"/>
  <c r="AF1207" i="4"/>
  <c r="AF1208" i="4"/>
  <c r="AF1209" i="4"/>
  <c r="AF1210" i="4"/>
  <c r="AF1211" i="4"/>
  <c r="AF1212" i="4"/>
  <c r="AF1213" i="4"/>
  <c r="AF1214" i="4"/>
  <c r="AF1215" i="4"/>
  <c r="AF1216" i="4"/>
  <c r="AF1217" i="4"/>
  <c r="AF1218" i="4"/>
  <c r="AF1219" i="4"/>
  <c r="AF1220" i="4"/>
  <c r="AF1221" i="4"/>
  <c r="AF1222" i="4"/>
  <c r="AF1223" i="4"/>
  <c r="AF1224" i="4"/>
  <c r="AF1225" i="4"/>
  <c r="AF1226" i="4"/>
  <c r="AF1227" i="4"/>
  <c r="AF1228" i="4"/>
  <c r="AF1229" i="4"/>
  <c r="AF1230" i="4"/>
  <c r="AF1231" i="4"/>
  <c r="AF1232" i="4"/>
  <c r="AF1233" i="4"/>
  <c r="AF1234" i="4"/>
  <c r="AF1235" i="4"/>
  <c r="AF1236" i="4"/>
  <c r="AF1237" i="4"/>
  <c r="AF1238" i="4"/>
  <c r="AF1239" i="4"/>
  <c r="AF1240" i="4"/>
  <c r="AF1241" i="4"/>
  <c r="AF1242" i="4"/>
  <c r="AF1243" i="4"/>
  <c r="AF1244" i="4"/>
  <c r="AF1245" i="4"/>
  <c r="AF1246" i="4"/>
  <c r="AF1247" i="4"/>
  <c r="AF1248" i="4"/>
  <c r="AF1249" i="4"/>
  <c r="AF1250" i="4"/>
  <c r="AF1251" i="4"/>
  <c r="AF1252" i="4"/>
  <c r="AF1253" i="4"/>
  <c r="AF1254" i="4"/>
  <c r="AF1255" i="4"/>
  <c r="AF1256" i="4"/>
  <c r="AF1257" i="4"/>
  <c r="AF1258" i="4"/>
  <c r="AF1259" i="4"/>
  <c r="AF1260" i="4"/>
  <c r="AF1261" i="4"/>
  <c r="AF1262" i="4"/>
  <c r="AF1263" i="4"/>
  <c r="AF1264" i="4"/>
  <c r="AF1265" i="4"/>
  <c r="AF1266" i="4"/>
  <c r="AF1267" i="4"/>
  <c r="AF1268" i="4"/>
  <c r="AF1269" i="4"/>
  <c r="AF1270" i="4"/>
  <c r="AF1271" i="4"/>
  <c r="AF1272" i="4"/>
  <c r="AF1273" i="4"/>
  <c r="AF1274" i="4"/>
  <c r="AF1275" i="4"/>
  <c r="AF1276" i="4"/>
  <c r="AF1277" i="4"/>
  <c r="AF1278" i="4"/>
  <c r="AF1279" i="4"/>
  <c r="AF1280" i="4"/>
  <c r="AF1281" i="4"/>
  <c r="AF1282" i="4"/>
  <c r="AF1283" i="4"/>
  <c r="AF1284" i="4"/>
  <c r="AF1285" i="4"/>
  <c r="AF1286" i="4"/>
  <c r="AF1287" i="4"/>
  <c r="AF1288" i="4"/>
  <c r="AF1289" i="4"/>
  <c r="AF1290" i="4"/>
  <c r="AF1291" i="4"/>
  <c r="AF1292" i="4"/>
  <c r="AF1293" i="4"/>
  <c r="AF1294" i="4"/>
  <c r="AF1295" i="4"/>
  <c r="AF1296" i="4"/>
  <c r="AF1297" i="4"/>
  <c r="AF1298" i="4"/>
  <c r="AF1299" i="4"/>
  <c r="AF1300" i="4"/>
  <c r="AF1301" i="4"/>
  <c r="AF1302" i="4"/>
  <c r="AF1303" i="4"/>
  <c r="AF1304" i="4"/>
  <c r="AF1305" i="4"/>
  <c r="AF1306" i="4"/>
  <c r="AF1307" i="4"/>
  <c r="AF1308" i="4"/>
  <c r="AF1309" i="4"/>
  <c r="AF1310" i="4"/>
  <c r="AF1311" i="4"/>
  <c r="AF1312" i="4"/>
  <c r="AF1313" i="4"/>
  <c r="AF1314" i="4"/>
  <c r="AF1315" i="4"/>
  <c r="AF1316" i="4"/>
  <c r="AF1317" i="4"/>
  <c r="AF1318" i="4"/>
  <c r="AF1319" i="4"/>
  <c r="AF1320" i="4"/>
  <c r="AF1321" i="4"/>
  <c r="AF1322" i="4"/>
  <c r="AF1323" i="4"/>
  <c r="AF1324" i="4"/>
  <c r="AF1325" i="4"/>
  <c r="AF1326" i="4"/>
  <c r="AF1327" i="4"/>
  <c r="AF1328" i="4"/>
  <c r="AF1329" i="4"/>
  <c r="AF1330" i="4"/>
  <c r="AF1331" i="4"/>
  <c r="AF1332" i="4"/>
  <c r="AF1333" i="4"/>
  <c r="AF1334" i="4"/>
  <c r="AF1335" i="4"/>
  <c r="AF1336" i="4"/>
  <c r="AF1337" i="4"/>
  <c r="AF1338" i="4"/>
  <c r="AF1339" i="4"/>
  <c r="AF1340" i="4"/>
  <c r="AF1341" i="4"/>
  <c r="AF1342" i="4"/>
  <c r="AF1343" i="4"/>
  <c r="AF1344" i="4"/>
  <c r="AF1345" i="4"/>
  <c r="AF1346" i="4"/>
  <c r="AF1347" i="4"/>
  <c r="AF1348" i="4"/>
  <c r="AF1349" i="4"/>
  <c r="AF1350" i="4"/>
  <c r="AF1351" i="4"/>
  <c r="AF1352" i="4"/>
  <c r="AF1353" i="4"/>
  <c r="AF1354" i="4"/>
  <c r="AF1355" i="4"/>
  <c r="AF1356" i="4"/>
  <c r="AF1357" i="4"/>
  <c r="AF1358" i="4"/>
  <c r="AF1359" i="4"/>
  <c r="AF1360" i="4"/>
  <c r="AF1361" i="4"/>
  <c r="AF1362" i="4"/>
  <c r="AF1363" i="4"/>
  <c r="AF1364" i="4"/>
  <c r="AF1365" i="4"/>
  <c r="AF1366" i="4"/>
  <c r="AF1367" i="4"/>
  <c r="AF1368" i="4"/>
  <c r="AF1369" i="4"/>
  <c r="AF1370" i="4"/>
  <c r="AF1371" i="4"/>
  <c r="AF1372" i="4"/>
  <c r="AF1373" i="4"/>
  <c r="AF1374" i="4"/>
  <c r="AF1375" i="4"/>
  <c r="AF1376" i="4"/>
  <c r="AF1377" i="4"/>
  <c r="AF1378" i="4"/>
  <c r="AF1379" i="4"/>
  <c r="AF1380" i="4"/>
  <c r="AF1381" i="4"/>
  <c r="AF1382" i="4"/>
  <c r="AF1383" i="4"/>
  <c r="AF1384" i="4"/>
  <c r="AF1385" i="4"/>
  <c r="AF1386" i="4"/>
  <c r="AF1387" i="4"/>
  <c r="AF1388" i="4"/>
  <c r="AF1389" i="4"/>
  <c r="AF1390" i="4"/>
  <c r="AF1391" i="4"/>
  <c r="AF1392" i="4"/>
  <c r="AF1393" i="4"/>
  <c r="AF1394" i="4"/>
  <c r="AF1395" i="4"/>
  <c r="AF1396" i="4"/>
  <c r="AF1397" i="4"/>
  <c r="AF1398" i="4"/>
  <c r="AF1399" i="4"/>
  <c r="AF1400" i="4"/>
  <c r="AF1401" i="4"/>
  <c r="AF1402" i="4"/>
  <c r="AF1403" i="4"/>
  <c r="AF1404" i="4"/>
  <c r="AF1405" i="4"/>
  <c r="AF1406" i="4"/>
  <c r="AF1407" i="4"/>
  <c r="AF1408" i="4"/>
  <c r="AF1409" i="4"/>
  <c r="AF1410" i="4"/>
  <c r="AF1411" i="4"/>
  <c r="AF1412" i="4"/>
  <c r="AF1413" i="4"/>
  <c r="AF1414" i="4"/>
  <c r="AF1415" i="4"/>
  <c r="AF1416" i="4"/>
  <c r="AF1417" i="4"/>
  <c r="AF1418" i="4"/>
  <c r="AF1419" i="4"/>
  <c r="AF1420" i="4"/>
  <c r="AF1421" i="4"/>
  <c r="AF1422" i="4"/>
  <c r="AF1423" i="4"/>
  <c r="AF1424" i="4"/>
  <c r="AF1425" i="4"/>
  <c r="AF1426" i="4"/>
  <c r="AF1427" i="4"/>
  <c r="AF1428" i="4"/>
  <c r="AF1429" i="4"/>
  <c r="AF1430" i="4"/>
  <c r="AF1431" i="4"/>
  <c r="AF1432" i="4"/>
  <c r="AF1433" i="4"/>
  <c r="AF1434" i="4"/>
  <c r="AF1435" i="4"/>
  <c r="AF1436" i="4"/>
  <c r="AF1437" i="4"/>
  <c r="AF1438" i="4"/>
  <c r="AF1439" i="4"/>
  <c r="AF1440" i="4"/>
  <c r="AF1441" i="4"/>
  <c r="AF1442" i="4"/>
  <c r="AF1443" i="4"/>
  <c r="AF1444" i="4"/>
  <c r="AF1445" i="4"/>
  <c r="AF1446" i="4"/>
  <c r="AF1447" i="4"/>
  <c r="AF1448" i="4"/>
  <c r="AF1449" i="4"/>
  <c r="AF1450" i="4"/>
  <c r="AF1451" i="4"/>
  <c r="AF1452" i="4"/>
  <c r="AF1453" i="4"/>
  <c r="AF1454" i="4"/>
  <c r="AF1455" i="4"/>
  <c r="AF1456" i="4"/>
  <c r="AF1457" i="4"/>
  <c r="AF1458" i="4"/>
  <c r="AF1459" i="4"/>
  <c r="AF1460" i="4"/>
  <c r="AF1461" i="4"/>
  <c r="AF1462" i="4"/>
  <c r="AF1463" i="4"/>
  <c r="AF1464" i="4"/>
  <c r="AF1465" i="4"/>
  <c r="AF1466" i="4"/>
  <c r="AF1467" i="4"/>
  <c r="AF1468" i="4"/>
  <c r="AF1469" i="4"/>
  <c r="AF1470" i="4"/>
  <c r="AF1471" i="4"/>
  <c r="AF1472" i="4"/>
  <c r="AF1473" i="4"/>
  <c r="AF1474" i="4"/>
  <c r="AF1475" i="4"/>
  <c r="AF1476" i="4"/>
  <c r="AF1477" i="4"/>
  <c r="AF1478" i="4"/>
  <c r="AF1479" i="4"/>
  <c r="AF1480" i="4"/>
  <c r="AF1481" i="4"/>
  <c r="AF1482" i="4"/>
  <c r="AF1483" i="4"/>
  <c r="AF1484" i="4"/>
  <c r="AF1485" i="4"/>
  <c r="AF1486" i="4"/>
  <c r="AF1487" i="4"/>
  <c r="AF1488" i="4"/>
  <c r="AF1489" i="4"/>
  <c r="AF1490" i="4"/>
  <c r="AF1491" i="4"/>
  <c r="AF1492" i="4"/>
  <c r="AF1493" i="4"/>
  <c r="AF1494" i="4"/>
  <c r="AF1495" i="4"/>
  <c r="AF1496" i="4"/>
  <c r="AF1497" i="4"/>
  <c r="AF1498" i="4"/>
  <c r="AF1499" i="4"/>
  <c r="AF1500" i="4"/>
  <c r="AF1501" i="4"/>
  <c r="AF48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E1161" i="4"/>
  <c r="AE1162" i="4"/>
  <c r="AE1163" i="4"/>
  <c r="AE1164" i="4"/>
  <c r="AE1165" i="4"/>
  <c r="AE1166" i="4"/>
  <c r="AE1167" i="4"/>
  <c r="AE1168" i="4"/>
  <c r="AE1169" i="4"/>
  <c r="AE1170" i="4"/>
  <c r="AE1171" i="4"/>
  <c r="AE1172" i="4"/>
  <c r="AE1173" i="4"/>
  <c r="AE1174" i="4"/>
  <c r="AE1175" i="4"/>
  <c r="AE1176" i="4"/>
  <c r="AE1177" i="4"/>
  <c r="AE1178" i="4"/>
  <c r="AE1179" i="4"/>
  <c r="AE1180" i="4"/>
  <c r="AE1181" i="4"/>
  <c r="AE1182" i="4"/>
  <c r="AE1183" i="4"/>
  <c r="AE1184" i="4"/>
  <c r="AE1185" i="4"/>
  <c r="AE1186" i="4"/>
  <c r="AE1187" i="4"/>
  <c r="AE1188" i="4"/>
  <c r="AE1189" i="4"/>
  <c r="AE1190" i="4"/>
  <c r="AE1191" i="4"/>
  <c r="AE1192" i="4"/>
  <c r="AE1193" i="4"/>
  <c r="AE1194" i="4"/>
  <c r="AE1195" i="4"/>
  <c r="AE1196" i="4"/>
  <c r="AE1197" i="4"/>
  <c r="AE1198" i="4"/>
  <c r="AE1199" i="4"/>
  <c r="AE1200" i="4"/>
  <c r="AE1201" i="4"/>
  <c r="AE1202" i="4"/>
  <c r="AE1203" i="4"/>
  <c r="AE1204" i="4"/>
  <c r="AE1205" i="4"/>
  <c r="AE1206" i="4"/>
  <c r="AE1207" i="4"/>
  <c r="AE1208" i="4"/>
  <c r="AE1209" i="4"/>
  <c r="AE1210" i="4"/>
  <c r="AE1211" i="4"/>
  <c r="AE1212" i="4"/>
  <c r="AE1213" i="4"/>
  <c r="AE1214" i="4"/>
  <c r="AE1215" i="4"/>
  <c r="AE1216" i="4"/>
  <c r="AE1217" i="4"/>
  <c r="AE1218" i="4"/>
  <c r="AE1219" i="4"/>
  <c r="AE1220" i="4"/>
  <c r="AE1221" i="4"/>
  <c r="AE1222" i="4"/>
  <c r="AE1223" i="4"/>
  <c r="AE1224" i="4"/>
  <c r="AE1225" i="4"/>
  <c r="AE1226" i="4"/>
  <c r="AE1227" i="4"/>
  <c r="AE1228" i="4"/>
  <c r="AE1229" i="4"/>
  <c r="AE1230" i="4"/>
  <c r="AE1231" i="4"/>
  <c r="AE1232" i="4"/>
  <c r="AE1233" i="4"/>
  <c r="AE1234" i="4"/>
  <c r="AE1235" i="4"/>
  <c r="AE1236" i="4"/>
  <c r="AE1237" i="4"/>
  <c r="AE1238" i="4"/>
  <c r="AE1239" i="4"/>
  <c r="AE1240" i="4"/>
  <c r="AE1241" i="4"/>
  <c r="AE1242" i="4"/>
  <c r="AE1243" i="4"/>
  <c r="AE1244" i="4"/>
  <c r="AE1245" i="4"/>
  <c r="AE1246" i="4"/>
  <c r="AE1247" i="4"/>
  <c r="AE1248" i="4"/>
  <c r="AE1249" i="4"/>
  <c r="AE1250" i="4"/>
  <c r="AE1251" i="4"/>
  <c r="AE1252" i="4"/>
  <c r="AE1253" i="4"/>
  <c r="AE1254" i="4"/>
  <c r="AE1255" i="4"/>
  <c r="AE1256" i="4"/>
  <c r="AE1257" i="4"/>
  <c r="AE1258" i="4"/>
  <c r="AE1259" i="4"/>
  <c r="AE1260" i="4"/>
  <c r="AE1261" i="4"/>
  <c r="AE1262" i="4"/>
  <c r="AE1263" i="4"/>
  <c r="AE1264" i="4"/>
  <c r="AE1265" i="4"/>
  <c r="AE1266" i="4"/>
  <c r="AE1267" i="4"/>
  <c r="AE1268" i="4"/>
  <c r="AE1269" i="4"/>
  <c r="AE1270" i="4"/>
  <c r="AE1271" i="4"/>
  <c r="AE1272" i="4"/>
  <c r="AE1273" i="4"/>
  <c r="AE1274" i="4"/>
  <c r="AE1275" i="4"/>
  <c r="AE1276" i="4"/>
  <c r="AE1277" i="4"/>
  <c r="AE1278" i="4"/>
  <c r="AE1279" i="4"/>
  <c r="AE1280" i="4"/>
  <c r="AE1281" i="4"/>
  <c r="AE1282" i="4"/>
  <c r="AE1283" i="4"/>
  <c r="AE1284" i="4"/>
  <c r="AE1285" i="4"/>
  <c r="AE1286" i="4"/>
  <c r="AE1287" i="4"/>
  <c r="AE1288" i="4"/>
  <c r="AE1289" i="4"/>
  <c r="AE1290" i="4"/>
  <c r="AE1291" i="4"/>
  <c r="AE1292" i="4"/>
  <c r="AE1293" i="4"/>
  <c r="AE1294" i="4"/>
  <c r="AE1295" i="4"/>
  <c r="AE1296" i="4"/>
  <c r="AE1297" i="4"/>
  <c r="AE1298" i="4"/>
  <c r="AE1299" i="4"/>
  <c r="AE1300" i="4"/>
  <c r="AE1301" i="4"/>
  <c r="AE1302" i="4"/>
  <c r="AE1303" i="4"/>
  <c r="AE1304" i="4"/>
  <c r="AE1305" i="4"/>
  <c r="AE1306" i="4"/>
  <c r="AE1307" i="4"/>
  <c r="AE1308" i="4"/>
  <c r="AE1309" i="4"/>
  <c r="AE1310" i="4"/>
  <c r="AE1311" i="4"/>
  <c r="AE1312" i="4"/>
  <c r="AE1313" i="4"/>
  <c r="AE1314" i="4"/>
  <c r="AE1315" i="4"/>
  <c r="AE1316" i="4"/>
  <c r="AE1317" i="4"/>
  <c r="AE1318" i="4"/>
  <c r="AE1319" i="4"/>
  <c r="AE1320" i="4"/>
  <c r="AE1321" i="4"/>
  <c r="AE1322" i="4"/>
  <c r="AE1323" i="4"/>
  <c r="AE1324" i="4"/>
  <c r="AE1325" i="4"/>
  <c r="AE1326" i="4"/>
  <c r="AE1327" i="4"/>
  <c r="AE1328" i="4"/>
  <c r="AE1329" i="4"/>
  <c r="AE1330" i="4"/>
  <c r="AE1331" i="4"/>
  <c r="AE1332" i="4"/>
  <c r="AE1333" i="4"/>
  <c r="AE1334" i="4"/>
  <c r="AE1335" i="4"/>
  <c r="AE1336" i="4"/>
  <c r="AE1337" i="4"/>
  <c r="AE1338" i="4"/>
  <c r="AE1339" i="4"/>
  <c r="AE1340" i="4"/>
  <c r="AE1341" i="4"/>
  <c r="AE1342" i="4"/>
  <c r="AE1343" i="4"/>
  <c r="AE1344" i="4"/>
  <c r="AE1345" i="4"/>
  <c r="AE1346" i="4"/>
  <c r="AE1347" i="4"/>
  <c r="AE1348" i="4"/>
  <c r="AE1349" i="4"/>
  <c r="AE1350" i="4"/>
  <c r="AE1351" i="4"/>
  <c r="AE1352" i="4"/>
  <c r="AE1353" i="4"/>
  <c r="AE1354" i="4"/>
  <c r="AE1355" i="4"/>
  <c r="AE1356" i="4"/>
  <c r="AE1357" i="4"/>
  <c r="AE1358" i="4"/>
  <c r="AE1359" i="4"/>
  <c r="AE1360" i="4"/>
  <c r="AE1361" i="4"/>
  <c r="AE1362" i="4"/>
  <c r="AE1363" i="4"/>
  <c r="AE1364" i="4"/>
  <c r="AE1365" i="4"/>
  <c r="AE1366" i="4"/>
  <c r="AE1367" i="4"/>
  <c r="AE1368" i="4"/>
  <c r="AE1369" i="4"/>
  <c r="AE1370" i="4"/>
  <c r="AE1371" i="4"/>
  <c r="AE1372" i="4"/>
  <c r="AE1373" i="4"/>
  <c r="AE1374" i="4"/>
  <c r="AE1375" i="4"/>
  <c r="AE1376" i="4"/>
  <c r="AE1377" i="4"/>
  <c r="AE1378" i="4"/>
  <c r="AE1379" i="4"/>
  <c r="AE1380" i="4"/>
  <c r="AE1381" i="4"/>
  <c r="AE1382" i="4"/>
  <c r="AE1383" i="4"/>
  <c r="AE1384" i="4"/>
  <c r="AE1385" i="4"/>
  <c r="AE1386" i="4"/>
  <c r="AE1387" i="4"/>
  <c r="AE1388" i="4"/>
  <c r="AE1389" i="4"/>
  <c r="AE1390" i="4"/>
  <c r="AE1391" i="4"/>
  <c r="AE1392" i="4"/>
  <c r="AE1393" i="4"/>
  <c r="AE1394" i="4"/>
  <c r="AE1395" i="4"/>
  <c r="AE1396" i="4"/>
  <c r="AE1397" i="4"/>
  <c r="AE1398" i="4"/>
  <c r="AE1399" i="4"/>
  <c r="AE1400" i="4"/>
  <c r="AE1401" i="4"/>
  <c r="AE1402" i="4"/>
  <c r="AE1403" i="4"/>
  <c r="AE1404" i="4"/>
  <c r="AE1405" i="4"/>
  <c r="AE1406" i="4"/>
  <c r="AE1407" i="4"/>
  <c r="AE1408" i="4"/>
  <c r="AE1409" i="4"/>
  <c r="AE1410" i="4"/>
  <c r="AE1411" i="4"/>
  <c r="AE1412" i="4"/>
  <c r="AE1413" i="4"/>
  <c r="AE1414" i="4"/>
  <c r="AE1415" i="4"/>
  <c r="AE1416" i="4"/>
  <c r="AE1417" i="4"/>
  <c r="AE1418" i="4"/>
  <c r="AE1419" i="4"/>
  <c r="AE1420" i="4"/>
  <c r="AE1421" i="4"/>
  <c r="AE1422" i="4"/>
  <c r="AE1423" i="4"/>
  <c r="AE1424" i="4"/>
  <c r="AE1425" i="4"/>
  <c r="AE1426" i="4"/>
  <c r="AE1427" i="4"/>
  <c r="AE1428" i="4"/>
  <c r="AE1429" i="4"/>
  <c r="AE1430" i="4"/>
  <c r="AE1431" i="4"/>
  <c r="AE1432" i="4"/>
  <c r="AE1433" i="4"/>
  <c r="AE1434" i="4"/>
  <c r="AE1435" i="4"/>
  <c r="AE1436" i="4"/>
  <c r="AE1437" i="4"/>
  <c r="AE1438" i="4"/>
  <c r="AE1439" i="4"/>
  <c r="AE1440" i="4"/>
  <c r="AE1441" i="4"/>
  <c r="AE1442" i="4"/>
  <c r="AE1443" i="4"/>
  <c r="AE1444" i="4"/>
  <c r="AE1445" i="4"/>
  <c r="AE1446" i="4"/>
  <c r="AE1447" i="4"/>
  <c r="AE1448" i="4"/>
  <c r="AE1449" i="4"/>
  <c r="AE1450" i="4"/>
  <c r="AE1451" i="4"/>
  <c r="AE1452" i="4"/>
  <c r="AE1453" i="4"/>
  <c r="AE1454" i="4"/>
  <c r="AE1455" i="4"/>
  <c r="AE1456" i="4"/>
  <c r="AE1457" i="4"/>
  <c r="AE1458" i="4"/>
  <c r="AE1459" i="4"/>
  <c r="AE1460" i="4"/>
  <c r="AE1461" i="4"/>
  <c r="AE1462" i="4"/>
  <c r="AE1463" i="4"/>
  <c r="AE1464" i="4"/>
  <c r="AE1465" i="4"/>
  <c r="AE1466" i="4"/>
  <c r="AE1467" i="4"/>
  <c r="AE1468" i="4"/>
  <c r="AE1469" i="4"/>
  <c r="AE1470" i="4"/>
  <c r="AE1471" i="4"/>
  <c r="AE1472" i="4"/>
  <c r="AE1473" i="4"/>
  <c r="AE1474" i="4"/>
  <c r="AE1475" i="4"/>
  <c r="AE1476" i="4"/>
  <c r="AE1477" i="4"/>
  <c r="AE1478" i="4"/>
  <c r="AE1479" i="4"/>
  <c r="AE1480" i="4"/>
  <c r="AE1481" i="4"/>
  <c r="AE1482" i="4"/>
  <c r="AE1483" i="4"/>
  <c r="AE1484" i="4"/>
  <c r="AE1485" i="4"/>
  <c r="AE1486" i="4"/>
  <c r="AE1487" i="4"/>
  <c r="AE1488" i="4"/>
  <c r="AE1489" i="4"/>
  <c r="AE1490" i="4"/>
  <c r="AE1491" i="4"/>
  <c r="AE1492" i="4"/>
  <c r="AE1493" i="4"/>
  <c r="AE1494" i="4"/>
  <c r="AE1495" i="4"/>
  <c r="AE1496" i="4"/>
  <c r="AE1497" i="4"/>
  <c r="AE1498" i="4"/>
  <c r="AE1499" i="4"/>
  <c r="AE1500" i="4"/>
  <c r="AE1501" i="4"/>
  <c r="AE2" i="4"/>
  <c r="P14" i="8"/>
  <c r="P17" i="8"/>
  <c r="G12" i="2"/>
  <c r="G9" i="2"/>
  <c r="G3" i="2"/>
  <c r="D14" i="2"/>
  <c r="D10" i="2"/>
  <c r="B10" i="2"/>
  <c r="B11" i="2"/>
  <c r="B12" i="2"/>
  <c r="D4" i="2"/>
  <c r="B5" i="2"/>
  <c r="B6" i="2"/>
  <c r="B7" i="2"/>
  <c r="B8" i="2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1441" i="4"/>
  <c r="AG1442" i="4"/>
  <c r="AG1443" i="4"/>
  <c r="AG1444" i="4"/>
  <c r="AG1445" i="4"/>
  <c r="AG1446" i="4"/>
  <c r="AG1447" i="4"/>
  <c r="AG1448" i="4"/>
  <c r="AG1449" i="4"/>
  <c r="AG1450" i="4"/>
  <c r="AG1451" i="4"/>
  <c r="AG1452" i="4"/>
  <c r="AG1453" i="4"/>
  <c r="AG1454" i="4"/>
  <c r="AG1455" i="4"/>
  <c r="AG1456" i="4"/>
  <c r="AG1457" i="4"/>
  <c r="AG1458" i="4"/>
  <c r="AG1459" i="4"/>
  <c r="AG1460" i="4"/>
  <c r="AG1461" i="4"/>
  <c r="AG1462" i="4"/>
  <c r="AG1463" i="4"/>
  <c r="AG1464" i="4"/>
  <c r="AG1465" i="4"/>
  <c r="AG1466" i="4"/>
  <c r="AG1467" i="4"/>
  <c r="AG1468" i="4"/>
  <c r="AG1469" i="4"/>
  <c r="AG1470" i="4"/>
  <c r="AG1471" i="4"/>
  <c r="AG1472" i="4"/>
  <c r="AG1473" i="4"/>
  <c r="AG1474" i="4"/>
  <c r="AG1475" i="4"/>
  <c r="AG1476" i="4"/>
  <c r="AG1477" i="4"/>
  <c r="AG1478" i="4"/>
  <c r="AG1479" i="4"/>
  <c r="AG1480" i="4"/>
  <c r="AG1481" i="4"/>
  <c r="AG1482" i="4"/>
  <c r="AG1483" i="4"/>
  <c r="AG1484" i="4"/>
  <c r="AG1485" i="4"/>
  <c r="AG1486" i="4"/>
  <c r="AG1487" i="4"/>
  <c r="AG1488" i="4"/>
  <c r="AG1489" i="4"/>
  <c r="AG1490" i="4"/>
  <c r="AG1491" i="4"/>
  <c r="AG1492" i="4"/>
  <c r="AG1493" i="4"/>
  <c r="AG1494" i="4"/>
  <c r="AG1495" i="4"/>
  <c r="AG1496" i="4"/>
  <c r="AG1497" i="4"/>
  <c r="AG1498" i="4"/>
  <c r="AG1499" i="4"/>
  <c r="AG1500" i="4"/>
  <c r="AG1501" i="4"/>
  <c r="C13" i="10"/>
  <c r="D13" i="10"/>
  <c r="E13" i="10"/>
  <c r="F13" i="10"/>
  <c r="G13" i="10"/>
  <c r="H13" i="10"/>
  <c r="H12" i="10"/>
  <c r="G12" i="10"/>
  <c r="F12" i="10"/>
  <c r="E12" i="10"/>
  <c r="D12" i="10"/>
  <c r="C12" i="10"/>
  <c r="C10" i="10"/>
  <c r="D10" i="10"/>
  <c r="E10" i="10"/>
  <c r="F10" i="10"/>
  <c r="G10" i="10"/>
  <c r="H10" i="10"/>
  <c r="C9" i="10"/>
  <c r="D9" i="10"/>
  <c r="E9" i="10"/>
  <c r="F9" i="10"/>
  <c r="G9" i="10"/>
  <c r="H9" i="10"/>
  <c r="C8" i="10"/>
  <c r="D8" i="10"/>
  <c r="E8" i="10"/>
  <c r="F8" i="10"/>
  <c r="G8" i="10"/>
  <c r="H8" i="10"/>
  <c r="C5" i="10"/>
  <c r="D5" i="10"/>
  <c r="E5" i="10"/>
  <c r="F5" i="10"/>
  <c r="G5" i="10"/>
  <c r="H5" i="10"/>
  <c r="C6" i="10"/>
  <c r="D6" i="10"/>
  <c r="E6" i="10"/>
  <c r="F6" i="10"/>
  <c r="G6" i="10"/>
  <c r="H6" i="10"/>
  <c r="C7" i="10"/>
  <c r="D7" i="10"/>
  <c r="E7" i="10"/>
  <c r="F7" i="10"/>
  <c r="G7" i="10"/>
  <c r="H7" i="10"/>
  <c r="D4" i="10"/>
  <c r="E4" i="10"/>
  <c r="F4" i="10"/>
  <c r="G4" i="10"/>
  <c r="H4" i="10"/>
  <c r="C4" i="10"/>
  <c r="AI25" i="4"/>
  <c r="AI21" i="4"/>
  <c r="AI23" i="4"/>
  <c r="AI20" i="4"/>
  <c r="AI24" i="4"/>
  <c r="AI16" i="4"/>
  <c r="AI4" i="4"/>
  <c r="AI7" i="4"/>
  <c r="AI5" i="4"/>
  <c r="AI10" i="4"/>
  <c r="AI12" i="4"/>
  <c r="AI14" i="4"/>
  <c r="AI8" i="4"/>
  <c r="AI17" i="4"/>
  <c r="AI19" i="4"/>
  <c r="AI2" i="4"/>
  <c r="AI3" i="4"/>
  <c r="AI6" i="4"/>
  <c r="AI11" i="4"/>
  <c r="AI13" i="4"/>
  <c r="AI15" i="4"/>
  <c r="AI9" i="4"/>
  <c r="AI18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5" i="4"/>
  <c r="AI136" i="4"/>
  <c r="AI137" i="4"/>
  <c r="AI138" i="4"/>
  <c r="AI140" i="4"/>
  <c r="AI141" i="4"/>
  <c r="AI142" i="4"/>
  <c r="AI143" i="4"/>
  <c r="AI144" i="4"/>
  <c r="AI145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9" i="4"/>
  <c r="AI390" i="4"/>
  <c r="AI391" i="4"/>
  <c r="AI392" i="4"/>
  <c r="AI393" i="4"/>
  <c r="AI394" i="4"/>
  <c r="AI395" i="4"/>
  <c r="AI396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1036" i="4"/>
  <c r="AI1037" i="4"/>
  <c r="AI1038" i="4"/>
  <c r="AI1039" i="4"/>
  <c r="AI1040" i="4"/>
  <c r="AI1041" i="4"/>
  <c r="AI1042" i="4"/>
  <c r="AI1043" i="4"/>
  <c r="AI1044" i="4"/>
  <c r="AI1045" i="4"/>
  <c r="AI1046" i="4"/>
  <c r="AI1047" i="4"/>
  <c r="AI1048" i="4"/>
  <c r="AI1049" i="4"/>
  <c r="AI1050" i="4"/>
  <c r="AI1051" i="4"/>
  <c r="AI1052" i="4"/>
  <c r="AI1053" i="4"/>
  <c r="AI1054" i="4"/>
  <c r="AI1055" i="4"/>
  <c r="AI1056" i="4"/>
  <c r="AI1057" i="4"/>
  <c r="AI1058" i="4"/>
  <c r="AI1059" i="4"/>
  <c r="AI1060" i="4"/>
  <c r="AI1061" i="4"/>
  <c r="AI1062" i="4"/>
  <c r="AI1063" i="4"/>
  <c r="AI1064" i="4"/>
  <c r="AI1065" i="4"/>
  <c r="AI1066" i="4"/>
  <c r="AI1067" i="4"/>
  <c r="AI1068" i="4"/>
  <c r="AI1069" i="4"/>
  <c r="AI1070" i="4"/>
  <c r="AI1071" i="4"/>
  <c r="AI1072" i="4"/>
  <c r="AI1073" i="4"/>
  <c r="AI1074" i="4"/>
  <c r="AI1075" i="4"/>
  <c r="AI1076" i="4"/>
  <c r="AI1077" i="4"/>
  <c r="AI1078" i="4"/>
  <c r="AI1079" i="4"/>
  <c r="AI1080" i="4"/>
  <c r="AI1081" i="4"/>
  <c r="AI1082" i="4"/>
  <c r="AI1083" i="4"/>
  <c r="AI1084" i="4"/>
  <c r="AI1085" i="4"/>
  <c r="AI1086" i="4"/>
  <c r="AI1087" i="4"/>
  <c r="AI1088" i="4"/>
  <c r="AI1089" i="4"/>
  <c r="AI1090" i="4"/>
  <c r="AI1091" i="4"/>
  <c r="AI1092" i="4"/>
  <c r="AI1093" i="4"/>
  <c r="AI1094" i="4"/>
  <c r="AI1095" i="4"/>
  <c r="AI1096" i="4"/>
  <c r="AI1097" i="4"/>
  <c r="AI1098" i="4"/>
  <c r="AI1099" i="4"/>
  <c r="AI1100" i="4"/>
  <c r="AI1101" i="4"/>
  <c r="AI1102" i="4"/>
  <c r="AI1103" i="4"/>
  <c r="AI1104" i="4"/>
  <c r="AI1105" i="4"/>
  <c r="AI1106" i="4"/>
  <c r="AI1107" i="4"/>
  <c r="AI1108" i="4"/>
  <c r="AI1109" i="4"/>
  <c r="AI1110" i="4"/>
  <c r="AI1111" i="4"/>
  <c r="AI1112" i="4"/>
  <c r="AI1113" i="4"/>
  <c r="AI1114" i="4"/>
  <c r="AI1115" i="4"/>
  <c r="AI1116" i="4"/>
  <c r="AI1117" i="4"/>
  <c r="AI1118" i="4"/>
  <c r="AI1119" i="4"/>
  <c r="AI1120" i="4"/>
  <c r="AI1121" i="4"/>
  <c r="AI1122" i="4"/>
  <c r="AI1123" i="4"/>
  <c r="AI1124" i="4"/>
  <c r="AI1125" i="4"/>
  <c r="AI1126" i="4"/>
  <c r="AI1127" i="4"/>
  <c r="AI1128" i="4"/>
  <c r="AI1129" i="4"/>
  <c r="AI1130" i="4"/>
  <c r="AI1131" i="4"/>
  <c r="AI1132" i="4"/>
  <c r="AI1133" i="4"/>
  <c r="AI1134" i="4"/>
  <c r="AI1135" i="4"/>
  <c r="AI1136" i="4"/>
  <c r="AI1137" i="4"/>
  <c r="AI1138" i="4"/>
  <c r="AI1139" i="4"/>
  <c r="AI1140" i="4"/>
  <c r="AI1141" i="4"/>
  <c r="AI1142" i="4"/>
  <c r="AI1143" i="4"/>
  <c r="AI1144" i="4"/>
  <c r="AI1145" i="4"/>
  <c r="AI1146" i="4"/>
  <c r="AI1147" i="4"/>
  <c r="AI1148" i="4"/>
  <c r="AI1149" i="4"/>
  <c r="AI1150" i="4"/>
  <c r="AI1151" i="4"/>
  <c r="AI1152" i="4"/>
  <c r="AI1153" i="4"/>
  <c r="AI1154" i="4"/>
  <c r="AI1155" i="4"/>
  <c r="AI1156" i="4"/>
  <c r="AI1157" i="4"/>
  <c r="AI1158" i="4"/>
  <c r="AI1159" i="4"/>
  <c r="AI1160" i="4"/>
  <c r="AI1161" i="4"/>
  <c r="AI1162" i="4"/>
  <c r="AI1163" i="4"/>
  <c r="AI1164" i="4"/>
  <c r="AI1165" i="4"/>
  <c r="AI1166" i="4"/>
  <c r="AI1167" i="4"/>
  <c r="AI1168" i="4"/>
  <c r="AI1169" i="4"/>
  <c r="AI1170" i="4"/>
  <c r="AI1171" i="4"/>
  <c r="AI1172" i="4"/>
  <c r="AI1173" i="4"/>
  <c r="AI1174" i="4"/>
  <c r="AI1175" i="4"/>
  <c r="AI1176" i="4"/>
  <c r="AI1177" i="4"/>
  <c r="AI1178" i="4"/>
  <c r="AI1179" i="4"/>
  <c r="AI1180" i="4"/>
  <c r="AI1181" i="4"/>
  <c r="AI1182" i="4"/>
  <c r="AI1183" i="4"/>
  <c r="AI1184" i="4"/>
  <c r="AI1185" i="4"/>
  <c r="AI1186" i="4"/>
  <c r="AI1187" i="4"/>
  <c r="AI1188" i="4"/>
  <c r="AI1189" i="4"/>
  <c r="AI1190" i="4"/>
  <c r="AI1191" i="4"/>
  <c r="AI1192" i="4"/>
  <c r="AI1193" i="4"/>
  <c r="AI1194" i="4"/>
  <c r="AI1195" i="4"/>
  <c r="AI1196" i="4"/>
  <c r="AI1197" i="4"/>
  <c r="AI1198" i="4"/>
  <c r="AI1199" i="4"/>
  <c r="AI1200" i="4"/>
  <c r="AI1201" i="4"/>
  <c r="AI1202" i="4"/>
  <c r="AI1203" i="4"/>
  <c r="AI1204" i="4"/>
  <c r="AI1205" i="4"/>
  <c r="AI1206" i="4"/>
  <c r="AI1207" i="4"/>
  <c r="AI1208" i="4"/>
  <c r="AI1209" i="4"/>
  <c r="AI1210" i="4"/>
  <c r="AI1211" i="4"/>
  <c r="AI1212" i="4"/>
  <c r="AI1213" i="4"/>
  <c r="AI1214" i="4"/>
  <c r="AI1215" i="4"/>
  <c r="AI1216" i="4"/>
  <c r="AI1217" i="4"/>
  <c r="AI1218" i="4"/>
  <c r="AI1219" i="4"/>
  <c r="AI1220" i="4"/>
  <c r="AI1221" i="4"/>
  <c r="AI1222" i="4"/>
  <c r="AI1223" i="4"/>
  <c r="AI1224" i="4"/>
  <c r="AI1225" i="4"/>
  <c r="AI1226" i="4"/>
  <c r="AI1227" i="4"/>
  <c r="AI1228" i="4"/>
  <c r="AI1229" i="4"/>
  <c r="AI1230" i="4"/>
  <c r="AI1231" i="4"/>
  <c r="AI1232" i="4"/>
  <c r="AI1233" i="4"/>
  <c r="AI1234" i="4"/>
  <c r="AI1235" i="4"/>
  <c r="AI1236" i="4"/>
  <c r="AI1237" i="4"/>
  <c r="AI1238" i="4"/>
  <c r="AI1239" i="4"/>
  <c r="AI1240" i="4"/>
  <c r="AI1241" i="4"/>
  <c r="AI1242" i="4"/>
  <c r="AI1243" i="4"/>
  <c r="AI1244" i="4"/>
  <c r="AI1245" i="4"/>
  <c r="AI1246" i="4"/>
  <c r="AI1247" i="4"/>
  <c r="AI1248" i="4"/>
  <c r="AI1249" i="4"/>
  <c r="AI1250" i="4"/>
  <c r="AI1251" i="4"/>
  <c r="AI1252" i="4"/>
  <c r="AI1253" i="4"/>
  <c r="AI1254" i="4"/>
  <c r="AI1255" i="4"/>
  <c r="AI1256" i="4"/>
  <c r="AI1257" i="4"/>
  <c r="AI1258" i="4"/>
  <c r="AI1259" i="4"/>
  <c r="AI1260" i="4"/>
  <c r="AI1261" i="4"/>
  <c r="AI1262" i="4"/>
  <c r="AI1263" i="4"/>
  <c r="AI1264" i="4"/>
  <c r="AI1265" i="4"/>
  <c r="AI1266" i="4"/>
  <c r="AI1267" i="4"/>
  <c r="AI1268" i="4"/>
  <c r="AI1269" i="4"/>
  <c r="AI1270" i="4"/>
  <c r="AI1271" i="4"/>
  <c r="AI1272" i="4"/>
  <c r="AI1273" i="4"/>
  <c r="AI1274" i="4"/>
  <c r="AI1275" i="4"/>
  <c r="AI1276" i="4"/>
  <c r="AI1277" i="4"/>
  <c r="AI1278" i="4"/>
  <c r="AI1279" i="4"/>
  <c r="AI1280" i="4"/>
  <c r="AI1281" i="4"/>
  <c r="AI1282" i="4"/>
  <c r="AI1283" i="4"/>
  <c r="AI1284" i="4"/>
  <c r="AI1285" i="4"/>
  <c r="AI1286" i="4"/>
  <c r="AI1287" i="4"/>
  <c r="AI1288" i="4"/>
  <c r="AI1289" i="4"/>
  <c r="AI1290" i="4"/>
  <c r="AI1291" i="4"/>
  <c r="AI1292" i="4"/>
  <c r="AI1293" i="4"/>
  <c r="AI1294" i="4"/>
  <c r="AI1295" i="4"/>
  <c r="AI1296" i="4"/>
  <c r="AI1297" i="4"/>
  <c r="AI1298" i="4"/>
  <c r="AI1299" i="4"/>
  <c r="AI1300" i="4"/>
  <c r="AI1301" i="4"/>
  <c r="AI1302" i="4"/>
  <c r="AI1303" i="4"/>
  <c r="AI1304" i="4"/>
  <c r="AI1305" i="4"/>
  <c r="AI1306" i="4"/>
  <c r="AI1307" i="4"/>
  <c r="AI1308" i="4"/>
  <c r="AI1309" i="4"/>
  <c r="AI1310" i="4"/>
  <c r="AI1311" i="4"/>
  <c r="AI1312" i="4"/>
  <c r="AI1313" i="4"/>
  <c r="AI1314" i="4"/>
  <c r="AI1315" i="4"/>
  <c r="AI1316" i="4"/>
  <c r="AI1317" i="4"/>
  <c r="AI1318" i="4"/>
  <c r="AI1319" i="4"/>
  <c r="AI1320" i="4"/>
  <c r="AI1321" i="4"/>
  <c r="AI1322" i="4"/>
  <c r="AI1323" i="4"/>
  <c r="AI1324" i="4"/>
  <c r="AI1325" i="4"/>
  <c r="AI1326" i="4"/>
  <c r="AI1327" i="4"/>
  <c r="AI1328" i="4"/>
  <c r="AI1329" i="4"/>
  <c r="AI1330" i="4"/>
  <c r="AI1331" i="4"/>
  <c r="AI1332" i="4"/>
  <c r="AI1333" i="4"/>
  <c r="AI1334" i="4"/>
  <c r="AI1335" i="4"/>
  <c r="AI1336" i="4"/>
  <c r="AI1337" i="4"/>
  <c r="AI1338" i="4"/>
  <c r="AI1339" i="4"/>
  <c r="AI1340" i="4"/>
  <c r="AI1341" i="4"/>
  <c r="AI1342" i="4"/>
  <c r="AI1343" i="4"/>
  <c r="AI1344" i="4"/>
  <c r="AI1345" i="4"/>
  <c r="AI1346" i="4"/>
  <c r="AI1347" i="4"/>
  <c r="AI1348" i="4"/>
  <c r="AI1349" i="4"/>
  <c r="AI1350" i="4"/>
  <c r="AI1351" i="4"/>
  <c r="AI1352" i="4"/>
  <c r="AI1353" i="4"/>
  <c r="AI1354" i="4"/>
  <c r="AI1355" i="4"/>
  <c r="AI1356" i="4"/>
  <c r="AI1357" i="4"/>
  <c r="AI1358" i="4"/>
  <c r="AI1359" i="4"/>
  <c r="AI1360" i="4"/>
  <c r="AI1361" i="4"/>
  <c r="AI1362" i="4"/>
  <c r="AI1363" i="4"/>
  <c r="AI1364" i="4"/>
  <c r="AI1365" i="4"/>
  <c r="AI1366" i="4"/>
  <c r="AI1367" i="4"/>
  <c r="AI1368" i="4"/>
  <c r="AI1369" i="4"/>
  <c r="AI1370" i="4"/>
  <c r="AI1371" i="4"/>
  <c r="AI1372" i="4"/>
  <c r="AI1373" i="4"/>
  <c r="AI1374" i="4"/>
  <c r="AI1375" i="4"/>
  <c r="AI1376" i="4"/>
  <c r="AI1377" i="4"/>
  <c r="AI1378" i="4"/>
  <c r="AI1379" i="4"/>
  <c r="AI1380" i="4"/>
  <c r="AI1381" i="4"/>
  <c r="AI1382" i="4"/>
  <c r="AI1383" i="4"/>
  <c r="AI1384" i="4"/>
  <c r="AI1385" i="4"/>
  <c r="AI1386" i="4"/>
  <c r="AI1387" i="4"/>
  <c r="AI1388" i="4"/>
  <c r="AI1389" i="4"/>
  <c r="AI1390" i="4"/>
  <c r="AI1391" i="4"/>
  <c r="AI1392" i="4"/>
  <c r="AI1393" i="4"/>
  <c r="AI1394" i="4"/>
  <c r="AI1395" i="4"/>
  <c r="AI1396" i="4"/>
  <c r="AI1397" i="4"/>
  <c r="AI1398" i="4"/>
  <c r="AI1399" i="4"/>
  <c r="AI1400" i="4"/>
  <c r="AI1401" i="4"/>
  <c r="AI1402" i="4"/>
  <c r="AI1403" i="4"/>
  <c r="AI1404" i="4"/>
  <c r="AI1405" i="4"/>
  <c r="AI1406" i="4"/>
  <c r="AI1407" i="4"/>
  <c r="AI1408" i="4"/>
  <c r="AI1409" i="4"/>
  <c r="AI1410" i="4"/>
  <c r="AI1411" i="4"/>
  <c r="AI1412" i="4"/>
  <c r="AI1413" i="4"/>
  <c r="AI1414" i="4"/>
  <c r="AI1415" i="4"/>
  <c r="AI1416" i="4"/>
  <c r="AI1417" i="4"/>
  <c r="AI1418" i="4"/>
  <c r="AI1419" i="4"/>
  <c r="AI1420" i="4"/>
  <c r="AI1421" i="4"/>
  <c r="AI1422" i="4"/>
  <c r="AI1423" i="4"/>
  <c r="AI1424" i="4"/>
  <c r="AI1425" i="4"/>
  <c r="AI1426" i="4"/>
  <c r="AI1427" i="4"/>
  <c r="AI1428" i="4"/>
  <c r="AI1429" i="4"/>
  <c r="AI1430" i="4"/>
  <c r="AI1431" i="4"/>
  <c r="AI1432" i="4"/>
  <c r="AI1433" i="4"/>
  <c r="AI1434" i="4"/>
  <c r="AI1435" i="4"/>
  <c r="AI1436" i="4"/>
  <c r="AI1437" i="4"/>
  <c r="AI1438" i="4"/>
  <c r="AI1439" i="4"/>
  <c r="AI1440" i="4"/>
  <c r="AI1441" i="4"/>
  <c r="AI1442" i="4"/>
  <c r="AI1443" i="4"/>
  <c r="AI1444" i="4"/>
  <c r="AI1445" i="4"/>
  <c r="AI1446" i="4"/>
  <c r="AI1447" i="4"/>
  <c r="AI1448" i="4"/>
  <c r="AI1449" i="4"/>
  <c r="AI1450" i="4"/>
  <c r="AI1451" i="4"/>
  <c r="AI1452" i="4"/>
  <c r="AI1453" i="4"/>
  <c r="AI1454" i="4"/>
  <c r="AI1455" i="4"/>
  <c r="AI1456" i="4"/>
  <c r="AI1457" i="4"/>
  <c r="AI1458" i="4"/>
  <c r="AI1459" i="4"/>
  <c r="AI1460" i="4"/>
  <c r="AI1461" i="4"/>
  <c r="AI1462" i="4"/>
  <c r="AI1463" i="4"/>
  <c r="AI1464" i="4"/>
  <c r="AI1465" i="4"/>
  <c r="AI1466" i="4"/>
  <c r="AI1467" i="4"/>
  <c r="AI1468" i="4"/>
  <c r="AI1469" i="4"/>
  <c r="AI1470" i="4"/>
  <c r="AI1471" i="4"/>
  <c r="AI1472" i="4"/>
  <c r="AI1473" i="4"/>
  <c r="AI1474" i="4"/>
  <c r="AI1475" i="4"/>
  <c r="AI1476" i="4"/>
  <c r="AI1477" i="4"/>
  <c r="AI1478" i="4"/>
  <c r="AI1479" i="4"/>
  <c r="AI1480" i="4"/>
  <c r="AI1481" i="4"/>
  <c r="AI1482" i="4"/>
  <c r="AI1483" i="4"/>
  <c r="AI1484" i="4"/>
  <c r="AI1485" i="4"/>
  <c r="AI1486" i="4"/>
  <c r="AI1487" i="4"/>
  <c r="AI1488" i="4"/>
  <c r="AI1489" i="4"/>
  <c r="AI1490" i="4"/>
  <c r="AI1491" i="4"/>
  <c r="AI1492" i="4"/>
  <c r="AI1493" i="4"/>
  <c r="AI1494" i="4"/>
  <c r="AI1495" i="4"/>
  <c r="AI1496" i="4"/>
  <c r="AI1497" i="4"/>
  <c r="AI1498" i="4"/>
  <c r="AI1499" i="4"/>
  <c r="AI1500" i="4"/>
  <c r="AI1501" i="4"/>
  <c r="AI22" i="4"/>
  <c r="AB16" i="4"/>
  <c r="AB4" i="4"/>
  <c r="AB7" i="4"/>
  <c r="AB5" i="4"/>
  <c r="AB10" i="4"/>
  <c r="AB12" i="4"/>
  <c r="AB14" i="4"/>
  <c r="AB8" i="4"/>
  <c r="AB17" i="4"/>
  <c r="AB19" i="4"/>
  <c r="AB2" i="4"/>
  <c r="AB3" i="4"/>
  <c r="AB6" i="4"/>
  <c r="AB11" i="4"/>
  <c r="AB13" i="4"/>
  <c r="AB15" i="4"/>
  <c r="AB9" i="4"/>
  <c r="AB18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1447" i="4"/>
  <c r="AB1448" i="4"/>
  <c r="AB1449" i="4"/>
  <c r="AB1450" i="4"/>
  <c r="AB1451" i="4"/>
  <c r="AB1452" i="4"/>
  <c r="AB1453" i="4"/>
  <c r="AB1454" i="4"/>
  <c r="AB1455" i="4"/>
  <c r="AB1456" i="4"/>
  <c r="AB1457" i="4"/>
  <c r="AB1458" i="4"/>
  <c r="AB1459" i="4"/>
  <c r="AB1460" i="4"/>
  <c r="AB1461" i="4"/>
  <c r="AB1462" i="4"/>
  <c r="AB1463" i="4"/>
  <c r="AB1464" i="4"/>
  <c r="AB1465" i="4"/>
  <c r="AB1466" i="4"/>
  <c r="AB1467" i="4"/>
  <c r="AB1468" i="4"/>
  <c r="AB1469" i="4"/>
  <c r="AB1470" i="4"/>
  <c r="AB1471" i="4"/>
  <c r="AB1472" i="4"/>
  <c r="AB1473" i="4"/>
  <c r="AB1474" i="4"/>
  <c r="AB1475" i="4"/>
  <c r="AB1476" i="4"/>
  <c r="AB1477" i="4"/>
  <c r="AB1478" i="4"/>
  <c r="AB1479" i="4"/>
  <c r="AB1480" i="4"/>
  <c r="AB1481" i="4"/>
  <c r="AB1482" i="4"/>
  <c r="AB1483" i="4"/>
  <c r="AB1484" i="4"/>
  <c r="AB1485" i="4"/>
  <c r="AB1486" i="4"/>
  <c r="AB1487" i="4"/>
  <c r="AB1488" i="4"/>
  <c r="AB1489" i="4"/>
  <c r="AB1490" i="4"/>
  <c r="AB1491" i="4"/>
  <c r="AB1492" i="4"/>
  <c r="AB1493" i="4"/>
  <c r="AB1494" i="4"/>
  <c r="AB1495" i="4"/>
  <c r="AB1496" i="4"/>
  <c r="AB1497" i="4"/>
  <c r="AB1498" i="4"/>
  <c r="AB1499" i="4"/>
  <c r="AB1500" i="4"/>
  <c r="AB1501" i="4"/>
  <c r="AB21" i="4"/>
  <c r="AB20" i="4"/>
  <c r="AB22" i="4"/>
  <c r="E65" i="4"/>
  <c r="F65" i="4" s="1"/>
  <c r="E66" i="4"/>
  <c r="G66" i="4" s="1"/>
  <c r="E67" i="4"/>
  <c r="G67" i="4" s="1"/>
  <c r="E68" i="4"/>
  <c r="G68" i="4" s="1"/>
  <c r="E69" i="4"/>
  <c r="E70" i="4"/>
  <c r="F70" i="4" s="1"/>
  <c r="E71" i="4"/>
  <c r="G71" i="4" s="1"/>
  <c r="E72" i="4"/>
  <c r="G72" i="4" s="1"/>
  <c r="E73" i="4"/>
  <c r="G73" i="4" s="1"/>
  <c r="E74" i="4"/>
  <c r="F74" i="4" s="1"/>
  <c r="E75" i="4"/>
  <c r="G75" i="4" s="1"/>
  <c r="E76" i="4"/>
  <c r="G76" i="4" s="1"/>
  <c r="E77" i="4"/>
  <c r="G77" i="4" s="1"/>
  <c r="E78" i="4"/>
  <c r="G78" i="4" s="1"/>
  <c r="E79" i="4"/>
  <c r="F79" i="4" s="1"/>
  <c r="E80" i="4"/>
  <c r="F80" i="4" s="1"/>
  <c r="E81" i="4"/>
  <c r="E82" i="4"/>
  <c r="G82" i="4" s="1"/>
  <c r="E83" i="4"/>
  <c r="G83" i="4" s="1"/>
  <c r="E84" i="4"/>
  <c r="F84" i="4" s="1"/>
  <c r="E85" i="4"/>
  <c r="G85" i="4" s="1"/>
  <c r="E86" i="4"/>
  <c r="G86" i="4" s="1"/>
  <c r="E87" i="4"/>
  <c r="E88" i="4"/>
  <c r="G88" i="4" s="1"/>
  <c r="E89" i="4"/>
  <c r="G89" i="4" s="1"/>
  <c r="E94" i="4"/>
  <c r="G94" i="4" s="1"/>
  <c r="E95" i="4"/>
  <c r="F95" i="4" s="1"/>
  <c r="E97" i="4"/>
  <c r="G97" i="4" s="1"/>
  <c r="E98" i="4"/>
  <c r="G98" i="4" s="1"/>
  <c r="E99" i="4"/>
  <c r="G99" i="4" s="1"/>
  <c r="E100" i="4"/>
  <c r="G100" i="4" s="1"/>
  <c r="E101" i="4"/>
  <c r="F101" i="4" s="1"/>
  <c r="E102" i="4"/>
  <c r="G102" i="4" s="1"/>
  <c r="E103" i="4"/>
  <c r="F103" i="4" s="1"/>
  <c r="E105" i="4"/>
  <c r="E107" i="4"/>
  <c r="G107" i="4" s="1"/>
  <c r="E108" i="4"/>
  <c r="F108" i="4" s="1"/>
  <c r="E109" i="4"/>
  <c r="G109" i="4" s="1"/>
  <c r="E110" i="4"/>
  <c r="F110" i="4" s="1"/>
  <c r="E111" i="4"/>
  <c r="F111" i="4" s="1"/>
  <c r="E112" i="4"/>
  <c r="G112" i="4" s="1"/>
  <c r="E113" i="4"/>
  <c r="G113" i="4" s="1"/>
  <c r="E114" i="4"/>
  <c r="E115" i="4"/>
  <c r="G115" i="4" s="1"/>
  <c r="E116" i="4"/>
  <c r="G116" i="4" s="1"/>
  <c r="E117" i="4"/>
  <c r="G117" i="4" s="1"/>
  <c r="E118" i="4"/>
  <c r="F118" i="4" s="1"/>
  <c r="E119" i="4"/>
  <c r="F119" i="4" s="1"/>
  <c r="E120" i="4"/>
  <c r="G120" i="4" s="1"/>
  <c r="E121" i="4"/>
  <c r="G121" i="4" s="1"/>
  <c r="E122" i="4"/>
  <c r="G122" i="4" s="1"/>
  <c r="E123" i="4"/>
  <c r="G123" i="4" s="1"/>
  <c r="E124" i="4"/>
  <c r="F124" i="4" s="1"/>
  <c r="E125" i="4"/>
  <c r="G125" i="4" s="1"/>
  <c r="E126" i="4"/>
  <c r="G126" i="4" s="1"/>
  <c r="E127" i="4"/>
  <c r="F127" i="4" s="1"/>
  <c r="E128" i="4"/>
  <c r="G128" i="4" s="1"/>
  <c r="E129" i="4"/>
  <c r="G129" i="4" s="1"/>
  <c r="E130" i="4"/>
  <c r="F130" i="4" s="1"/>
  <c r="E131" i="4"/>
  <c r="G131" i="4" s="1"/>
  <c r="E132" i="4"/>
  <c r="F132" i="4" s="1"/>
  <c r="E133" i="4"/>
  <c r="G133" i="4" s="1"/>
  <c r="E135" i="4"/>
  <c r="G135" i="4" s="1"/>
  <c r="E136" i="4"/>
  <c r="G136" i="4" s="1"/>
  <c r="E137" i="4"/>
  <c r="F137" i="4" s="1"/>
  <c r="E138" i="4"/>
  <c r="G138" i="4" s="1"/>
  <c r="E141" i="4"/>
  <c r="G141" i="4" s="1"/>
  <c r="E142" i="4"/>
  <c r="G142" i="4" s="1"/>
  <c r="E143" i="4"/>
  <c r="F143" i="4" s="1"/>
  <c r="E144" i="4"/>
  <c r="F144" i="4" s="1"/>
  <c r="E145" i="4"/>
  <c r="G145" i="4" s="1"/>
  <c r="E147" i="4"/>
  <c r="G147" i="4" s="1"/>
  <c r="E148" i="4"/>
  <c r="E149" i="4"/>
  <c r="F149" i="4" s="1"/>
  <c r="E150" i="4"/>
  <c r="G150" i="4" s="1"/>
  <c r="E151" i="4"/>
  <c r="G151" i="4" s="1"/>
  <c r="E152" i="4"/>
  <c r="E153" i="4"/>
  <c r="G153" i="4" s="1"/>
  <c r="E154" i="4"/>
  <c r="F154" i="4" s="1"/>
  <c r="E155" i="4"/>
  <c r="F155" i="4" s="1"/>
  <c r="E156" i="4"/>
  <c r="G156" i="4" s="1"/>
  <c r="E157" i="4"/>
  <c r="G157" i="4" s="1"/>
  <c r="E158" i="4"/>
  <c r="F158" i="4" s="1"/>
  <c r="E159" i="4"/>
  <c r="G159" i="4" s="1"/>
  <c r="E160" i="4"/>
  <c r="F160" i="4" s="1"/>
  <c r="E161" i="4"/>
  <c r="G161" i="4" s="1"/>
  <c r="E162" i="4"/>
  <c r="F162" i="4" s="1"/>
  <c r="E163" i="4"/>
  <c r="G163" i="4" s="1"/>
  <c r="E164" i="4"/>
  <c r="G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G171" i="4" s="1"/>
  <c r="E172" i="4"/>
  <c r="G172" i="4" s="1"/>
  <c r="E173" i="4"/>
  <c r="F173" i="4" s="1"/>
  <c r="E174" i="4"/>
  <c r="G174" i="4" s="1"/>
  <c r="E175" i="4"/>
  <c r="F175" i="4" s="1"/>
  <c r="E176" i="4"/>
  <c r="F176" i="4" s="1"/>
  <c r="E177" i="4"/>
  <c r="G177" i="4" s="1"/>
  <c r="E178" i="4"/>
  <c r="G178" i="4" s="1"/>
  <c r="E179" i="4"/>
  <c r="F179" i="4" s="1"/>
  <c r="E180" i="4"/>
  <c r="G180" i="4" s="1"/>
  <c r="E181" i="4"/>
  <c r="G181" i="4" s="1"/>
  <c r="E182" i="4"/>
  <c r="G182" i="4" s="1"/>
  <c r="E183" i="4"/>
  <c r="F183" i="4" s="1"/>
  <c r="E184" i="4"/>
  <c r="G184" i="4" s="1"/>
  <c r="E185" i="4"/>
  <c r="G185" i="4" s="1"/>
  <c r="E186" i="4"/>
  <c r="G186" i="4" s="1"/>
  <c r="E187" i="4"/>
  <c r="G187" i="4" s="1"/>
  <c r="E188" i="4"/>
  <c r="F188" i="4" s="1"/>
  <c r="E189" i="4"/>
  <c r="G189" i="4" s="1"/>
  <c r="E190" i="4"/>
  <c r="F190" i="4" s="1"/>
  <c r="E191" i="4"/>
  <c r="F191" i="4" s="1"/>
  <c r="E192" i="4"/>
  <c r="G192" i="4" s="1"/>
  <c r="E193" i="4"/>
  <c r="F193" i="4" s="1"/>
  <c r="E194" i="4"/>
  <c r="F194" i="4" s="1"/>
  <c r="E195" i="4"/>
  <c r="G195" i="4" s="1"/>
  <c r="E196" i="4"/>
  <c r="G196" i="4" s="1"/>
  <c r="E197" i="4"/>
  <c r="F197" i="4" s="1"/>
  <c r="E198" i="4"/>
  <c r="G198" i="4" s="1"/>
  <c r="E199" i="4"/>
  <c r="G199" i="4" s="1"/>
  <c r="E200" i="4"/>
  <c r="F200" i="4" s="1"/>
  <c r="E201" i="4"/>
  <c r="G201" i="4" s="1"/>
  <c r="E202" i="4"/>
  <c r="F202" i="4" s="1"/>
  <c r="E203" i="4"/>
  <c r="G203" i="4" s="1"/>
  <c r="E204" i="4"/>
  <c r="G204" i="4" s="1"/>
  <c r="E205" i="4"/>
  <c r="G205" i="4" s="1"/>
  <c r="E206" i="4"/>
  <c r="F206" i="4" s="1"/>
  <c r="E207" i="4"/>
  <c r="G207" i="4" s="1"/>
  <c r="E208" i="4"/>
  <c r="F208" i="4" s="1"/>
  <c r="E209" i="4"/>
  <c r="G209" i="4" s="1"/>
  <c r="E210" i="4"/>
  <c r="G210" i="4" s="1"/>
  <c r="E211" i="4"/>
  <c r="G211" i="4" s="1"/>
  <c r="E212" i="4"/>
  <c r="G212" i="4" s="1"/>
  <c r="E213" i="4"/>
  <c r="G213" i="4" s="1"/>
  <c r="E214" i="4"/>
  <c r="G214" i="4" s="1"/>
  <c r="E215" i="4"/>
  <c r="E216" i="4"/>
  <c r="G216" i="4" s="1"/>
  <c r="E217" i="4"/>
  <c r="G217" i="4" s="1"/>
  <c r="E218" i="4"/>
  <c r="F218" i="4" s="1"/>
  <c r="E219" i="4"/>
  <c r="G219" i="4" s="1"/>
  <c r="E220" i="4"/>
  <c r="G220" i="4" s="1"/>
  <c r="E221" i="4"/>
  <c r="G221" i="4" s="1"/>
  <c r="E222" i="4"/>
  <c r="F222" i="4" s="1"/>
  <c r="E223" i="4"/>
  <c r="E224" i="4"/>
  <c r="G224" i="4" s="1"/>
  <c r="E225" i="4"/>
  <c r="F225" i="4" s="1"/>
  <c r="E228" i="4"/>
  <c r="F228" i="4" s="1"/>
  <c r="E229" i="4"/>
  <c r="F229" i="4" s="1"/>
  <c r="E230" i="4"/>
  <c r="G230" i="4" s="1"/>
  <c r="E231" i="4"/>
  <c r="G231" i="4" s="1"/>
  <c r="E232" i="4"/>
  <c r="F232" i="4" s="1"/>
  <c r="E233" i="4"/>
  <c r="G233" i="4" s="1"/>
  <c r="E234" i="4"/>
  <c r="F234" i="4" s="1"/>
  <c r="E235" i="4"/>
  <c r="E236" i="4"/>
  <c r="F236" i="4" s="1"/>
  <c r="E237" i="4"/>
  <c r="F237" i="4" s="1"/>
  <c r="E238" i="4"/>
  <c r="F238" i="4" s="1"/>
  <c r="E239" i="4"/>
  <c r="G239" i="4" s="1"/>
  <c r="E240" i="4"/>
  <c r="G240" i="4" s="1"/>
  <c r="E241" i="4"/>
  <c r="G241" i="4" s="1"/>
  <c r="E242" i="4"/>
  <c r="E243" i="4"/>
  <c r="E244" i="4"/>
  <c r="G244" i="4" s="1"/>
  <c r="E245" i="4"/>
  <c r="E246" i="4"/>
  <c r="F246" i="4" s="1"/>
  <c r="E247" i="4"/>
  <c r="G247" i="4" s="1"/>
  <c r="E248" i="4"/>
  <c r="E249" i="4"/>
  <c r="G249" i="4" s="1"/>
  <c r="E250" i="4"/>
  <c r="G250" i="4" s="1"/>
  <c r="E251" i="4"/>
  <c r="E252" i="4"/>
  <c r="G252" i="4" s="1"/>
  <c r="E253" i="4"/>
  <c r="G253" i="4" s="1"/>
  <c r="E254" i="4"/>
  <c r="G254" i="4" s="1"/>
  <c r="E255" i="4"/>
  <c r="F255" i="4" s="1"/>
  <c r="E256" i="4"/>
  <c r="G256" i="4" s="1"/>
  <c r="E257" i="4"/>
  <c r="G257" i="4" s="1"/>
  <c r="E258" i="4"/>
  <c r="F258" i="4" s="1"/>
  <c r="E259" i="4"/>
  <c r="G259" i="4" s="1"/>
  <c r="E260" i="4"/>
  <c r="F260" i="4" s="1"/>
  <c r="E261" i="4"/>
  <c r="F261" i="4" s="1"/>
  <c r="E262" i="4"/>
  <c r="F262" i="4" s="1"/>
  <c r="E263" i="4"/>
  <c r="G263" i="4" s="1"/>
  <c r="E264" i="4"/>
  <c r="G264" i="4" s="1"/>
  <c r="E265" i="4"/>
  <c r="E266" i="4"/>
  <c r="F266" i="4" s="1"/>
  <c r="E267" i="4"/>
  <c r="G267" i="4" s="1"/>
  <c r="E268" i="4"/>
  <c r="F268" i="4" s="1"/>
  <c r="E269" i="4"/>
  <c r="G269" i="4" s="1"/>
  <c r="E270" i="4"/>
  <c r="G270" i="4" s="1"/>
  <c r="E271" i="4"/>
  <c r="G271" i="4" s="1"/>
  <c r="E272" i="4"/>
  <c r="G272" i="4" s="1"/>
  <c r="E273" i="4"/>
  <c r="G273" i="4" s="1"/>
  <c r="E274" i="4"/>
  <c r="G274" i="4" s="1"/>
  <c r="E275" i="4"/>
  <c r="G275" i="4" s="1"/>
  <c r="E276" i="4"/>
  <c r="G276" i="4" s="1"/>
  <c r="E277" i="4"/>
  <c r="F277" i="4" s="1"/>
  <c r="E278" i="4"/>
  <c r="G278" i="4" s="1"/>
  <c r="E279" i="4"/>
  <c r="G279" i="4" s="1"/>
  <c r="E280" i="4"/>
  <c r="G280" i="4" s="1"/>
  <c r="E281" i="4"/>
  <c r="G281" i="4" s="1"/>
  <c r="E287" i="4"/>
  <c r="G287" i="4" s="1"/>
  <c r="E288" i="4"/>
  <c r="F288" i="4" s="1"/>
  <c r="E289" i="4"/>
  <c r="F289" i="4" s="1"/>
  <c r="E290" i="4"/>
  <c r="G290" i="4" s="1"/>
  <c r="E291" i="4"/>
  <c r="E292" i="4"/>
  <c r="F292" i="4" s="1"/>
  <c r="E293" i="4"/>
  <c r="G293" i="4" s="1"/>
  <c r="E294" i="4"/>
  <c r="G294" i="4" s="1"/>
  <c r="E295" i="4"/>
  <c r="G295" i="4" s="1"/>
  <c r="E296" i="4"/>
  <c r="F296" i="4" s="1"/>
  <c r="E297" i="4"/>
  <c r="G297" i="4" s="1"/>
  <c r="E298" i="4"/>
  <c r="G298" i="4" s="1"/>
  <c r="E307" i="4"/>
  <c r="G307" i="4" s="1"/>
  <c r="E308" i="4"/>
  <c r="G308" i="4" s="1"/>
  <c r="E309" i="4"/>
  <c r="G309" i="4" s="1"/>
  <c r="E314" i="4"/>
  <c r="F314" i="4" s="1"/>
  <c r="E315" i="4"/>
  <c r="G315" i="4" s="1"/>
  <c r="E316" i="4"/>
  <c r="G316" i="4" s="1"/>
  <c r="E317" i="4"/>
  <c r="F317" i="4" s="1"/>
  <c r="E318" i="4"/>
  <c r="G318" i="4" s="1"/>
  <c r="E319" i="4"/>
  <c r="G319" i="4" s="1"/>
  <c r="E320" i="4"/>
  <c r="G320" i="4" s="1"/>
  <c r="E321" i="4"/>
  <c r="G321" i="4" s="1"/>
  <c r="E323" i="4"/>
  <c r="G323" i="4" s="1"/>
  <c r="E324" i="4"/>
  <c r="G324" i="4" s="1"/>
  <c r="E325" i="4"/>
  <c r="G325" i="4" s="1"/>
  <c r="E326" i="4"/>
  <c r="G326" i="4" s="1"/>
  <c r="E327" i="4"/>
  <c r="F327" i="4" s="1"/>
  <c r="E328" i="4"/>
  <c r="F328" i="4" s="1"/>
  <c r="E329" i="4"/>
  <c r="G329" i="4" s="1"/>
  <c r="E330" i="4"/>
  <c r="G330" i="4" s="1"/>
  <c r="E331" i="4"/>
  <c r="F331" i="4" s="1"/>
  <c r="E332" i="4"/>
  <c r="F332" i="4" s="1"/>
  <c r="E333" i="4"/>
  <c r="G333" i="4" s="1"/>
  <c r="E334" i="4"/>
  <c r="G334" i="4" s="1"/>
  <c r="E335" i="4"/>
  <c r="G335" i="4" s="1"/>
  <c r="E336" i="4"/>
  <c r="G336" i="4" s="1"/>
  <c r="E337" i="4"/>
  <c r="G337" i="4" s="1"/>
  <c r="E338" i="4"/>
  <c r="G338" i="4" s="1"/>
  <c r="E339" i="4"/>
  <c r="G339" i="4" s="1"/>
  <c r="E340" i="4"/>
  <c r="G340" i="4" s="1"/>
  <c r="E341" i="4"/>
  <c r="G341" i="4" s="1"/>
  <c r="E342" i="4"/>
  <c r="G342" i="4" s="1"/>
  <c r="E343" i="4"/>
  <c r="F343" i="4" s="1"/>
  <c r="E344" i="4"/>
  <c r="F344" i="4" s="1"/>
  <c r="E345" i="4"/>
  <c r="G345" i="4" s="1"/>
  <c r="E346" i="4"/>
  <c r="E347" i="4"/>
  <c r="G347" i="4" s="1"/>
  <c r="E348" i="4"/>
  <c r="G348" i="4" s="1"/>
  <c r="E349" i="4"/>
  <c r="F349" i="4" s="1"/>
  <c r="E350" i="4"/>
  <c r="G350" i="4" s="1"/>
  <c r="E351" i="4"/>
  <c r="G351" i="4" s="1"/>
  <c r="E352" i="4"/>
  <c r="G352" i="4" s="1"/>
  <c r="E353" i="4"/>
  <c r="G353" i="4" s="1"/>
  <c r="E354" i="4"/>
  <c r="G354" i="4" s="1"/>
  <c r="E355" i="4"/>
  <c r="G355" i="4" s="1"/>
  <c r="E356" i="4"/>
  <c r="G356" i="4" s="1"/>
  <c r="E357" i="4"/>
  <c r="E358" i="4"/>
  <c r="G358" i="4" s="1"/>
  <c r="E359" i="4"/>
  <c r="G359" i="4" s="1"/>
  <c r="E360" i="4"/>
  <c r="G360" i="4" s="1"/>
  <c r="E361" i="4"/>
  <c r="G361" i="4" s="1"/>
  <c r="E362" i="4"/>
  <c r="G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G368" i="4" s="1"/>
  <c r="E369" i="4"/>
  <c r="E370" i="4"/>
  <c r="E371" i="4"/>
  <c r="G371" i="4" s="1"/>
  <c r="E372" i="4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E380" i="4"/>
  <c r="G380" i="4" s="1"/>
  <c r="E381" i="4"/>
  <c r="F381" i="4" s="1"/>
  <c r="E382" i="4"/>
  <c r="G382" i="4" s="1"/>
  <c r="E383" i="4"/>
  <c r="F383" i="4" s="1"/>
  <c r="E384" i="4"/>
  <c r="G384" i="4" s="1"/>
  <c r="E385" i="4"/>
  <c r="G385" i="4" s="1"/>
  <c r="E386" i="4"/>
  <c r="G386" i="4" s="1"/>
  <c r="E387" i="4"/>
  <c r="F387" i="4" s="1"/>
  <c r="E388" i="4"/>
  <c r="G388" i="4" s="1"/>
  <c r="E389" i="4"/>
  <c r="F389" i="4" s="1"/>
  <c r="E390" i="4"/>
  <c r="G390" i="4" s="1"/>
  <c r="E391" i="4"/>
  <c r="G391" i="4" s="1"/>
  <c r="E392" i="4"/>
  <c r="G392" i="4" s="1"/>
  <c r="E393" i="4"/>
  <c r="G393" i="4" s="1"/>
  <c r="E394" i="4"/>
  <c r="G394" i="4" s="1"/>
  <c r="E395" i="4"/>
  <c r="F395" i="4" s="1"/>
  <c r="E396" i="4"/>
  <c r="F396" i="4" s="1"/>
  <c r="E398" i="4"/>
  <c r="F398" i="4" s="1"/>
  <c r="E399" i="4"/>
  <c r="F399" i="4" s="1"/>
  <c r="E400" i="4"/>
  <c r="G400" i="4" s="1"/>
  <c r="E401" i="4"/>
  <c r="F401" i="4" s="1"/>
  <c r="E402" i="4"/>
  <c r="G402" i="4" s="1"/>
  <c r="E403" i="4"/>
  <c r="G403" i="4" s="1"/>
  <c r="E404" i="4"/>
  <c r="G404" i="4" s="1"/>
  <c r="E405" i="4"/>
  <c r="G405" i="4" s="1"/>
  <c r="E406" i="4"/>
  <c r="F406" i="4" s="1"/>
  <c r="E407" i="4"/>
  <c r="G407" i="4" s="1"/>
  <c r="E408" i="4"/>
  <c r="F408" i="4" s="1"/>
  <c r="E409" i="4"/>
  <c r="G409" i="4" s="1"/>
  <c r="E410" i="4"/>
  <c r="F410" i="4" s="1"/>
  <c r="E411" i="4"/>
  <c r="G411" i="4" s="1"/>
  <c r="E412" i="4"/>
  <c r="G412" i="4" s="1"/>
  <c r="E413" i="4"/>
  <c r="G413" i="4" s="1"/>
  <c r="E414" i="4"/>
  <c r="G414" i="4" s="1"/>
  <c r="E415" i="4"/>
  <c r="G415" i="4" s="1"/>
  <c r="E416" i="4"/>
  <c r="F416" i="4" s="1"/>
  <c r="E417" i="4"/>
  <c r="G417" i="4" s="1"/>
  <c r="E418" i="4"/>
  <c r="E419" i="4"/>
  <c r="G419" i="4" s="1"/>
  <c r="E420" i="4"/>
  <c r="F420" i="4" s="1"/>
  <c r="E421" i="4"/>
  <c r="F421" i="4" s="1"/>
  <c r="E422" i="4"/>
  <c r="G422" i="4" s="1"/>
  <c r="E423" i="4"/>
  <c r="G423" i="4" s="1"/>
  <c r="E424" i="4"/>
  <c r="G424" i="4" s="1"/>
  <c r="E425" i="4"/>
  <c r="G425" i="4" s="1"/>
  <c r="E426" i="4"/>
  <c r="G426" i="4" s="1"/>
  <c r="E427" i="4"/>
  <c r="E428" i="4"/>
  <c r="F428" i="4" s="1"/>
  <c r="E429" i="4"/>
  <c r="G429" i="4" s="1"/>
  <c r="E430" i="4"/>
  <c r="G430" i="4" s="1"/>
  <c r="E431" i="4"/>
  <c r="G431" i="4" s="1"/>
  <c r="E432" i="4"/>
  <c r="G432" i="4" s="1"/>
  <c r="E433" i="4"/>
  <c r="G433" i="4" s="1"/>
  <c r="E434" i="4"/>
  <c r="G434" i="4" s="1"/>
  <c r="E435" i="4"/>
  <c r="G435" i="4" s="1"/>
  <c r="E436" i="4"/>
  <c r="G436" i="4" s="1"/>
  <c r="E437" i="4"/>
  <c r="G437" i="4" s="1"/>
  <c r="E438" i="4"/>
  <c r="F438" i="4" s="1"/>
  <c r="E439" i="4"/>
  <c r="F439" i="4" s="1"/>
  <c r="E440" i="4"/>
  <c r="G440" i="4" s="1"/>
  <c r="E441" i="4"/>
  <c r="G441" i="4" s="1"/>
  <c r="E442" i="4"/>
  <c r="F442" i="4" s="1"/>
  <c r="E443" i="4"/>
  <c r="F443" i="4" s="1"/>
  <c r="E444" i="4"/>
  <c r="G444" i="4" s="1"/>
  <c r="E445" i="4"/>
  <c r="G445" i="4" s="1"/>
  <c r="E446" i="4"/>
  <c r="G446" i="4" s="1"/>
  <c r="E447" i="4"/>
  <c r="F447" i="4" s="1"/>
  <c r="E448" i="4"/>
  <c r="F448" i="4" s="1"/>
  <c r="E449" i="4"/>
  <c r="E450" i="4"/>
  <c r="G450" i="4" s="1"/>
  <c r="E451" i="4"/>
  <c r="G451" i="4" s="1"/>
  <c r="E452" i="4"/>
  <c r="F452" i="4" s="1"/>
  <c r="E453" i="4"/>
  <c r="G453" i="4" s="1"/>
  <c r="E454" i="4"/>
  <c r="G454" i="4" s="1"/>
  <c r="E455" i="4"/>
  <c r="F455" i="4" s="1"/>
  <c r="E456" i="4"/>
  <c r="G456" i="4" s="1"/>
  <c r="E457" i="4"/>
  <c r="G457" i="4" s="1"/>
  <c r="E458" i="4"/>
  <c r="G458" i="4" s="1"/>
  <c r="E459" i="4"/>
  <c r="G459" i="4" s="1"/>
  <c r="E460" i="4"/>
  <c r="F460" i="4" s="1"/>
  <c r="E461" i="4"/>
  <c r="G461" i="4" s="1"/>
  <c r="E462" i="4"/>
  <c r="F462" i="4" s="1"/>
  <c r="E463" i="4"/>
  <c r="F463" i="4" s="1"/>
  <c r="E464" i="4"/>
  <c r="G464" i="4" s="1"/>
  <c r="E465" i="4"/>
  <c r="G465" i="4" s="1"/>
  <c r="E466" i="4"/>
  <c r="G466" i="4" s="1"/>
  <c r="E467" i="4"/>
  <c r="F467" i="4" s="1"/>
  <c r="E468" i="4"/>
  <c r="G468" i="4" s="1"/>
  <c r="E469" i="4"/>
  <c r="G469" i="4" s="1"/>
  <c r="E470" i="4"/>
  <c r="F470" i="4" s="1"/>
  <c r="E471" i="4"/>
  <c r="G471" i="4" s="1"/>
  <c r="E472" i="4"/>
  <c r="G472" i="4" s="1"/>
  <c r="E473" i="4"/>
  <c r="F473" i="4" s="1"/>
  <c r="E474" i="4"/>
  <c r="F474" i="4" s="1"/>
  <c r="E475" i="4"/>
  <c r="F475" i="4" s="1"/>
  <c r="E476" i="4"/>
  <c r="E477" i="4"/>
  <c r="G477" i="4" s="1"/>
  <c r="E478" i="4"/>
  <c r="E479" i="4"/>
  <c r="G479" i="4" s="1"/>
  <c r="E480" i="4"/>
  <c r="G480" i="4" s="1"/>
  <c r="E481" i="4"/>
  <c r="G481" i="4" s="1"/>
  <c r="E482" i="4"/>
  <c r="E483" i="4"/>
  <c r="F483" i="4" s="1"/>
  <c r="E484" i="4"/>
  <c r="G484" i="4" s="1"/>
  <c r="E485" i="4"/>
  <c r="F485" i="4" s="1"/>
  <c r="E486" i="4"/>
  <c r="G486" i="4" s="1"/>
  <c r="E487" i="4"/>
  <c r="G487" i="4" s="1"/>
  <c r="E488" i="4"/>
  <c r="E489" i="4"/>
  <c r="G489" i="4" s="1"/>
  <c r="E490" i="4"/>
  <c r="G490" i="4" s="1"/>
  <c r="E491" i="4"/>
  <c r="G491" i="4" s="1"/>
  <c r="E492" i="4"/>
  <c r="F492" i="4" s="1"/>
  <c r="E493" i="4"/>
  <c r="G493" i="4" s="1"/>
  <c r="E494" i="4"/>
  <c r="F494" i="4" s="1"/>
  <c r="E495" i="4"/>
  <c r="G495" i="4" s="1"/>
  <c r="E496" i="4"/>
  <c r="G496" i="4" s="1"/>
  <c r="E497" i="4"/>
  <c r="G497" i="4" s="1"/>
  <c r="E498" i="4"/>
  <c r="E499" i="4"/>
  <c r="F499" i="4" s="1"/>
  <c r="E500" i="4"/>
  <c r="G500" i="4" s="1"/>
  <c r="E501" i="4"/>
  <c r="G501" i="4" s="1"/>
  <c r="E502" i="4"/>
  <c r="F502" i="4" s="1"/>
  <c r="E503" i="4"/>
  <c r="G503" i="4" s="1"/>
  <c r="E504" i="4"/>
  <c r="F504" i="4" s="1"/>
  <c r="E505" i="4"/>
  <c r="G505" i="4" s="1"/>
  <c r="E506" i="4"/>
  <c r="G506" i="4" s="1"/>
  <c r="E507" i="4"/>
  <c r="F507" i="4" s="1"/>
  <c r="E508" i="4"/>
  <c r="G508" i="4" s="1"/>
  <c r="E509" i="4"/>
  <c r="F509" i="4" s="1"/>
  <c r="E510" i="4"/>
  <c r="G510" i="4" s="1"/>
  <c r="E511" i="4"/>
  <c r="G511" i="4" s="1"/>
  <c r="E512" i="4"/>
  <c r="G512" i="4" s="1"/>
  <c r="E513" i="4"/>
  <c r="G513" i="4" s="1"/>
  <c r="E514" i="4"/>
  <c r="G514" i="4" s="1"/>
  <c r="E515" i="4"/>
  <c r="F515" i="4" s="1"/>
  <c r="E516" i="4"/>
  <c r="F516" i="4" s="1"/>
  <c r="E517" i="4"/>
  <c r="F517" i="4" s="1"/>
  <c r="E518" i="4"/>
  <c r="G518" i="4" s="1"/>
  <c r="E519" i="4"/>
  <c r="F519" i="4" s="1"/>
  <c r="E520" i="4"/>
  <c r="G520" i="4" s="1"/>
  <c r="E521" i="4"/>
  <c r="G521" i="4" s="1"/>
  <c r="E522" i="4"/>
  <c r="G522" i="4" s="1"/>
  <c r="E523" i="4"/>
  <c r="F523" i="4" s="1"/>
  <c r="E524" i="4"/>
  <c r="F524" i="4" s="1"/>
  <c r="E525" i="4"/>
  <c r="E526" i="4"/>
  <c r="F526" i="4" s="1"/>
  <c r="E527" i="4"/>
  <c r="G527" i="4" s="1"/>
  <c r="E528" i="4"/>
  <c r="G528" i="4" s="1"/>
  <c r="E529" i="4"/>
  <c r="G529" i="4" s="1"/>
  <c r="E530" i="4"/>
  <c r="G530" i="4" s="1"/>
  <c r="E531" i="4"/>
  <c r="F531" i="4" s="1"/>
  <c r="E532" i="4"/>
  <c r="G532" i="4" s="1"/>
  <c r="E533" i="4"/>
  <c r="F533" i="4" s="1"/>
  <c r="E534" i="4"/>
  <c r="F534" i="4" s="1"/>
  <c r="E535" i="4"/>
  <c r="G535" i="4" s="1"/>
  <c r="E536" i="4"/>
  <c r="F536" i="4" s="1"/>
  <c r="E537" i="4"/>
  <c r="G537" i="4" s="1"/>
  <c r="E538" i="4"/>
  <c r="F538" i="4" s="1"/>
  <c r="E539" i="4"/>
  <c r="G539" i="4" s="1"/>
  <c r="E540" i="4"/>
  <c r="G540" i="4" s="1"/>
  <c r="E541" i="4"/>
  <c r="F541" i="4" s="1"/>
  <c r="E542" i="4"/>
  <c r="G542" i="4" s="1"/>
  <c r="E543" i="4"/>
  <c r="F543" i="4" s="1"/>
  <c r="E544" i="4"/>
  <c r="E545" i="4"/>
  <c r="G545" i="4" s="1"/>
  <c r="E546" i="4"/>
  <c r="G546" i="4" s="1"/>
  <c r="E547" i="4"/>
  <c r="F547" i="4" s="1"/>
  <c r="E548" i="4"/>
  <c r="G548" i="4" s="1"/>
  <c r="E549" i="4"/>
  <c r="F549" i="4" s="1"/>
  <c r="E550" i="4"/>
  <c r="G550" i="4" s="1"/>
  <c r="E551" i="4"/>
  <c r="G551" i="4" s="1"/>
  <c r="E552" i="4"/>
  <c r="G552" i="4" s="1"/>
  <c r="E553" i="4"/>
  <c r="G553" i="4" s="1"/>
  <c r="E554" i="4"/>
  <c r="G554" i="4" s="1"/>
  <c r="E555" i="4"/>
  <c r="F555" i="4" s="1"/>
  <c r="E556" i="4"/>
  <c r="F556" i="4" s="1"/>
  <c r="E557" i="4"/>
  <c r="E558" i="4"/>
  <c r="F558" i="4" s="1"/>
  <c r="E559" i="4"/>
  <c r="G559" i="4" s="1"/>
  <c r="E560" i="4"/>
  <c r="G560" i="4" s="1"/>
  <c r="E561" i="4"/>
  <c r="G561" i="4" s="1"/>
  <c r="E562" i="4"/>
  <c r="G562" i="4" s="1"/>
  <c r="E563" i="4"/>
  <c r="F563" i="4" s="1"/>
  <c r="E564" i="4"/>
  <c r="G564" i="4" s="1"/>
  <c r="E565" i="4"/>
  <c r="G565" i="4" s="1"/>
  <c r="E566" i="4"/>
  <c r="F566" i="4" s="1"/>
  <c r="E567" i="4"/>
  <c r="G567" i="4" s="1"/>
  <c r="E568" i="4"/>
  <c r="F568" i="4" s="1"/>
  <c r="E569" i="4"/>
  <c r="G569" i="4" s="1"/>
  <c r="E570" i="4"/>
  <c r="G570" i="4" s="1"/>
  <c r="E571" i="4"/>
  <c r="G571" i="4" s="1"/>
  <c r="E572" i="4"/>
  <c r="G572" i="4" s="1"/>
  <c r="E573" i="4"/>
  <c r="G573" i="4" s="1"/>
  <c r="E574" i="4"/>
  <c r="F574" i="4" s="1"/>
  <c r="E575" i="4"/>
  <c r="G575" i="4" s="1"/>
  <c r="E576" i="4"/>
  <c r="F576" i="4" s="1"/>
  <c r="E577" i="4"/>
  <c r="G577" i="4" s="1"/>
  <c r="E578" i="4"/>
  <c r="G578" i="4" s="1"/>
  <c r="E579" i="4"/>
  <c r="F579" i="4" s="1"/>
  <c r="E580" i="4"/>
  <c r="G580" i="4" s="1"/>
  <c r="E581" i="4"/>
  <c r="G581" i="4" s="1"/>
  <c r="E582" i="4"/>
  <c r="F582" i="4" s="1"/>
  <c r="E583" i="4"/>
  <c r="E584" i="4"/>
  <c r="G584" i="4" s="1"/>
  <c r="E585" i="4"/>
  <c r="G585" i="4" s="1"/>
  <c r="E586" i="4"/>
  <c r="F586" i="4" s="1"/>
  <c r="E587" i="4"/>
  <c r="F587" i="4" s="1"/>
  <c r="E588" i="4"/>
  <c r="F588" i="4" s="1"/>
  <c r="E589" i="4"/>
  <c r="G589" i="4" s="1"/>
  <c r="E590" i="4"/>
  <c r="G590" i="4" s="1"/>
  <c r="E591" i="4"/>
  <c r="G591" i="4" s="1"/>
  <c r="E592" i="4"/>
  <c r="G592" i="4" s="1"/>
  <c r="E593" i="4"/>
  <c r="G593" i="4" s="1"/>
  <c r="E594" i="4"/>
  <c r="G594" i="4" s="1"/>
  <c r="E595" i="4"/>
  <c r="F595" i="4" s="1"/>
  <c r="E596" i="4"/>
  <c r="G596" i="4" s="1"/>
  <c r="E597" i="4"/>
  <c r="G597" i="4" s="1"/>
  <c r="E598" i="4"/>
  <c r="F598" i="4" s="1"/>
  <c r="E599" i="4"/>
  <c r="G599" i="4" s="1"/>
  <c r="E600" i="4"/>
  <c r="G600" i="4" s="1"/>
  <c r="E601" i="4"/>
  <c r="E602" i="4"/>
  <c r="G602" i="4" s="1"/>
  <c r="E603" i="4"/>
  <c r="G603" i="4" s="1"/>
  <c r="E604" i="4"/>
  <c r="F604" i="4" s="1"/>
  <c r="E605" i="4"/>
  <c r="G605" i="4" s="1"/>
  <c r="E606" i="4"/>
  <c r="F606" i="4" s="1"/>
  <c r="E607" i="4"/>
  <c r="F607" i="4" s="1"/>
  <c r="E608" i="4"/>
  <c r="G608" i="4" s="1"/>
  <c r="E609" i="4"/>
  <c r="G609" i="4" s="1"/>
  <c r="E610" i="4"/>
  <c r="F610" i="4" s="1"/>
  <c r="E611" i="4"/>
  <c r="F611" i="4" s="1"/>
  <c r="E612" i="4"/>
  <c r="G612" i="4" s="1"/>
  <c r="E613" i="4"/>
  <c r="G613" i="4" s="1"/>
  <c r="E614" i="4"/>
  <c r="F614" i="4" s="1"/>
  <c r="E615" i="4"/>
  <c r="G615" i="4" s="1"/>
  <c r="E616" i="4"/>
  <c r="F616" i="4" s="1"/>
  <c r="E617" i="4"/>
  <c r="G617" i="4" s="1"/>
  <c r="E618" i="4"/>
  <c r="G618" i="4" s="1"/>
  <c r="E619" i="4"/>
  <c r="E620" i="4"/>
  <c r="F620" i="4" s="1"/>
  <c r="E621" i="4"/>
  <c r="G621" i="4" s="1"/>
  <c r="E622" i="4"/>
  <c r="G622" i="4" s="1"/>
  <c r="E623" i="4"/>
  <c r="G623" i="4" s="1"/>
  <c r="E624" i="4"/>
  <c r="G624" i="4" s="1"/>
  <c r="E625" i="4"/>
  <c r="G625" i="4" s="1"/>
  <c r="E626" i="4"/>
  <c r="E627" i="4"/>
  <c r="G627" i="4" s="1"/>
  <c r="E628" i="4"/>
  <c r="G628" i="4" s="1"/>
  <c r="E629" i="4"/>
  <c r="F629" i="4" s="1"/>
  <c r="E630" i="4"/>
  <c r="G630" i="4" s="1"/>
  <c r="E631" i="4"/>
  <c r="G631" i="4" s="1"/>
  <c r="E632" i="4"/>
  <c r="G632" i="4" s="1"/>
  <c r="E633" i="4"/>
  <c r="F633" i="4" s="1"/>
  <c r="E634" i="4"/>
  <c r="F634" i="4" s="1"/>
  <c r="E635" i="4"/>
  <c r="F635" i="4" s="1"/>
  <c r="E636" i="4"/>
  <c r="G636" i="4" s="1"/>
  <c r="E637" i="4"/>
  <c r="G637" i="4" s="1"/>
  <c r="E638" i="4"/>
  <c r="G638" i="4" s="1"/>
  <c r="E639" i="4"/>
  <c r="G639" i="4" s="1"/>
  <c r="E640" i="4"/>
  <c r="G640" i="4" s="1"/>
  <c r="E641" i="4"/>
  <c r="E642" i="4"/>
  <c r="G642" i="4" s="1"/>
  <c r="E643" i="4"/>
  <c r="F643" i="4" s="1"/>
  <c r="E644" i="4"/>
  <c r="G644" i="4" s="1"/>
  <c r="E645" i="4"/>
  <c r="G645" i="4" s="1"/>
  <c r="E646" i="4"/>
  <c r="F646" i="4" s="1"/>
  <c r="E647" i="4"/>
  <c r="G647" i="4" s="1"/>
  <c r="E648" i="4"/>
  <c r="F648" i="4" s="1"/>
  <c r="E649" i="4"/>
  <c r="G649" i="4" s="1"/>
  <c r="E650" i="4"/>
  <c r="G650" i="4" s="1"/>
  <c r="E651" i="4"/>
  <c r="F651" i="4" s="1"/>
  <c r="E652" i="4"/>
  <c r="F652" i="4" s="1"/>
  <c r="E653" i="4"/>
  <c r="G653" i="4" s="1"/>
  <c r="E654" i="4"/>
  <c r="G654" i="4" s="1"/>
  <c r="E655" i="4"/>
  <c r="E656" i="4"/>
  <c r="G656" i="4" s="1"/>
  <c r="E657" i="4"/>
  <c r="G657" i="4" s="1"/>
  <c r="E658" i="4"/>
  <c r="F658" i="4" s="1"/>
  <c r="E659" i="4"/>
  <c r="F659" i="4" s="1"/>
  <c r="E660" i="4"/>
  <c r="G660" i="4" s="1"/>
  <c r="E661" i="4"/>
  <c r="G661" i="4" s="1"/>
  <c r="E662" i="4"/>
  <c r="G662" i="4" s="1"/>
  <c r="E663" i="4"/>
  <c r="G663" i="4" s="1"/>
  <c r="E664" i="4"/>
  <c r="G664" i="4" s="1"/>
  <c r="E665" i="4"/>
  <c r="F665" i="4" s="1"/>
  <c r="E666" i="4"/>
  <c r="G666" i="4" s="1"/>
  <c r="E667" i="4"/>
  <c r="G667" i="4" s="1"/>
  <c r="E668" i="4"/>
  <c r="G668" i="4" s="1"/>
  <c r="E669" i="4"/>
  <c r="G669" i="4" s="1"/>
  <c r="E670" i="4"/>
  <c r="F670" i="4" s="1"/>
  <c r="E671" i="4"/>
  <c r="F671" i="4" s="1"/>
  <c r="E672" i="4"/>
  <c r="G672" i="4" s="1"/>
  <c r="E673" i="4"/>
  <c r="G673" i="4" s="1"/>
  <c r="E674" i="4"/>
  <c r="G674" i="4" s="1"/>
  <c r="E675" i="4"/>
  <c r="F675" i="4" s="1"/>
  <c r="E676" i="4"/>
  <c r="G676" i="4" s="1"/>
  <c r="E677" i="4"/>
  <c r="G677" i="4" s="1"/>
  <c r="E678" i="4"/>
  <c r="G678" i="4" s="1"/>
  <c r="E679" i="4"/>
  <c r="F679" i="4" s="1"/>
  <c r="E680" i="4"/>
  <c r="G680" i="4" s="1"/>
  <c r="E681" i="4"/>
  <c r="G681" i="4" s="1"/>
  <c r="E682" i="4"/>
  <c r="F682" i="4" s="1"/>
  <c r="E683" i="4"/>
  <c r="F683" i="4" s="1"/>
  <c r="E684" i="4"/>
  <c r="E685" i="4"/>
  <c r="F685" i="4" s="1"/>
  <c r="E686" i="4"/>
  <c r="E687" i="4"/>
  <c r="G687" i="4" s="1"/>
  <c r="E688" i="4"/>
  <c r="F688" i="4" s="1"/>
  <c r="E689" i="4"/>
  <c r="F689" i="4" s="1"/>
  <c r="E690" i="4"/>
  <c r="G690" i="4" s="1"/>
  <c r="E691" i="4"/>
  <c r="E692" i="4"/>
  <c r="G692" i="4" s="1"/>
  <c r="E693" i="4"/>
  <c r="G693" i="4" s="1"/>
  <c r="E694" i="4"/>
  <c r="G694" i="4" s="1"/>
  <c r="E695" i="4"/>
  <c r="G695" i="4" s="1"/>
  <c r="E696" i="4"/>
  <c r="G696" i="4" s="1"/>
  <c r="E697" i="4"/>
  <c r="G697" i="4" s="1"/>
  <c r="E698" i="4"/>
  <c r="G698" i="4" s="1"/>
  <c r="E699" i="4"/>
  <c r="E700" i="4"/>
  <c r="F700" i="4" s="1"/>
  <c r="E701" i="4"/>
  <c r="G701" i="4" s="1"/>
  <c r="E702" i="4"/>
  <c r="F702" i="4" s="1"/>
  <c r="E703" i="4"/>
  <c r="F703" i="4" s="1"/>
  <c r="E704" i="4"/>
  <c r="F704" i="4" s="1"/>
  <c r="E705" i="4"/>
  <c r="F705" i="4" s="1"/>
  <c r="E706" i="4"/>
  <c r="G706" i="4" s="1"/>
  <c r="E707" i="4"/>
  <c r="F707" i="4" s="1"/>
  <c r="E708" i="4"/>
  <c r="F708" i="4" s="1"/>
  <c r="E709" i="4"/>
  <c r="G709" i="4" s="1"/>
  <c r="E710" i="4"/>
  <c r="E711" i="4"/>
  <c r="G711" i="4" s="1"/>
  <c r="E712" i="4"/>
  <c r="G712" i="4" s="1"/>
  <c r="E713" i="4"/>
  <c r="G713" i="4" s="1"/>
  <c r="E714" i="4"/>
  <c r="F714" i="4" s="1"/>
  <c r="E715" i="4"/>
  <c r="F715" i="4" s="1"/>
  <c r="E716" i="4"/>
  <c r="F716" i="4" s="1"/>
  <c r="E717" i="4"/>
  <c r="G717" i="4" s="1"/>
  <c r="E718" i="4"/>
  <c r="E719" i="4"/>
  <c r="F719" i="4" s="1"/>
  <c r="E720" i="4"/>
  <c r="G720" i="4" s="1"/>
  <c r="E721" i="4"/>
  <c r="G721" i="4" s="1"/>
  <c r="E722" i="4"/>
  <c r="G722" i="4" s="1"/>
  <c r="E723" i="4"/>
  <c r="F723" i="4" s="1"/>
  <c r="E724" i="4"/>
  <c r="G724" i="4" s="1"/>
  <c r="E725" i="4"/>
  <c r="F725" i="4" s="1"/>
  <c r="E726" i="4"/>
  <c r="F726" i="4" s="1"/>
  <c r="E727" i="4"/>
  <c r="G727" i="4" s="1"/>
  <c r="E728" i="4"/>
  <c r="G728" i="4" s="1"/>
  <c r="E729" i="4"/>
  <c r="F729" i="4" s="1"/>
  <c r="E730" i="4"/>
  <c r="G730" i="4" s="1"/>
  <c r="E731" i="4"/>
  <c r="G731" i="4" s="1"/>
  <c r="E732" i="4"/>
  <c r="F732" i="4" s="1"/>
  <c r="E733" i="4"/>
  <c r="G733" i="4" s="1"/>
  <c r="E734" i="4"/>
  <c r="G734" i="4" s="1"/>
  <c r="E735" i="4"/>
  <c r="G735" i="4" s="1"/>
  <c r="E736" i="4"/>
  <c r="F736" i="4" s="1"/>
  <c r="E737" i="4"/>
  <c r="G737" i="4" s="1"/>
  <c r="E738" i="4"/>
  <c r="G738" i="4" s="1"/>
  <c r="E739" i="4"/>
  <c r="F739" i="4" s="1"/>
  <c r="E740" i="4"/>
  <c r="F740" i="4" s="1"/>
  <c r="E741" i="4"/>
  <c r="G741" i="4" s="1"/>
  <c r="E742" i="4"/>
  <c r="G742" i="4" s="1"/>
  <c r="E743" i="4"/>
  <c r="F743" i="4" s="1"/>
  <c r="E744" i="4"/>
  <c r="F744" i="4" s="1"/>
  <c r="E745" i="4"/>
  <c r="G745" i="4" s="1"/>
  <c r="E746" i="4"/>
  <c r="F746" i="4" s="1"/>
  <c r="E747" i="4"/>
  <c r="E748" i="4"/>
  <c r="E749" i="4"/>
  <c r="G749" i="4" s="1"/>
  <c r="E750" i="4"/>
  <c r="F750" i="4" s="1"/>
  <c r="E751" i="4"/>
  <c r="G751" i="4" s="1"/>
  <c r="E752" i="4"/>
  <c r="G752" i="4" s="1"/>
  <c r="E753" i="4"/>
  <c r="G753" i="4" s="1"/>
  <c r="E754" i="4"/>
  <c r="E755" i="4"/>
  <c r="E756" i="4"/>
  <c r="G756" i="4" s="1"/>
  <c r="E757" i="4"/>
  <c r="G757" i="4" s="1"/>
  <c r="E758" i="4"/>
  <c r="F758" i="4" s="1"/>
  <c r="E759" i="4"/>
  <c r="F759" i="4" s="1"/>
  <c r="E760" i="4"/>
  <c r="G760" i="4" s="1"/>
  <c r="E761" i="4"/>
  <c r="G761" i="4" s="1"/>
  <c r="E762" i="4"/>
  <c r="F762" i="4" s="1"/>
  <c r="E763" i="4"/>
  <c r="F763" i="4" s="1"/>
  <c r="E764" i="4"/>
  <c r="G764" i="4" s="1"/>
  <c r="E765" i="4"/>
  <c r="E766" i="4"/>
  <c r="G766" i="4" s="1"/>
  <c r="E767" i="4"/>
  <c r="G767" i="4" s="1"/>
  <c r="E768" i="4"/>
  <c r="F768" i="4" s="1"/>
  <c r="E769" i="4"/>
  <c r="G769" i="4" s="1"/>
  <c r="E770" i="4"/>
  <c r="F770" i="4" s="1"/>
  <c r="E771" i="4"/>
  <c r="F771" i="4" s="1"/>
  <c r="E772" i="4"/>
  <c r="G772" i="4" s="1"/>
  <c r="E773" i="4"/>
  <c r="G773" i="4" s="1"/>
  <c r="E774" i="4"/>
  <c r="G774" i="4" s="1"/>
  <c r="E775" i="4"/>
  <c r="G775" i="4" s="1"/>
  <c r="E776" i="4"/>
  <c r="G776" i="4" s="1"/>
  <c r="E777" i="4"/>
  <c r="F777" i="4" s="1"/>
  <c r="E778" i="4"/>
  <c r="F778" i="4" s="1"/>
  <c r="E779" i="4"/>
  <c r="F779" i="4" s="1"/>
  <c r="E780" i="4"/>
  <c r="G780" i="4" s="1"/>
  <c r="E781" i="4"/>
  <c r="F781" i="4" s="1"/>
  <c r="E782" i="4"/>
  <c r="G782" i="4" s="1"/>
  <c r="E783" i="4"/>
  <c r="G783" i="4" s="1"/>
  <c r="E784" i="4"/>
  <c r="G784" i="4" s="1"/>
  <c r="E785" i="4"/>
  <c r="G785" i="4" s="1"/>
  <c r="E786" i="4"/>
  <c r="E787" i="4"/>
  <c r="F787" i="4" s="1"/>
  <c r="E788" i="4"/>
  <c r="G788" i="4" s="1"/>
  <c r="E789" i="4"/>
  <c r="G789" i="4" s="1"/>
  <c r="E790" i="4"/>
  <c r="F790" i="4" s="1"/>
  <c r="E791" i="4"/>
  <c r="F791" i="4" s="1"/>
  <c r="E792" i="4"/>
  <c r="F792" i="4" s="1"/>
  <c r="E793" i="4"/>
  <c r="F793" i="4" s="1"/>
  <c r="E794" i="4"/>
  <c r="G794" i="4" s="1"/>
  <c r="E795" i="4"/>
  <c r="G795" i="4" s="1"/>
  <c r="E796" i="4"/>
  <c r="F796" i="4" s="1"/>
  <c r="E797" i="4"/>
  <c r="G797" i="4" s="1"/>
  <c r="E798" i="4"/>
  <c r="F798" i="4" s="1"/>
  <c r="E799" i="4"/>
  <c r="F799" i="4" s="1"/>
  <c r="E800" i="4"/>
  <c r="F800" i="4" s="1"/>
  <c r="E801" i="4"/>
  <c r="G801" i="4" s="1"/>
  <c r="E802" i="4"/>
  <c r="F802" i="4" s="1"/>
  <c r="E803" i="4"/>
  <c r="F803" i="4" s="1"/>
  <c r="E804" i="4"/>
  <c r="F804" i="4" s="1"/>
  <c r="E805" i="4"/>
  <c r="G805" i="4" s="1"/>
  <c r="E806" i="4"/>
  <c r="G806" i="4" s="1"/>
  <c r="E807" i="4"/>
  <c r="G807" i="4" s="1"/>
  <c r="E808" i="4"/>
  <c r="F808" i="4" s="1"/>
  <c r="E809" i="4"/>
  <c r="F809" i="4" s="1"/>
  <c r="E810" i="4"/>
  <c r="G810" i="4" s="1"/>
  <c r="E811" i="4"/>
  <c r="F811" i="4" s="1"/>
  <c r="E812" i="4"/>
  <c r="F812" i="4" s="1"/>
  <c r="E813" i="4"/>
  <c r="F813" i="4" s="1"/>
  <c r="E814" i="4"/>
  <c r="G814" i="4" s="1"/>
  <c r="E815" i="4"/>
  <c r="G815" i="4" s="1"/>
  <c r="E816" i="4"/>
  <c r="G816" i="4" s="1"/>
  <c r="E817" i="4"/>
  <c r="G817" i="4" s="1"/>
  <c r="E818" i="4"/>
  <c r="E819" i="4"/>
  <c r="G819" i="4" s="1"/>
  <c r="E820" i="4"/>
  <c r="G820" i="4" s="1"/>
  <c r="E821" i="4"/>
  <c r="G821" i="4" s="1"/>
  <c r="E822" i="4"/>
  <c r="F822" i="4" s="1"/>
  <c r="E823" i="4"/>
  <c r="G823" i="4" s="1"/>
  <c r="E824" i="4"/>
  <c r="G824" i="4" s="1"/>
  <c r="E825" i="4"/>
  <c r="F825" i="4" s="1"/>
  <c r="E826" i="4"/>
  <c r="G826" i="4" s="1"/>
  <c r="E827" i="4"/>
  <c r="G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G833" i="4" s="1"/>
  <c r="E834" i="4"/>
  <c r="F834" i="4" s="1"/>
  <c r="E835" i="4"/>
  <c r="F835" i="4" s="1"/>
  <c r="E836" i="4"/>
  <c r="G836" i="4" s="1"/>
  <c r="E837" i="4"/>
  <c r="G837" i="4" s="1"/>
  <c r="E838" i="4"/>
  <c r="G838" i="4" s="1"/>
  <c r="E839" i="4"/>
  <c r="E840" i="4"/>
  <c r="G840" i="4" s="1"/>
  <c r="E841" i="4"/>
  <c r="E842" i="4"/>
  <c r="G842" i="4" s="1"/>
  <c r="E843" i="4"/>
  <c r="G843" i="4" s="1"/>
  <c r="E844" i="4"/>
  <c r="F844" i="4" s="1"/>
  <c r="E845" i="4"/>
  <c r="G845" i="4" s="1"/>
  <c r="E846" i="4"/>
  <c r="G846" i="4" s="1"/>
  <c r="E847" i="4"/>
  <c r="F847" i="4" s="1"/>
  <c r="E848" i="4"/>
  <c r="F848" i="4" s="1"/>
  <c r="E849" i="4"/>
  <c r="G849" i="4" s="1"/>
  <c r="E850" i="4"/>
  <c r="F850" i="4" s="1"/>
  <c r="E851" i="4"/>
  <c r="F851" i="4" s="1"/>
  <c r="E852" i="4"/>
  <c r="G852" i="4" s="1"/>
  <c r="E853" i="4"/>
  <c r="G853" i="4" s="1"/>
  <c r="E854" i="4"/>
  <c r="F854" i="4" s="1"/>
  <c r="E855" i="4"/>
  <c r="F855" i="4" s="1"/>
  <c r="E856" i="4"/>
  <c r="G856" i="4" s="1"/>
  <c r="E857" i="4"/>
  <c r="G857" i="4" s="1"/>
  <c r="E858" i="4"/>
  <c r="F858" i="4" s="1"/>
  <c r="E859" i="4"/>
  <c r="G859" i="4" s="1"/>
  <c r="E860" i="4"/>
  <c r="G860" i="4" s="1"/>
  <c r="E861" i="4"/>
  <c r="F861" i="4" s="1"/>
  <c r="E862" i="4"/>
  <c r="F862" i="4" s="1"/>
  <c r="E863" i="4"/>
  <c r="G863" i="4" s="1"/>
  <c r="E864" i="4"/>
  <c r="G864" i="4" s="1"/>
  <c r="E865" i="4"/>
  <c r="F865" i="4" s="1"/>
  <c r="E866" i="4"/>
  <c r="F866" i="4" s="1"/>
  <c r="E867" i="4"/>
  <c r="F867" i="4" s="1"/>
  <c r="E868" i="4"/>
  <c r="G868" i="4" s="1"/>
  <c r="E869" i="4"/>
  <c r="G869" i="4" s="1"/>
  <c r="E870" i="4"/>
  <c r="G870" i="4" s="1"/>
  <c r="E871" i="4"/>
  <c r="G871" i="4" s="1"/>
  <c r="E872" i="4"/>
  <c r="F872" i="4" s="1"/>
  <c r="E873" i="4"/>
  <c r="G873" i="4" s="1"/>
  <c r="E874" i="4"/>
  <c r="G874" i="4" s="1"/>
  <c r="E875" i="4"/>
  <c r="F875" i="4" s="1"/>
  <c r="E876" i="4"/>
  <c r="F876" i="4" s="1"/>
  <c r="E877" i="4"/>
  <c r="G877" i="4" s="1"/>
  <c r="E878" i="4"/>
  <c r="G878" i="4" s="1"/>
  <c r="E879" i="4"/>
  <c r="G879" i="4" s="1"/>
  <c r="E880" i="4"/>
  <c r="G880" i="4" s="1"/>
  <c r="E881" i="4"/>
  <c r="G881" i="4" s="1"/>
  <c r="E882" i="4"/>
  <c r="G882" i="4" s="1"/>
  <c r="E883" i="4"/>
  <c r="G883" i="4" s="1"/>
  <c r="E884" i="4"/>
  <c r="G884" i="4" s="1"/>
  <c r="E885" i="4"/>
  <c r="G885" i="4" s="1"/>
  <c r="E886" i="4"/>
  <c r="G886" i="4" s="1"/>
  <c r="E887" i="4"/>
  <c r="G887" i="4" s="1"/>
  <c r="E888" i="4"/>
  <c r="F888" i="4" s="1"/>
  <c r="E889" i="4"/>
  <c r="G889" i="4" s="1"/>
  <c r="E890" i="4"/>
  <c r="F890" i="4" s="1"/>
  <c r="E891" i="4"/>
  <c r="F891" i="4" s="1"/>
  <c r="E892" i="4"/>
  <c r="G892" i="4" s="1"/>
  <c r="E893" i="4"/>
  <c r="E894" i="4"/>
  <c r="F894" i="4" s="1"/>
  <c r="E895" i="4"/>
  <c r="G895" i="4" s="1"/>
  <c r="E896" i="4"/>
  <c r="F896" i="4" s="1"/>
  <c r="E897" i="4"/>
  <c r="F897" i="4" s="1"/>
  <c r="E898" i="4"/>
  <c r="G898" i="4" s="1"/>
  <c r="E899" i="4"/>
  <c r="F899" i="4" s="1"/>
  <c r="E900" i="4"/>
  <c r="E901" i="4"/>
  <c r="G901" i="4" s="1"/>
  <c r="E902" i="4"/>
  <c r="G902" i="4" s="1"/>
  <c r="E903" i="4"/>
  <c r="G903" i="4" s="1"/>
  <c r="E904" i="4"/>
  <c r="G904" i="4" s="1"/>
  <c r="E905" i="4"/>
  <c r="G905" i="4" s="1"/>
  <c r="E906" i="4"/>
  <c r="G906" i="4" s="1"/>
  <c r="E907" i="4"/>
  <c r="F907" i="4" s="1"/>
  <c r="E908" i="4"/>
  <c r="F908" i="4" s="1"/>
  <c r="E909" i="4"/>
  <c r="F909" i="4" s="1"/>
  <c r="E910" i="4"/>
  <c r="G910" i="4" s="1"/>
  <c r="E911" i="4"/>
  <c r="G911" i="4" s="1"/>
  <c r="E912" i="4"/>
  <c r="G912" i="4" s="1"/>
  <c r="E913" i="4"/>
  <c r="F913" i="4" s="1"/>
  <c r="E914" i="4"/>
  <c r="G914" i="4" s="1"/>
  <c r="E915" i="4"/>
  <c r="F915" i="4" s="1"/>
  <c r="E916" i="4"/>
  <c r="G916" i="4" s="1"/>
  <c r="E917" i="4"/>
  <c r="G917" i="4" s="1"/>
  <c r="E918" i="4"/>
  <c r="G918" i="4" s="1"/>
  <c r="E919" i="4"/>
  <c r="F919" i="4" s="1"/>
  <c r="E920" i="4"/>
  <c r="G920" i="4" s="1"/>
  <c r="E921" i="4"/>
  <c r="F921" i="4" s="1"/>
  <c r="E922" i="4"/>
  <c r="E923" i="4"/>
  <c r="E924" i="4"/>
  <c r="G924" i="4" s="1"/>
  <c r="E925" i="4"/>
  <c r="G925" i="4" s="1"/>
  <c r="E926" i="4"/>
  <c r="F926" i="4" s="1"/>
  <c r="E927" i="4"/>
  <c r="G927" i="4" s="1"/>
  <c r="E928" i="4"/>
  <c r="F928" i="4" s="1"/>
  <c r="E929" i="4"/>
  <c r="G929" i="4" s="1"/>
  <c r="E930" i="4"/>
  <c r="F930" i="4" s="1"/>
  <c r="E931" i="4"/>
  <c r="F931" i="4" s="1"/>
  <c r="E932" i="4"/>
  <c r="G932" i="4" s="1"/>
  <c r="E933" i="4"/>
  <c r="G933" i="4" s="1"/>
  <c r="E934" i="4"/>
  <c r="G934" i="4" s="1"/>
  <c r="E935" i="4"/>
  <c r="G935" i="4" s="1"/>
  <c r="E936" i="4"/>
  <c r="G936" i="4" s="1"/>
  <c r="E937" i="4"/>
  <c r="F937" i="4" s="1"/>
  <c r="E938" i="4"/>
  <c r="G938" i="4" s="1"/>
  <c r="E939" i="4"/>
  <c r="F939" i="4" s="1"/>
  <c r="E940" i="4"/>
  <c r="F940" i="4" s="1"/>
  <c r="E941" i="4"/>
  <c r="G941" i="4" s="1"/>
  <c r="E942" i="4"/>
  <c r="G942" i="4" s="1"/>
  <c r="E943" i="4"/>
  <c r="G943" i="4" s="1"/>
  <c r="E944" i="4"/>
  <c r="G944" i="4" s="1"/>
  <c r="E945" i="4"/>
  <c r="G945" i="4" s="1"/>
  <c r="E946" i="4"/>
  <c r="F946" i="4" s="1"/>
  <c r="E947" i="4"/>
  <c r="G947" i="4" s="1"/>
  <c r="E948" i="4"/>
  <c r="G948" i="4" s="1"/>
  <c r="E949" i="4"/>
  <c r="G949" i="4" s="1"/>
  <c r="E950" i="4"/>
  <c r="G950" i="4" s="1"/>
  <c r="E951" i="4"/>
  <c r="G951" i="4" s="1"/>
  <c r="E952" i="4"/>
  <c r="G952" i="4" s="1"/>
  <c r="E953" i="4"/>
  <c r="G953" i="4" s="1"/>
  <c r="E954" i="4"/>
  <c r="G954" i="4" s="1"/>
  <c r="E955" i="4"/>
  <c r="F955" i="4" s="1"/>
  <c r="E956" i="4"/>
  <c r="G956" i="4" s="1"/>
  <c r="E957" i="4"/>
  <c r="G957" i="4" s="1"/>
  <c r="E958" i="4"/>
  <c r="E959" i="4"/>
  <c r="F959" i="4" s="1"/>
  <c r="E960" i="4"/>
  <c r="G960" i="4" s="1"/>
  <c r="E961" i="4"/>
  <c r="G961" i="4" s="1"/>
  <c r="E962" i="4"/>
  <c r="E963" i="4"/>
  <c r="F963" i="4" s="1"/>
  <c r="E964" i="4"/>
  <c r="F964" i="4" s="1"/>
  <c r="E965" i="4"/>
  <c r="G965" i="4" s="1"/>
  <c r="E966" i="4"/>
  <c r="G966" i="4" s="1"/>
  <c r="E967" i="4"/>
  <c r="F967" i="4" s="1"/>
  <c r="E968" i="4"/>
  <c r="G968" i="4" s="1"/>
  <c r="E969" i="4"/>
  <c r="F969" i="4" s="1"/>
  <c r="E970" i="4"/>
  <c r="G970" i="4" s="1"/>
  <c r="E971" i="4"/>
  <c r="F971" i="4" s="1"/>
  <c r="E972" i="4"/>
  <c r="F972" i="4" s="1"/>
  <c r="E973" i="4"/>
  <c r="E974" i="4"/>
  <c r="F974" i="4" s="1"/>
  <c r="E975" i="4"/>
  <c r="G975" i="4" s="1"/>
  <c r="E976" i="4"/>
  <c r="G976" i="4" s="1"/>
  <c r="E977" i="4"/>
  <c r="G977" i="4" s="1"/>
  <c r="E978" i="4"/>
  <c r="F978" i="4" s="1"/>
  <c r="E979" i="4"/>
  <c r="F979" i="4" s="1"/>
  <c r="E980" i="4"/>
  <c r="G980" i="4" s="1"/>
  <c r="E981" i="4"/>
  <c r="G981" i="4" s="1"/>
  <c r="E982" i="4"/>
  <c r="G982" i="4" s="1"/>
  <c r="E983" i="4"/>
  <c r="G983" i="4" s="1"/>
  <c r="E984" i="4"/>
  <c r="G984" i="4" s="1"/>
  <c r="E985" i="4"/>
  <c r="G985" i="4" s="1"/>
  <c r="E986" i="4"/>
  <c r="G986" i="4" s="1"/>
  <c r="E987" i="4"/>
  <c r="G987" i="4" s="1"/>
  <c r="E988" i="4"/>
  <c r="G988" i="4" s="1"/>
  <c r="E989" i="4"/>
  <c r="G989" i="4" s="1"/>
  <c r="E990" i="4"/>
  <c r="F990" i="4" s="1"/>
  <c r="E991" i="4"/>
  <c r="F991" i="4" s="1"/>
  <c r="E992" i="4"/>
  <c r="G992" i="4" s="1"/>
  <c r="E993" i="4"/>
  <c r="G993" i="4" s="1"/>
  <c r="E994" i="4"/>
  <c r="G994" i="4" s="1"/>
  <c r="E995" i="4"/>
  <c r="F995" i="4" s="1"/>
  <c r="E996" i="4"/>
  <c r="G996" i="4" s="1"/>
  <c r="E997" i="4"/>
  <c r="G997" i="4" s="1"/>
  <c r="E998" i="4"/>
  <c r="F998" i="4" s="1"/>
  <c r="E999" i="4"/>
  <c r="G999" i="4" s="1"/>
  <c r="E1000" i="4"/>
  <c r="G1000" i="4" s="1"/>
  <c r="E1001" i="4"/>
  <c r="G1001" i="4" s="1"/>
  <c r="E1002" i="4"/>
  <c r="G1002" i="4" s="1"/>
  <c r="E1003" i="4"/>
  <c r="F1003" i="4" s="1"/>
  <c r="E1004" i="4"/>
  <c r="F1004" i="4" s="1"/>
  <c r="E1005" i="4"/>
  <c r="G1005" i="4" s="1"/>
  <c r="E1006" i="4"/>
  <c r="G1006" i="4" s="1"/>
  <c r="E1007" i="4"/>
  <c r="F1007" i="4" s="1"/>
  <c r="E1008" i="4"/>
  <c r="G1008" i="4" s="1"/>
  <c r="E1009" i="4"/>
  <c r="G1009" i="4" s="1"/>
  <c r="E1010" i="4"/>
  <c r="G1010" i="4" s="1"/>
  <c r="E1011" i="4"/>
  <c r="G1011" i="4" s="1"/>
  <c r="E1012" i="4"/>
  <c r="G1012" i="4" s="1"/>
  <c r="E1013" i="4"/>
  <c r="G1013" i="4" s="1"/>
  <c r="E1014" i="4"/>
  <c r="G1014" i="4" s="1"/>
  <c r="E1015" i="4"/>
  <c r="F1015" i="4" s="1"/>
  <c r="E1016" i="4"/>
  <c r="G1016" i="4" s="1"/>
  <c r="E1017" i="4"/>
  <c r="G1017" i="4" s="1"/>
  <c r="E1018" i="4"/>
  <c r="F1018" i="4" s="1"/>
  <c r="E1019" i="4"/>
  <c r="F1019" i="4" s="1"/>
  <c r="E1020" i="4"/>
  <c r="G1020" i="4" s="1"/>
  <c r="E1021" i="4"/>
  <c r="G1021" i="4" s="1"/>
  <c r="E1022" i="4"/>
  <c r="F1022" i="4" s="1"/>
  <c r="E1023" i="4"/>
  <c r="F1023" i="4" s="1"/>
  <c r="E1024" i="4"/>
  <c r="G1024" i="4" s="1"/>
  <c r="E1025" i="4"/>
  <c r="G1025" i="4" s="1"/>
  <c r="E1026" i="4"/>
  <c r="G1026" i="4" s="1"/>
  <c r="E1027" i="4"/>
  <c r="F1027" i="4" s="1"/>
  <c r="E1028" i="4"/>
  <c r="F1028" i="4" s="1"/>
  <c r="E1029" i="4"/>
  <c r="F1029" i="4" s="1"/>
  <c r="E1030" i="4"/>
  <c r="G1030" i="4" s="1"/>
  <c r="E1031" i="4"/>
  <c r="F1031" i="4" s="1"/>
  <c r="E1032" i="4"/>
  <c r="G1032" i="4" s="1"/>
  <c r="E1033" i="4"/>
  <c r="G1033" i="4" s="1"/>
  <c r="E1034" i="4"/>
  <c r="G1034" i="4" s="1"/>
  <c r="E1035" i="4"/>
  <c r="F1035" i="4" s="1"/>
  <c r="E1036" i="4"/>
  <c r="F1036" i="4" s="1"/>
  <c r="E1037" i="4"/>
  <c r="F1037" i="4" s="1"/>
  <c r="E1038" i="4"/>
  <c r="G1038" i="4" s="1"/>
  <c r="E1039" i="4"/>
  <c r="G1039" i="4" s="1"/>
  <c r="E1040" i="4"/>
  <c r="F1040" i="4" s="1"/>
  <c r="E1041" i="4"/>
  <c r="F1041" i="4" s="1"/>
  <c r="E1042" i="4"/>
  <c r="F1042" i="4" s="1"/>
  <c r="E1043" i="4"/>
  <c r="F1043" i="4" s="1"/>
  <c r="E1044" i="4"/>
  <c r="G1044" i="4" s="1"/>
  <c r="E1045" i="4"/>
  <c r="G1045" i="4" s="1"/>
  <c r="E1046" i="4"/>
  <c r="F1046" i="4" s="1"/>
  <c r="E1047" i="4"/>
  <c r="G1047" i="4" s="1"/>
  <c r="E1048" i="4"/>
  <c r="G1048" i="4" s="1"/>
  <c r="E1049" i="4"/>
  <c r="F1049" i="4" s="1"/>
  <c r="E1050" i="4"/>
  <c r="F1050" i="4" s="1"/>
  <c r="E1051" i="4"/>
  <c r="E1052" i="4"/>
  <c r="F1052" i="4" s="1"/>
  <c r="E1053" i="4"/>
  <c r="G1053" i="4" s="1"/>
  <c r="E1054" i="4"/>
  <c r="F1054" i="4" s="1"/>
  <c r="E1055" i="4"/>
  <c r="F1055" i="4" s="1"/>
  <c r="E1056" i="4"/>
  <c r="G1056" i="4" s="1"/>
  <c r="E1057" i="4"/>
  <c r="F1057" i="4" s="1"/>
  <c r="E1058" i="4"/>
  <c r="G1058" i="4" s="1"/>
  <c r="E1059" i="4"/>
  <c r="F1059" i="4" s="1"/>
  <c r="E1060" i="4"/>
  <c r="G1060" i="4" s="1"/>
  <c r="E1061" i="4"/>
  <c r="E1062" i="4"/>
  <c r="G1062" i="4" s="1"/>
  <c r="E1063" i="4"/>
  <c r="F1063" i="4" s="1"/>
  <c r="E1064" i="4"/>
  <c r="G1064" i="4" s="1"/>
  <c r="E1065" i="4"/>
  <c r="G1065" i="4" s="1"/>
  <c r="E1066" i="4"/>
  <c r="E1067" i="4"/>
  <c r="F1067" i="4" s="1"/>
  <c r="E1068" i="4"/>
  <c r="F1068" i="4" s="1"/>
  <c r="E1069" i="4"/>
  <c r="F1069" i="4" s="1"/>
  <c r="E1070" i="4"/>
  <c r="G1070" i="4" s="1"/>
  <c r="E1071" i="4"/>
  <c r="F1071" i="4" s="1"/>
  <c r="E1072" i="4"/>
  <c r="F1072" i="4" s="1"/>
  <c r="E1073" i="4"/>
  <c r="G1073" i="4" s="1"/>
  <c r="E1074" i="4"/>
  <c r="G1074" i="4" s="1"/>
  <c r="E1075" i="4"/>
  <c r="G1075" i="4" s="1"/>
  <c r="E1076" i="4"/>
  <c r="G1076" i="4" s="1"/>
  <c r="E1077" i="4"/>
  <c r="G1077" i="4" s="1"/>
  <c r="E1078" i="4"/>
  <c r="F1078" i="4" s="1"/>
  <c r="E1079" i="4"/>
  <c r="G1079" i="4" s="1"/>
  <c r="E1080" i="4"/>
  <c r="G1080" i="4" s="1"/>
  <c r="E1081" i="4"/>
  <c r="F1081" i="4" s="1"/>
  <c r="E1082" i="4"/>
  <c r="F1082" i="4" s="1"/>
  <c r="E1083" i="4"/>
  <c r="E1084" i="4"/>
  <c r="G1084" i="4" s="1"/>
  <c r="E1085" i="4"/>
  <c r="E1086" i="4"/>
  <c r="F1086" i="4" s="1"/>
  <c r="E1087" i="4"/>
  <c r="F1087" i="4" s="1"/>
  <c r="E1088" i="4"/>
  <c r="F1088" i="4" s="1"/>
  <c r="E1089" i="4"/>
  <c r="G1089" i="4" s="1"/>
  <c r="E1090" i="4"/>
  <c r="E1091" i="4"/>
  <c r="F1091" i="4" s="1"/>
  <c r="E1092" i="4"/>
  <c r="F1092" i="4" s="1"/>
  <c r="E1093" i="4"/>
  <c r="G1093" i="4" s="1"/>
  <c r="E1094" i="4"/>
  <c r="G1094" i="4" s="1"/>
  <c r="E1095" i="4"/>
  <c r="F1095" i="4" s="1"/>
  <c r="E1096" i="4"/>
  <c r="F1096" i="4" s="1"/>
  <c r="E1097" i="4"/>
  <c r="G1097" i="4" s="1"/>
  <c r="E1098" i="4"/>
  <c r="G1098" i="4" s="1"/>
  <c r="E1099" i="4"/>
  <c r="F1099" i="4" s="1"/>
  <c r="E1100" i="4"/>
  <c r="F1100" i="4" s="1"/>
  <c r="E1101" i="4"/>
  <c r="G1101" i="4" s="1"/>
  <c r="E1102" i="4"/>
  <c r="G1102" i="4" s="1"/>
  <c r="E1103" i="4"/>
  <c r="F1103" i="4" s="1"/>
  <c r="E1104" i="4"/>
  <c r="F1104" i="4" s="1"/>
  <c r="E1105" i="4"/>
  <c r="G1105" i="4" s="1"/>
  <c r="E1106" i="4"/>
  <c r="G1106" i="4" s="1"/>
  <c r="E1107" i="4"/>
  <c r="F1107" i="4" s="1"/>
  <c r="E1108" i="4"/>
  <c r="G1108" i="4" s="1"/>
  <c r="E1109" i="4"/>
  <c r="G1109" i="4" s="1"/>
  <c r="E1110" i="4"/>
  <c r="F1110" i="4" s="1"/>
  <c r="E1111" i="4"/>
  <c r="F1111" i="4" s="1"/>
  <c r="E1112" i="4"/>
  <c r="G1112" i="4" s="1"/>
  <c r="E1113" i="4"/>
  <c r="G1113" i="4" s="1"/>
  <c r="E1114" i="4"/>
  <c r="G1114" i="4" s="1"/>
  <c r="E1115" i="4"/>
  <c r="G1115" i="4" s="1"/>
  <c r="E1116" i="4"/>
  <c r="G1116" i="4" s="1"/>
  <c r="E1117" i="4"/>
  <c r="G1117" i="4" s="1"/>
  <c r="E1118" i="4"/>
  <c r="F1118" i="4" s="1"/>
  <c r="E1119" i="4"/>
  <c r="G1119" i="4" s="1"/>
  <c r="E1120" i="4"/>
  <c r="F1120" i="4" s="1"/>
  <c r="E1121" i="4"/>
  <c r="F1121" i="4" s="1"/>
  <c r="E1122" i="4"/>
  <c r="G1122" i="4" s="1"/>
  <c r="E1123" i="4"/>
  <c r="E1124" i="4"/>
  <c r="G1124" i="4" s="1"/>
  <c r="E1125" i="4"/>
  <c r="G1125" i="4" s="1"/>
  <c r="E1126" i="4"/>
  <c r="G1126" i="4" s="1"/>
  <c r="E1127" i="4"/>
  <c r="G1127" i="4" s="1"/>
  <c r="E1128" i="4"/>
  <c r="G1128" i="4" s="1"/>
  <c r="E1129" i="4"/>
  <c r="G1129" i="4" s="1"/>
  <c r="E1130" i="4"/>
  <c r="G1130" i="4" s="1"/>
  <c r="E1131" i="4"/>
  <c r="F1131" i="4" s="1"/>
  <c r="E1132" i="4"/>
  <c r="F1132" i="4" s="1"/>
  <c r="E1133" i="4"/>
  <c r="G1133" i="4" s="1"/>
  <c r="E1134" i="4"/>
  <c r="F1134" i="4" s="1"/>
  <c r="E1135" i="4"/>
  <c r="F1135" i="4" s="1"/>
  <c r="E1136" i="4"/>
  <c r="G1136" i="4" s="1"/>
  <c r="E1137" i="4"/>
  <c r="F1137" i="4" s="1"/>
  <c r="E1138" i="4"/>
  <c r="F1138" i="4" s="1"/>
  <c r="E1139" i="4"/>
  <c r="G1139" i="4" s="1"/>
  <c r="E1140" i="4"/>
  <c r="G1140" i="4" s="1"/>
  <c r="E1141" i="4"/>
  <c r="G1141" i="4" s="1"/>
  <c r="E1142" i="4"/>
  <c r="G1142" i="4" s="1"/>
  <c r="E1143" i="4"/>
  <c r="F1143" i="4" s="1"/>
  <c r="E1144" i="4"/>
  <c r="G1144" i="4" s="1"/>
  <c r="E1145" i="4"/>
  <c r="F1145" i="4" s="1"/>
  <c r="E1146" i="4"/>
  <c r="F1146" i="4" s="1"/>
  <c r="E1147" i="4"/>
  <c r="F1147" i="4" s="1"/>
  <c r="E1148" i="4"/>
  <c r="G1148" i="4" s="1"/>
  <c r="E1149" i="4"/>
  <c r="G1149" i="4" s="1"/>
  <c r="E1150" i="4"/>
  <c r="F1150" i="4" s="1"/>
  <c r="E1151" i="4"/>
  <c r="G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G1157" i="4" s="1"/>
  <c r="E1158" i="4"/>
  <c r="G1158" i="4" s="1"/>
  <c r="E1159" i="4"/>
  <c r="G1159" i="4" s="1"/>
  <c r="E1160" i="4"/>
  <c r="G1160" i="4" s="1"/>
  <c r="E1161" i="4"/>
  <c r="G1161" i="4" s="1"/>
  <c r="E1162" i="4"/>
  <c r="G1162" i="4" s="1"/>
  <c r="E1163" i="4"/>
  <c r="F1163" i="4" s="1"/>
  <c r="E1164" i="4"/>
  <c r="F1164" i="4" s="1"/>
  <c r="E1165" i="4"/>
  <c r="G1165" i="4" s="1"/>
  <c r="E1166" i="4"/>
  <c r="G1166" i="4" s="1"/>
  <c r="E1167" i="4"/>
  <c r="G1167" i="4" s="1"/>
  <c r="E1168" i="4"/>
  <c r="G1168" i="4" s="1"/>
  <c r="E1169" i="4"/>
  <c r="G1169" i="4" s="1"/>
  <c r="E1170" i="4"/>
  <c r="G1170" i="4" s="1"/>
  <c r="E1171" i="4"/>
  <c r="F1171" i="4" s="1"/>
  <c r="E1172" i="4"/>
  <c r="G1172" i="4" s="1"/>
  <c r="E1173" i="4"/>
  <c r="G1173" i="4" s="1"/>
  <c r="E1174" i="4"/>
  <c r="F1174" i="4" s="1"/>
  <c r="E1175" i="4"/>
  <c r="G1175" i="4" s="1"/>
  <c r="E1176" i="4"/>
  <c r="G1176" i="4" s="1"/>
  <c r="E1177" i="4"/>
  <c r="G1177" i="4" s="1"/>
  <c r="E1178" i="4"/>
  <c r="F1178" i="4" s="1"/>
  <c r="E1179" i="4"/>
  <c r="G1179" i="4" s="1"/>
  <c r="E1180" i="4"/>
  <c r="E1181" i="4"/>
  <c r="G1181" i="4" s="1"/>
  <c r="E1182" i="4"/>
  <c r="F1182" i="4" s="1"/>
  <c r="E1183" i="4"/>
  <c r="G1183" i="4" s="1"/>
  <c r="E1184" i="4"/>
  <c r="F1184" i="4" s="1"/>
  <c r="E1185" i="4"/>
  <c r="G1185" i="4" s="1"/>
  <c r="E1186" i="4"/>
  <c r="G1186" i="4" s="1"/>
  <c r="E1187" i="4"/>
  <c r="F1187" i="4" s="1"/>
  <c r="E1188" i="4"/>
  <c r="G1188" i="4" s="1"/>
  <c r="E1189" i="4"/>
  <c r="G1189" i="4" s="1"/>
  <c r="E1190" i="4"/>
  <c r="G1190" i="4" s="1"/>
  <c r="E1191" i="4"/>
  <c r="G1191" i="4" s="1"/>
  <c r="E1192" i="4"/>
  <c r="E1193" i="4"/>
  <c r="G1193" i="4" s="1"/>
  <c r="E1194" i="4"/>
  <c r="G1194" i="4" s="1"/>
  <c r="E1195" i="4"/>
  <c r="F1195" i="4" s="1"/>
  <c r="E1196" i="4"/>
  <c r="E1197" i="4"/>
  <c r="G1197" i="4" s="1"/>
  <c r="E1198" i="4"/>
  <c r="G1198" i="4" s="1"/>
  <c r="E1199" i="4"/>
  <c r="F1199" i="4" s="1"/>
  <c r="E1200" i="4"/>
  <c r="G1200" i="4" s="1"/>
  <c r="E1201" i="4"/>
  <c r="G1201" i="4" s="1"/>
  <c r="E1202" i="4"/>
  <c r="G1202" i="4" s="1"/>
  <c r="E1203" i="4"/>
  <c r="G1203" i="4" s="1"/>
  <c r="E1204" i="4"/>
  <c r="G1204" i="4" s="1"/>
  <c r="E1205" i="4"/>
  <c r="G1205" i="4" s="1"/>
  <c r="E1206" i="4"/>
  <c r="G1206" i="4" s="1"/>
  <c r="E1207" i="4"/>
  <c r="G1207" i="4" s="1"/>
  <c r="E1208" i="4"/>
  <c r="G1208" i="4" s="1"/>
  <c r="E1209" i="4"/>
  <c r="F1209" i="4" s="1"/>
  <c r="E1210" i="4"/>
  <c r="F1210" i="4" s="1"/>
  <c r="E1211" i="4"/>
  <c r="F1211" i="4" s="1"/>
  <c r="E1212" i="4"/>
  <c r="G1212" i="4" s="1"/>
  <c r="E1213" i="4"/>
  <c r="F1213" i="4" s="1"/>
  <c r="E1214" i="4"/>
  <c r="G1214" i="4" s="1"/>
  <c r="E1215" i="4"/>
  <c r="G1215" i="4" s="1"/>
  <c r="E1216" i="4"/>
  <c r="F1216" i="4" s="1"/>
  <c r="E1217" i="4"/>
  <c r="G1217" i="4" s="1"/>
  <c r="E1218" i="4"/>
  <c r="F1218" i="4" s="1"/>
  <c r="E1219" i="4"/>
  <c r="G1219" i="4" s="1"/>
  <c r="E1220" i="4"/>
  <c r="G1220" i="4" s="1"/>
  <c r="E1221" i="4"/>
  <c r="F1221" i="4" s="1"/>
  <c r="E1222" i="4"/>
  <c r="G1222" i="4" s="1"/>
  <c r="E1223" i="4"/>
  <c r="G1223" i="4" s="1"/>
  <c r="E1224" i="4"/>
  <c r="G1224" i="4" s="1"/>
  <c r="E1225" i="4"/>
  <c r="G1225" i="4" s="1"/>
  <c r="E1226" i="4"/>
  <c r="E1227" i="4"/>
  <c r="G1227" i="4" s="1"/>
  <c r="E1228" i="4"/>
  <c r="F1228" i="4" s="1"/>
  <c r="E1229" i="4"/>
  <c r="F1229" i="4" s="1"/>
  <c r="E1230" i="4"/>
  <c r="G1230" i="4" s="1"/>
  <c r="E1231" i="4"/>
  <c r="G1231" i="4" s="1"/>
  <c r="E1232" i="4"/>
  <c r="G1232" i="4" s="1"/>
  <c r="E1233" i="4"/>
  <c r="G1233" i="4" s="1"/>
  <c r="E1234" i="4"/>
  <c r="G1234" i="4" s="1"/>
  <c r="E1235" i="4"/>
  <c r="F1235" i="4" s="1"/>
  <c r="E1236" i="4"/>
  <c r="G1236" i="4" s="1"/>
  <c r="E1237" i="4"/>
  <c r="F1237" i="4" s="1"/>
  <c r="E1238" i="4"/>
  <c r="G1238" i="4" s="1"/>
  <c r="E1239" i="4"/>
  <c r="G1239" i="4" s="1"/>
  <c r="E1240" i="4"/>
  <c r="G1240" i="4" s="1"/>
  <c r="E1241" i="4"/>
  <c r="G1241" i="4" s="1"/>
  <c r="E1242" i="4"/>
  <c r="G1242" i="4" s="1"/>
  <c r="E1243" i="4"/>
  <c r="G1243" i="4" s="1"/>
  <c r="E1244" i="4"/>
  <c r="F1244" i="4" s="1"/>
  <c r="E1245" i="4"/>
  <c r="G1245" i="4" s="1"/>
  <c r="E1246" i="4"/>
  <c r="G1246" i="4" s="1"/>
  <c r="E1247" i="4"/>
  <c r="G1247" i="4" s="1"/>
  <c r="E1248" i="4"/>
  <c r="G1248" i="4" s="1"/>
  <c r="E1249" i="4"/>
  <c r="G1249" i="4" s="1"/>
  <c r="E1250" i="4"/>
  <c r="F1250" i="4" s="1"/>
  <c r="E1251" i="4"/>
  <c r="F1251" i="4" s="1"/>
  <c r="E1252" i="4"/>
  <c r="E1253" i="4"/>
  <c r="E1254" i="4"/>
  <c r="G1254" i="4" s="1"/>
  <c r="E1255" i="4"/>
  <c r="F1255" i="4" s="1"/>
  <c r="E1256" i="4"/>
  <c r="G1256" i="4" s="1"/>
  <c r="E1257" i="4"/>
  <c r="F1257" i="4" s="1"/>
  <c r="E1258" i="4"/>
  <c r="G1258" i="4" s="1"/>
  <c r="E1259" i="4"/>
  <c r="G1259" i="4" s="1"/>
  <c r="E1260" i="4"/>
  <c r="F1260" i="4" s="1"/>
  <c r="E1261" i="4"/>
  <c r="F1261" i="4" s="1"/>
  <c r="E1262" i="4"/>
  <c r="F1262" i="4" s="1"/>
  <c r="E1263" i="4"/>
  <c r="F1263" i="4" s="1"/>
  <c r="E1264" i="4"/>
  <c r="E1265" i="4"/>
  <c r="G1265" i="4" s="1"/>
  <c r="E1266" i="4"/>
  <c r="F1266" i="4" s="1"/>
  <c r="E1267" i="4"/>
  <c r="G1267" i="4" s="1"/>
  <c r="E1268" i="4"/>
  <c r="G1268" i="4" s="1"/>
  <c r="E1269" i="4"/>
  <c r="E1270" i="4"/>
  <c r="G1270" i="4" s="1"/>
  <c r="E1271" i="4"/>
  <c r="G1271" i="4" s="1"/>
  <c r="E1272" i="4"/>
  <c r="F1272" i="4" s="1"/>
  <c r="E1273" i="4"/>
  <c r="G1273" i="4" s="1"/>
  <c r="E1274" i="4"/>
  <c r="G1274" i="4" s="1"/>
  <c r="E1275" i="4"/>
  <c r="G1275" i="4" s="1"/>
  <c r="E1276" i="4"/>
  <c r="G1276" i="4" s="1"/>
  <c r="E1277" i="4"/>
  <c r="G1277" i="4" s="1"/>
  <c r="E1278" i="4"/>
  <c r="F1278" i="4" s="1"/>
  <c r="E1279" i="4"/>
  <c r="G1279" i="4" s="1"/>
  <c r="E1280" i="4"/>
  <c r="G1280" i="4" s="1"/>
  <c r="E1281" i="4"/>
  <c r="F1281" i="4" s="1"/>
  <c r="E1282" i="4"/>
  <c r="G1282" i="4" s="1"/>
  <c r="E1283" i="4"/>
  <c r="G1283" i="4" s="1"/>
  <c r="E1284" i="4"/>
  <c r="E1285" i="4"/>
  <c r="G1285" i="4" s="1"/>
  <c r="E1286" i="4"/>
  <c r="G1286" i="4" s="1"/>
  <c r="E1287" i="4"/>
  <c r="G1287" i="4" s="1"/>
  <c r="E1288" i="4"/>
  <c r="G1288" i="4" s="1"/>
  <c r="E1289" i="4"/>
  <c r="G1289" i="4" s="1"/>
  <c r="E1290" i="4"/>
  <c r="E1291" i="4"/>
  <c r="G1291" i="4" s="1"/>
  <c r="E1292" i="4"/>
  <c r="F1292" i="4" s="1"/>
  <c r="E1293" i="4"/>
  <c r="G1293" i="4" s="1"/>
  <c r="E1294" i="4"/>
  <c r="F1294" i="4" s="1"/>
  <c r="E1295" i="4"/>
  <c r="G1295" i="4" s="1"/>
  <c r="E1296" i="4"/>
  <c r="F1296" i="4" s="1"/>
  <c r="E1297" i="4"/>
  <c r="G1297" i="4" s="1"/>
  <c r="E1298" i="4"/>
  <c r="G1298" i="4" s="1"/>
  <c r="E1299" i="4"/>
  <c r="F1299" i="4" s="1"/>
  <c r="E1300" i="4"/>
  <c r="F1300" i="4" s="1"/>
  <c r="E1301" i="4"/>
  <c r="E1302" i="4"/>
  <c r="G1302" i="4" s="1"/>
  <c r="E1303" i="4"/>
  <c r="E1304" i="4"/>
  <c r="G1304" i="4" s="1"/>
  <c r="E1305" i="4"/>
  <c r="G1305" i="4" s="1"/>
  <c r="E1306" i="4"/>
  <c r="F1306" i="4" s="1"/>
  <c r="E1307" i="4"/>
  <c r="F1307" i="4" s="1"/>
  <c r="E1308" i="4"/>
  <c r="G1308" i="4" s="1"/>
  <c r="E1309" i="4"/>
  <c r="G1309" i="4" s="1"/>
  <c r="E1310" i="4"/>
  <c r="F1310" i="4" s="1"/>
  <c r="E1311" i="4"/>
  <c r="G1311" i="4" s="1"/>
  <c r="E1312" i="4"/>
  <c r="G1312" i="4" s="1"/>
  <c r="E1313" i="4"/>
  <c r="F1313" i="4" s="1"/>
  <c r="E1314" i="4"/>
  <c r="G1314" i="4" s="1"/>
  <c r="E1315" i="4"/>
  <c r="G1315" i="4" s="1"/>
  <c r="E1316" i="4"/>
  <c r="G1316" i="4" s="1"/>
  <c r="E1317" i="4"/>
  <c r="G1317" i="4" s="1"/>
  <c r="E1318" i="4"/>
  <c r="G1318" i="4" s="1"/>
  <c r="E1319" i="4"/>
  <c r="G1319" i="4" s="1"/>
  <c r="E1320" i="4"/>
  <c r="F1320" i="4" s="1"/>
  <c r="E1321" i="4"/>
  <c r="F1321" i="4" s="1"/>
  <c r="E1322" i="4"/>
  <c r="E1323" i="4"/>
  <c r="G1323" i="4" s="1"/>
  <c r="E1324" i="4"/>
  <c r="G1324" i="4" s="1"/>
  <c r="E1325" i="4"/>
  <c r="F1325" i="4" s="1"/>
  <c r="E1326" i="4"/>
  <c r="G1326" i="4" s="1"/>
  <c r="E1327" i="4"/>
  <c r="G1327" i="4" s="1"/>
  <c r="E1328" i="4"/>
  <c r="G1328" i="4" s="1"/>
  <c r="E1329" i="4"/>
  <c r="G1329" i="4" s="1"/>
  <c r="E1330" i="4"/>
  <c r="G1330" i="4" s="1"/>
  <c r="E1331" i="4"/>
  <c r="F1331" i="4" s="1"/>
  <c r="E1332" i="4"/>
  <c r="G1332" i="4" s="1"/>
  <c r="E1333" i="4"/>
  <c r="G1333" i="4" s="1"/>
  <c r="E1334" i="4"/>
  <c r="G1334" i="4" s="1"/>
  <c r="E1335" i="4"/>
  <c r="E1336" i="4"/>
  <c r="G1336" i="4" s="1"/>
  <c r="E1337" i="4"/>
  <c r="F1337" i="4" s="1"/>
  <c r="E1338" i="4"/>
  <c r="E1339" i="4"/>
  <c r="G1339" i="4" s="1"/>
  <c r="E1340" i="4"/>
  <c r="G1340" i="4" s="1"/>
  <c r="E1341" i="4"/>
  <c r="F1341" i="4" s="1"/>
  <c r="E1342" i="4"/>
  <c r="G1342" i="4" s="1"/>
  <c r="E1343" i="4"/>
  <c r="G1343" i="4" s="1"/>
  <c r="E1344" i="4"/>
  <c r="G1344" i="4" s="1"/>
  <c r="E1345" i="4"/>
  <c r="G1345" i="4" s="1"/>
  <c r="E1346" i="4"/>
  <c r="G1346" i="4" s="1"/>
  <c r="E1347" i="4"/>
  <c r="G1347" i="4" s="1"/>
  <c r="E1348" i="4"/>
  <c r="G1348" i="4" s="1"/>
  <c r="E1349" i="4"/>
  <c r="G1349" i="4" s="1"/>
  <c r="E1350" i="4"/>
  <c r="G1350" i="4" s="1"/>
  <c r="E1351" i="4"/>
  <c r="G1351" i="4" s="1"/>
  <c r="E1352" i="4"/>
  <c r="E1353" i="4"/>
  <c r="G1353" i="4" s="1"/>
  <c r="E1354" i="4"/>
  <c r="G1354" i="4" s="1"/>
  <c r="E1355" i="4"/>
  <c r="G1355" i="4" s="1"/>
  <c r="E1356" i="4"/>
  <c r="G1356" i="4" s="1"/>
  <c r="E1357" i="4"/>
  <c r="G1357" i="4" s="1"/>
  <c r="E1358" i="4"/>
  <c r="G1358" i="4" s="1"/>
  <c r="E1359" i="4"/>
  <c r="G1359" i="4" s="1"/>
  <c r="E1360" i="4"/>
  <c r="E1361" i="4"/>
  <c r="G1361" i="4" s="1"/>
  <c r="E1362" i="4"/>
  <c r="G1362" i="4" s="1"/>
  <c r="E1363" i="4"/>
  <c r="G1363" i="4" s="1"/>
  <c r="E1364" i="4"/>
  <c r="G1364" i="4" s="1"/>
  <c r="E1365" i="4"/>
  <c r="G1365" i="4" s="1"/>
  <c r="E1366" i="4"/>
  <c r="G1366" i="4" s="1"/>
  <c r="E1367" i="4"/>
  <c r="G1367" i="4" s="1"/>
  <c r="E1368" i="4"/>
  <c r="F1368" i="4" s="1"/>
  <c r="E1369" i="4"/>
  <c r="E1370" i="4"/>
  <c r="G1370" i="4" s="1"/>
  <c r="E1371" i="4"/>
  <c r="F1371" i="4" s="1"/>
  <c r="E1372" i="4"/>
  <c r="G1372" i="4" s="1"/>
  <c r="E1373" i="4"/>
  <c r="G1373" i="4" s="1"/>
  <c r="E1374" i="4"/>
  <c r="G1374" i="4" s="1"/>
  <c r="E1375" i="4"/>
  <c r="G1375" i="4" s="1"/>
  <c r="E1376" i="4"/>
  <c r="G1376" i="4" s="1"/>
  <c r="E1377" i="4"/>
  <c r="G1377" i="4" s="1"/>
  <c r="E1378" i="4"/>
  <c r="G1378" i="4" s="1"/>
  <c r="E1379" i="4"/>
  <c r="F1379" i="4" s="1"/>
  <c r="E1380" i="4"/>
  <c r="F1380" i="4" s="1"/>
  <c r="E1381" i="4"/>
  <c r="G1381" i="4" s="1"/>
  <c r="E1382" i="4"/>
  <c r="G1382" i="4" s="1"/>
  <c r="E1383" i="4"/>
  <c r="G1383" i="4" s="1"/>
  <c r="E1384" i="4"/>
  <c r="G1384" i="4" s="1"/>
  <c r="E1385" i="4"/>
  <c r="E1386" i="4"/>
  <c r="G1386" i="4" s="1"/>
  <c r="E1387" i="4"/>
  <c r="G1387" i="4" s="1"/>
  <c r="E1388" i="4"/>
  <c r="G1388" i="4" s="1"/>
  <c r="E1389" i="4"/>
  <c r="G1389" i="4" s="1"/>
  <c r="E1390" i="4"/>
  <c r="E1391" i="4"/>
  <c r="G1391" i="4" s="1"/>
  <c r="E1392" i="4"/>
  <c r="G1392" i="4" s="1"/>
  <c r="E1393" i="4"/>
  <c r="G1393" i="4" s="1"/>
  <c r="E1394" i="4"/>
  <c r="G1394" i="4" s="1"/>
  <c r="E1395" i="4"/>
  <c r="G1395" i="4" s="1"/>
  <c r="E1396" i="4"/>
  <c r="G1396" i="4" s="1"/>
  <c r="E1397" i="4"/>
  <c r="G1397" i="4" s="1"/>
  <c r="E1398" i="4"/>
  <c r="G1398" i="4" s="1"/>
  <c r="E1399" i="4"/>
  <c r="G1399" i="4" s="1"/>
  <c r="E1400" i="4"/>
  <c r="G1400" i="4" s="1"/>
  <c r="E1401" i="4"/>
  <c r="F1401" i="4" s="1"/>
  <c r="E1402" i="4"/>
  <c r="G1402" i="4" s="1"/>
  <c r="E1403" i="4"/>
  <c r="G1403" i="4" s="1"/>
  <c r="E1404" i="4"/>
  <c r="G1404" i="4" s="1"/>
  <c r="E1405" i="4"/>
  <c r="G1405" i="4" s="1"/>
  <c r="E1406" i="4"/>
  <c r="G1406" i="4" s="1"/>
  <c r="E1407" i="4"/>
  <c r="G1407" i="4" s="1"/>
  <c r="E1408" i="4"/>
  <c r="G1408" i="4" s="1"/>
  <c r="E1409" i="4"/>
  <c r="G1409" i="4" s="1"/>
  <c r="E1410" i="4"/>
  <c r="G1410" i="4" s="1"/>
  <c r="E1411" i="4"/>
  <c r="G1411" i="4" s="1"/>
  <c r="E1412" i="4"/>
  <c r="G1412" i="4" s="1"/>
  <c r="E1413" i="4"/>
  <c r="G1413" i="4" s="1"/>
  <c r="E1414" i="4"/>
  <c r="F1414" i="4" s="1"/>
  <c r="E1415" i="4"/>
  <c r="G1415" i="4" s="1"/>
  <c r="E1416" i="4"/>
  <c r="G1416" i="4" s="1"/>
  <c r="E1417" i="4"/>
  <c r="G1417" i="4" s="1"/>
  <c r="E1418" i="4"/>
  <c r="F1418" i="4" s="1"/>
  <c r="E1419" i="4"/>
  <c r="G1419" i="4" s="1"/>
  <c r="E1420" i="4"/>
  <c r="G1420" i="4" s="1"/>
  <c r="E1421" i="4"/>
  <c r="G1421" i="4" s="1"/>
  <c r="E1422" i="4"/>
  <c r="G1422" i="4" s="1"/>
  <c r="E1423" i="4"/>
  <c r="F1423" i="4" s="1"/>
  <c r="E1424" i="4"/>
  <c r="G1424" i="4" s="1"/>
  <c r="E1425" i="4"/>
  <c r="F1425" i="4" s="1"/>
  <c r="E1426" i="4"/>
  <c r="G1426" i="4" s="1"/>
  <c r="E1427" i="4"/>
  <c r="G1427" i="4" s="1"/>
  <c r="E1428" i="4"/>
  <c r="G1428" i="4" s="1"/>
  <c r="E1429" i="4"/>
  <c r="G1429" i="4" s="1"/>
  <c r="E1430" i="4"/>
  <c r="G1430" i="4" s="1"/>
  <c r="E1431" i="4"/>
  <c r="F1431" i="4" s="1"/>
  <c r="E1432" i="4"/>
  <c r="G1432" i="4" s="1"/>
  <c r="E1433" i="4"/>
  <c r="F1433" i="4" s="1"/>
  <c r="E1434" i="4"/>
  <c r="E1435" i="4"/>
  <c r="F1435" i="4" s="1"/>
  <c r="E1436" i="4"/>
  <c r="G1436" i="4" s="1"/>
  <c r="E1437" i="4"/>
  <c r="G1437" i="4" s="1"/>
  <c r="E1438" i="4"/>
  <c r="G1438" i="4" s="1"/>
  <c r="E1439" i="4"/>
  <c r="G1439" i="4" s="1"/>
  <c r="E1440" i="4"/>
  <c r="G1440" i="4" s="1"/>
  <c r="E1441" i="4"/>
  <c r="G1441" i="4" s="1"/>
  <c r="E1442" i="4"/>
  <c r="G1442" i="4" s="1"/>
  <c r="E1443" i="4"/>
  <c r="F1443" i="4" s="1"/>
  <c r="E1444" i="4"/>
  <c r="G1444" i="4" s="1"/>
  <c r="E1445" i="4"/>
  <c r="G1445" i="4" s="1"/>
  <c r="E1446" i="4"/>
  <c r="G1446" i="4" s="1"/>
  <c r="E1447" i="4"/>
  <c r="G1447" i="4" s="1"/>
  <c r="E1448" i="4"/>
  <c r="G1448" i="4" s="1"/>
  <c r="E1449" i="4"/>
  <c r="F1449" i="4" s="1"/>
  <c r="E1450" i="4"/>
  <c r="G1450" i="4" s="1"/>
  <c r="E1451" i="4"/>
  <c r="G1451" i="4" s="1"/>
  <c r="E1452" i="4"/>
  <c r="G1452" i="4" s="1"/>
  <c r="E1453" i="4"/>
  <c r="G1453" i="4" s="1"/>
  <c r="E1454" i="4"/>
  <c r="G1454" i="4" s="1"/>
  <c r="E1455" i="4"/>
  <c r="G1455" i="4" s="1"/>
  <c r="E1456" i="4"/>
  <c r="G1456" i="4" s="1"/>
  <c r="E1457" i="4"/>
  <c r="G1457" i="4" s="1"/>
  <c r="E1458" i="4"/>
  <c r="F1458" i="4" s="1"/>
  <c r="E1459" i="4"/>
  <c r="G1459" i="4" s="1"/>
  <c r="E1460" i="4"/>
  <c r="G1460" i="4" s="1"/>
  <c r="E1461" i="4"/>
  <c r="G1461" i="4" s="1"/>
  <c r="E1462" i="4"/>
  <c r="G1462" i="4" s="1"/>
  <c r="E1463" i="4"/>
  <c r="F1463" i="4" s="1"/>
  <c r="E1464" i="4"/>
  <c r="G1464" i="4" s="1"/>
  <c r="E1465" i="4"/>
  <c r="F1465" i="4" s="1"/>
  <c r="E1466" i="4"/>
  <c r="G1466" i="4" s="1"/>
  <c r="E1467" i="4"/>
  <c r="G1467" i="4" s="1"/>
  <c r="E1468" i="4"/>
  <c r="G1468" i="4" s="1"/>
  <c r="E1469" i="4"/>
  <c r="G1469" i="4" s="1"/>
  <c r="E1470" i="4"/>
  <c r="G1470" i="4" s="1"/>
  <c r="E1471" i="4"/>
  <c r="G1471" i="4" s="1"/>
  <c r="E1472" i="4"/>
  <c r="G1472" i="4" s="1"/>
  <c r="E1473" i="4"/>
  <c r="F1473" i="4" s="1"/>
  <c r="E1474" i="4"/>
  <c r="G1474" i="4" s="1"/>
  <c r="E1475" i="4"/>
  <c r="G1475" i="4" s="1"/>
  <c r="E1476" i="4"/>
  <c r="G1476" i="4" s="1"/>
  <c r="E1477" i="4"/>
  <c r="G1477" i="4" s="1"/>
  <c r="E1478" i="4"/>
  <c r="F1478" i="4" s="1"/>
  <c r="E1479" i="4"/>
  <c r="F1479" i="4" s="1"/>
  <c r="E1480" i="4"/>
  <c r="G1480" i="4" s="1"/>
  <c r="E1481" i="4"/>
  <c r="G1481" i="4" s="1"/>
  <c r="E1482" i="4"/>
  <c r="E1483" i="4"/>
  <c r="G1483" i="4" s="1"/>
  <c r="E1484" i="4"/>
  <c r="G1484" i="4" s="1"/>
  <c r="E1485" i="4"/>
  <c r="G1485" i="4" s="1"/>
  <c r="E1486" i="4"/>
  <c r="G1486" i="4" s="1"/>
  <c r="E1487" i="4"/>
  <c r="G1487" i="4" s="1"/>
  <c r="E1488" i="4"/>
  <c r="G1488" i="4" s="1"/>
  <c r="E1489" i="4"/>
  <c r="G1489" i="4" s="1"/>
  <c r="E1490" i="4"/>
  <c r="G1490" i="4" s="1"/>
  <c r="E1491" i="4"/>
  <c r="G1491" i="4" s="1"/>
  <c r="E1492" i="4"/>
  <c r="G1492" i="4" s="1"/>
  <c r="E1493" i="4"/>
  <c r="G1493" i="4" s="1"/>
  <c r="E1494" i="4"/>
  <c r="F1494" i="4" s="1"/>
  <c r="E1495" i="4"/>
  <c r="G1495" i="4" s="1"/>
  <c r="E1496" i="4"/>
  <c r="G1496" i="4" s="1"/>
  <c r="E1497" i="4"/>
  <c r="F1497" i="4" s="1"/>
  <c r="E1498" i="4"/>
  <c r="G1498" i="4" s="1"/>
  <c r="E1499" i="4"/>
  <c r="G1499" i="4" s="1"/>
  <c r="E1500" i="4"/>
  <c r="G1500" i="4" s="1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4" i="4"/>
  <c r="H95" i="4"/>
  <c r="H96" i="4"/>
  <c r="H97" i="4"/>
  <c r="H98" i="4"/>
  <c r="H99" i="4"/>
  <c r="H100" i="4"/>
  <c r="H101" i="4"/>
  <c r="H102" i="4"/>
  <c r="H103" i="4"/>
  <c r="H105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5" i="4"/>
  <c r="H136" i="4"/>
  <c r="H137" i="4"/>
  <c r="H138" i="4"/>
  <c r="H141" i="4"/>
  <c r="H142" i="4"/>
  <c r="H143" i="4"/>
  <c r="H144" i="4"/>
  <c r="H145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307" i="4"/>
  <c r="H308" i="4"/>
  <c r="H309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23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20" i="4"/>
  <c r="AG21" i="4"/>
  <c r="AG16" i="4"/>
  <c r="AG17" i="4"/>
  <c r="AG18" i="4"/>
  <c r="AG19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2" i="4"/>
  <c r="F33" i="4"/>
  <c r="G397" i="4"/>
  <c r="F397" i="4"/>
  <c r="G301" i="4"/>
  <c r="F301" i="4"/>
  <c r="G285" i="4"/>
  <c r="F285" i="4"/>
  <c r="G300" i="4"/>
  <c r="F300" i="4"/>
  <c r="G284" i="4"/>
  <c r="F284" i="4"/>
  <c r="G140" i="4"/>
  <c r="F140" i="4"/>
  <c r="G299" i="4"/>
  <c r="F299" i="4"/>
  <c r="G283" i="4"/>
  <c r="F283" i="4"/>
  <c r="G227" i="4"/>
  <c r="F227" i="4"/>
  <c r="G139" i="4"/>
  <c r="F139" i="4"/>
  <c r="G306" i="4"/>
  <c r="F306" i="4"/>
  <c r="G282" i="4"/>
  <c r="F282" i="4"/>
  <c r="G226" i="4"/>
  <c r="F226" i="4"/>
  <c r="G146" i="4"/>
  <c r="F146" i="4"/>
  <c r="G313" i="4"/>
  <c r="F313" i="4"/>
  <c r="G305" i="4"/>
  <c r="F305" i="4"/>
  <c r="G312" i="4"/>
  <c r="F312" i="4"/>
  <c r="G304" i="4"/>
  <c r="F304" i="4"/>
  <c r="G311" i="4"/>
  <c r="F311" i="4"/>
  <c r="G303" i="4"/>
  <c r="F303" i="4"/>
  <c r="G302" i="4"/>
  <c r="F302" i="4"/>
  <c r="G286" i="4"/>
  <c r="F286" i="4"/>
  <c r="G134" i="4"/>
  <c r="F134" i="4"/>
  <c r="F17" i="4"/>
  <c r="G310" i="4"/>
  <c r="F71" i="4"/>
  <c r="G54" i="4"/>
  <c r="F54" i="4"/>
  <c r="G29" i="4" l="1"/>
  <c r="G28" i="4"/>
  <c r="F46" i="4"/>
  <c r="F116" i="4"/>
  <c r="F25" i="4"/>
  <c r="F56" i="4"/>
  <c r="F40" i="4"/>
  <c r="G132" i="4"/>
  <c r="G439" i="4"/>
  <c r="F57" i="4"/>
  <c r="F24" i="4"/>
  <c r="F63" i="4"/>
  <c r="F773" i="4"/>
  <c r="F30" i="4"/>
  <c r="F32" i="4"/>
  <c r="F48" i="4"/>
  <c r="G108" i="4"/>
  <c r="F36" i="4"/>
  <c r="F324" i="4"/>
  <c r="F469" i="4"/>
  <c r="F581" i="4"/>
  <c r="F51" i="4"/>
  <c r="F49" i="4"/>
  <c r="F55" i="4"/>
  <c r="F23" i="4"/>
  <c r="F64" i="4"/>
  <c r="F318" i="4"/>
  <c r="F552" i="4"/>
  <c r="F47" i="4"/>
  <c r="F31" i="4"/>
  <c r="F1293" i="4"/>
  <c r="F184" i="4"/>
  <c r="F637" i="4"/>
  <c r="F717" i="4"/>
  <c r="F287" i="4"/>
  <c r="F348" i="4"/>
  <c r="F380" i="4"/>
  <c r="G574" i="4"/>
  <c r="G53" i="4"/>
  <c r="F322" i="4"/>
  <c r="G61" i="4"/>
  <c r="G670" i="4"/>
  <c r="F1070" i="4"/>
  <c r="G1221" i="4"/>
  <c r="F1006" i="4"/>
  <c r="G37" i="4"/>
  <c r="F45" i="4"/>
  <c r="G1078" i="4"/>
  <c r="G170" i="4"/>
  <c r="G202" i="4"/>
  <c r="G1110" i="4"/>
  <c r="F1142" i="4"/>
  <c r="F902" i="4"/>
  <c r="F186" i="4"/>
  <c r="H2" i="13"/>
  <c r="G408" i="4"/>
  <c r="F195" i="4"/>
  <c r="G367" i="4"/>
  <c r="F72" i="4"/>
  <c r="F136" i="4"/>
  <c r="G175" i="4"/>
  <c r="G343" i="4"/>
  <c r="G80" i="4"/>
  <c r="F1025" i="4"/>
  <c r="F102" i="4"/>
  <c r="F769" i="4"/>
  <c r="F884" i="4"/>
  <c r="F98" i="4"/>
  <c r="F224" i="4"/>
  <c r="F941" i="4"/>
  <c r="G60" i="4"/>
  <c r="F925" i="4"/>
  <c r="G176" i="4"/>
  <c r="F501" i="4"/>
  <c r="F653" i="4"/>
  <c r="G861" i="4"/>
  <c r="F661" i="4"/>
  <c r="F44" i="4"/>
  <c r="G685" i="4"/>
  <c r="F701" i="4"/>
  <c r="F597" i="4"/>
  <c r="F340" i="4"/>
  <c r="F933" i="4"/>
  <c r="F877" i="4"/>
  <c r="F315" i="4"/>
  <c r="F295" i="4"/>
  <c r="F565" i="4"/>
  <c r="F621" i="4"/>
  <c r="F669" i="4"/>
  <c r="F645" i="4"/>
  <c r="F885" i="4"/>
  <c r="F589" i="4"/>
  <c r="F901" i="4"/>
  <c r="G509" i="4"/>
  <c r="F85" i="4"/>
  <c r="F216" i="4"/>
  <c r="G266" i="4"/>
  <c r="F677" i="4"/>
  <c r="G813" i="4"/>
  <c r="F989" i="4"/>
  <c r="G332" i="4"/>
  <c r="G52" i="4"/>
  <c r="G517" i="4"/>
  <c r="G208" i="4"/>
  <c r="F250" i="4"/>
  <c r="F573" i="4"/>
  <c r="F192" i="4"/>
  <c r="F805" i="4"/>
  <c r="G168" i="4"/>
  <c r="F837" i="4"/>
  <c r="G629" i="4"/>
  <c r="G162" i="4"/>
  <c r="G455" i="4"/>
  <c r="F487" i="4"/>
  <c r="F38" i="4"/>
  <c r="F62" i="4"/>
  <c r="F495" i="4"/>
  <c r="G793" i="4"/>
  <c r="F849" i="4"/>
  <c r="F993" i="4"/>
  <c r="G1497" i="4"/>
  <c r="F1220" i="4"/>
  <c r="F1129" i="4"/>
  <c r="F1177" i="4"/>
  <c r="F905" i="4"/>
  <c r="F801" i="4"/>
  <c r="F1089" i="4"/>
  <c r="G1081" i="4"/>
  <c r="G376" i="4"/>
  <c r="G401" i="4"/>
  <c r="F270" i="4"/>
  <c r="F417" i="4"/>
  <c r="G825" i="4"/>
  <c r="F505" i="4"/>
  <c r="G865" i="4"/>
  <c r="G344" i="4"/>
  <c r="G137" i="4"/>
  <c r="F881" i="4"/>
  <c r="F753" i="4"/>
  <c r="G262" i="4"/>
  <c r="F929" i="4"/>
  <c r="F172" i="4"/>
  <c r="F977" i="4"/>
  <c r="F1489" i="4"/>
  <c r="F489" i="4"/>
  <c r="F853" i="4"/>
  <c r="F1245" i="4"/>
  <c r="G634" i="4"/>
  <c r="F981" i="4"/>
  <c r="V1500" i="4"/>
  <c r="V1492" i="4"/>
  <c r="V1484" i="4"/>
  <c r="V1476" i="4"/>
  <c r="V1468" i="4"/>
  <c r="V1460" i="4"/>
  <c r="V1452" i="4"/>
  <c r="V1444" i="4"/>
  <c r="V1436" i="4"/>
  <c r="V1428" i="4"/>
  <c r="V1420" i="4"/>
  <c r="V1412" i="4"/>
  <c r="V1404" i="4"/>
  <c r="V1396" i="4"/>
  <c r="V1388" i="4"/>
  <c r="V1380" i="4"/>
  <c r="V1372" i="4"/>
  <c r="V1364" i="4"/>
  <c r="V1356" i="4"/>
  <c r="V1348" i="4"/>
  <c r="V1340" i="4"/>
  <c r="V1332" i="4"/>
  <c r="V1324" i="4"/>
  <c r="V1316" i="4"/>
  <c r="V1308" i="4"/>
  <c r="V1300" i="4"/>
  <c r="V1292" i="4"/>
  <c r="V1284" i="4"/>
  <c r="V1276" i="4"/>
  <c r="V1268" i="4"/>
  <c r="V1260" i="4"/>
  <c r="V1252" i="4"/>
  <c r="V1244" i="4"/>
  <c r="V1236" i="4"/>
  <c r="V1228" i="4"/>
  <c r="V1220" i="4"/>
  <c r="V1212" i="4"/>
  <c r="V1204" i="4"/>
  <c r="V1196" i="4"/>
  <c r="V1188" i="4"/>
  <c r="V1180" i="4"/>
  <c r="V1172" i="4"/>
  <c r="V1164" i="4"/>
  <c r="V1156" i="4"/>
  <c r="V1148" i="4"/>
  <c r="V1140" i="4"/>
  <c r="V1132" i="4"/>
  <c r="V1124" i="4"/>
  <c r="V1116" i="4"/>
  <c r="V1108" i="4"/>
  <c r="V1100" i="4"/>
  <c r="V1092" i="4"/>
  <c r="V1084" i="4"/>
  <c r="V1076" i="4"/>
  <c r="V1068" i="4"/>
  <c r="V1060" i="4"/>
  <c r="V1052" i="4"/>
  <c r="V1044" i="4"/>
  <c r="V1036" i="4"/>
  <c r="V1028" i="4"/>
  <c r="V1020" i="4"/>
  <c r="V1012" i="4"/>
  <c r="V1004" i="4"/>
  <c r="V996" i="4"/>
  <c r="V988" i="4"/>
  <c r="V980" i="4"/>
  <c r="V972" i="4"/>
  <c r="V964" i="4"/>
  <c r="F320" i="4"/>
  <c r="F673" i="4"/>
  <c r="F1361" i="4"/>
  <c r="F352" i="4"/>
  <c r="F761" i="4"/>
  <c r="G921" i="4"/>
  <c r="F196" i="4"/>
  <c r="G119" i="4"/>
  <c r="G328" i="4"/>
  <c r="G705" i="4"/>
  <c r="G777" i="4"/>
  <c r="G809" i="4"/>
  <c r="G913" i="4"/>
  <c r="G1041" i="4"/>
  <c r="F1105" i="4"/>
  <c r="G277" i="4"/>
  <c r="V1497" i="4"/>
  <c r="V1489" i="4"/>
  <c r="V1481" i="4"/>
  <c r="V1473" i="4"/>
  <c r="V1465" i="4"/>
  <c r="V1457" i="4"/>
  <c r="V1449" i="4"/>
  <c r="V1441" i="4"/>
  <c r="V1433" i="4"/>
  <c r="V1425" i="4"/>
  <c r="V1417" i="4"/>
  <c r="V1409" i="4"/>
  <c r="V1401" i="4"/>
  <c r="V1393" i="4"/>
  <c r="V1385" i="4"/>
  <c r="V1377" i="4"/>
  <c r="V1369" i="4"/>
  <c r="V1361" i="4"/>
  <c r="V1353" i="4"/>
  <c r="V1345" i="4"/>
  <c r="V1337" i="4"/>
  <c r="V1329" i="4"/>
  <c r="V1321" i="4"/>
  <c r="V1313" i="4"/>
  <c r="V1305" i="4"/>
  <c r="V1297" i="4"/>
  <c r="V1289" i="4"/>
  <c r="V1281" i="4"/>
  <c r="V1273" i="4"/>
  <c r="V1265" i="4"/>
  <c r="V1257" i="4"/>
  <c r="V1249" i="4"/>
  <c r="V1241" i="4"/>
  <c r="V1233" i="4"/>
  <c r="V1225" i="4"/>
  <c r="V1217" i="4"/>
  <c r="V1209" i="4"/>
  <c r="V1201" i="4"/>
  <c r="V1193" i="4"/>
  <c r="V1185" i="4"/>
  <c r="V1177" i="4"/>
  <c r="V1169" i="4"/>
  <c r="V1161" i="4"/>
  <c r="V1153" i="4"/>
  <c r="V1145" i="4"/>
  <c r="V1137" i="4"/>
  <c r="V1129" i="4"/>
  <c r="V1121" i="4"/>
  <c r="V1113" i="4"/>
  <c r="V1105" i="4"/>
  <c r="V1097" i="4"/>
  <c r="V1089" i="4"/>
  <c r="V1081" i="4"/>
  <c r="V1073" i="4"/>
  <c r="V1065" i="4"/>
  <c r="V1057" i="4"/>
  <c r="V1049" i="4"/>
  <c r="V1041" i="4"/>
  <c r="V1033" i="4"/>
  <c r="V1025" i="4"/>
  <c r="V1017" i="4"/>
  <c r="V1009" i="4"/>
  <c r="V1001" i="4"/>
  <c r="V993" i="4"/>
  <c r="F409" i="4"/>
  <c r="F1033" i="4"/>
  <c r="F1097" i="4"/>
  <c r="F278" i="4"/>
  <c r="F1017" i="4"/>
  <c r="F156" i="4"/>
  <c r="F368" i="4"/>
  <c r="F737" i="4"/>
  <c r="F785" i="4"/>
  <c r="F817" i="4"/>
  <c r="G937" i="4"/>
  <c r="G1057" i="4"/>
  <c r="G1153" i="4"/>
  <c r="F203" i="4"/>
  <c r="F336" i="4"/>
  <c r="F360" i="4"/>
  <c r="G378" i="4"/>
  <c r="F384" i="4"/>
  <c r="F745" i="4"/>
  <c r="F961" i="4"/>
  <c r="F1073" i="4"/>
  <c r="F1161" i="4"/>
  <c r="F211" i="4"/>
  <c r="V1495" i="4"/>
  <c r="V1487" i="4"/>
  <c r="V1479" i="4"/>
  <c r="V1471" i="4"/>
  <c r="V1463" i="4"/>
  <c r="V1455" i="4"/>
  <c r="V1447" i="4"/>
  <c r="V1439" i="4"/>
  <c r="V1431" i="4"/>
  <c r="V1423" i="4"/>
  <c r="V1415" i="4"/>
  <c r="V1407" i="4"/>
  <c r="V1399" i="4"/>
  <c r="F441" i="4"/>
  <c r="F189" i="4"/>
  <c r="F1289" i="4"/>
  <c r="F497" i="4"/>
  <c r="F89" i="4"/>
  <c r="G969" i="4"/>
  <c r="V1501" i="4"/>
  <c r="V1493" i="4"/>
  <c r="V1485" i="4"/>
  <c r="V1477" i="4"/>
  <c r="V1469" i="4"/>
  <c r="V1461" i="4"/>
  <c r="V1453" i="4"/>
  <c r="V1445" i="4"/>
  <c r="V1437" i="4"/>
  <c r="V1429" i="4"/>
  <c r="V1421" i="4"/>
  <c r="V1413" i="4"/>
  <c r="V1405" i="4"/>
  <c r="V1397" i="4"/>
  <c r="V1389" i="4"/>
  <c r="V1381" i="4"/>
  <c r="V1373" i="4"/>
  <c r="V1365" i="4"/>
  <c r="V1357" i="4"/>
  <c r="V1349" i="4"/>
  <c r="V1341" i="4"/>
  <c r="V1333" i="4"/>
  <c r="V1325" i="4"/>
  <c r="V1317" i="4"/>
  <c r="V1309" i="4"/>
  <c r="V1301" i="4"/>
  <c r="V1293" i="4"/>
  <c r="V1285" i="4"/>
  <c r="V1277" i="4"/>
  <c r="V1269" i="4"/>
  <c r="V1261" i="4"/>
  <c r="V1253" i="4"/>
  <c r="V1245" i="4"/>
  <c r="V1237" i="4"/>
  <c r="V1229" i="4"/>
  <c r="V1221" i="4"/>
  <c r="V1213" i="4"/>
  <c r="V1205" i="4"/>
  <c r="V1197" i="4"/>
  <c r="V1189" i="4"/>
  <c r="V1181" i="4"/>
  <c r="V1173" i="4"/>
  <c r="V1165" i="4"/>
  <c r="V1157" i="4"/>
  <c r="V1149" i="4"/>
  <c r="V1141" i="4"/>
  <c r="V1133" i="4"/>
  <c r="V1125" i="4"/>
  <c r="V1117" i="4"/>
  <c r="V1109" i="4"/>
  <c r="V1101" i="4"/>
  <c r="V1093" i="4"/>
  <c r="V1085" i="4"/>
  <c r="V1077" i="4"/>
  <c r="V1069" i="4"/>
  <c r="V1061" i="4"/>
  <c r="V1053" i="4"/>
  <c r="V1045" i="4"/>
  <c r="V1037" i="4"/>
  <c r="V1029" i="4"/>
  <c r="V1021" i="4"/>
  <c r="V1013" i="4"/>
  <c r="V1005" i="4"/>
  <c r="V997" i="4"/>
  <c r="V989" i="4"/>
  <c r="V981" i="4"/>
  <c r="V973" i="4"/>
  <c r="V965" i="4"/>
  <c r="V957" i="4"/>
  <c r="V949" i="4"/>
  <c r="V941" i="4"/>
  <c r="V933" i="4"/>
  <c r="V925" i="4"/>
  <c r="V917" i="4"/>
  <c r="V909" i="4"/>
  <c r="V901" i="4"/>
  <c r="V893" i="4"/>
  <c r="V885" i="4"/>
  <c r="V877" i="4"/>
  <c r="V869" i="4"/>
  <c r="V861" i="4"/>
  <c r="V853" i="4"/>
  <c r="V845" i="4"/>
  <c r="V837" i="4"/>
  <c r="V829" i="4"/>
  <c r="V821" i="4"/>
  <c r="V813" i="4"/>
  <c r="V805" i="4"/>
  <c r="V797" i="4"/>
  <c r="V789" i="4"/>
  <c r="V781" i="4"/>
  <c r="V773" i="4"/>
  <c r="V765" i="4"/>
  <c r="V757" i="4"/>
  <c r="V749" i="4"/>
  <c r="V741" i="4"/>
  <c r="V733" i="4"/>
  <c r="V725" i="4"/>
  <c r="V717" i="4"/>
  <c r="V709" i="4"/>
  <c r="V701" i="4"/>
  <c r="V693" i="4"/>
  <c r="V685" i="4"/>
  <c r="V677" i="4"/>
  <c r="V669" i="4"/>
  <c r="V661" i="4"/>
  <c r="V653" i="4"/>
  <c r="V645" i="4"/>
  <c r="V637" i="4"/>
  <c r="V629" i="4"/>
  <c r="V621" i="4"/>
  <c r="V613" i="4"/>
  <c r="V605" i="4"/>
  <c r="V597" i="4"/>
  <c r="V589" i="4"/>
  <c r="V581" i="4"/>
  <c r="V573" i="4"/>
  <c r="V565" i="4"/>
  <c r="V557" i="4"/>
  <c r="V549" i="4"/>
  <c r="V541" i="4"/>
  <c r="V533" i="4"/>
  <c r="V525" i="4"/>
  <c r="V517" i="4"/>
  <c r="V509" i="4"/>
  <c r="V501" i="4"/>
  <c r="V493" i="4"/>
  <c r="V485" i="4"/>
  <c r="V477" i="4"/>
  <c r="V956" i="4"/>
  <c r="V948" i="4"/>
  <c r="V940" i="4"/>
  <c r="V932" i="4"/>
  <c r="V924" i="4"/>
  <c r="V916" i="4"/>
  <c r="V908" i="4"/>
  <c r="V900" i="4"/>
  <c r="V892" i="4"/>
  <c r="V884" i="4"/>
  <c r="V876" i="4"/>
  <c r="V868" i="4"/>
  <c r="V860" i="4"/>
  <c r="V852" i="4"/>
  <c r="V844" i="4"/>
  <c r="V836" i="4"/>
  <c r="V828" i="4"/>
  <c r="V820" i="4"/>
  <c r="V812" i="4"/>
  <c r="V804" i="4"/>
  <c r="V796" i="4"/>
  <c r="V788" i="4"/>
  <c r="V780" i="4"/>
  <c r="V772" i="4"/>
  <c r="V764" i="4"/>
  <c r="V756" i="4"/>
  <c r="V748" i="4"/>
  <c r="V740" i="4"/>
  <c r="V732" i="4"/>
  <c r="V724" i="4"/>
  <c r="V716" i="4"/>
  <c r="V708" i="4"/>
  <c r="V700" i="4"/>
  <c r="V692" i="4"/>
  <c r="V684" i="4"/>
  <c r="V676" i="4"/>
  <c r="V668" i="4"/>
  <c r="V660" i="4"/>
  <c r="V652" i="4"/>
  <c r="V644" i="4"/>
  <c r="V636" i="4"/>
  <c r="V628" i="4"/>
  <c r="V620" i="4"/>
  <c r="V612" i="4"/>
  <c r="V1499" i="4"/>
  <c r="V1491" i="4"/>
  <c r="V1483" i="4"/>
  <c r="V1475" i="4"/>
  <c r="V1467" i="4"/>
  <c r="V1459" i="4"/>
  <c r="V1451" i="4"/>
  <c r="V1443" i="4"/>
  <c r="V1435" i="4"/>
  <c r="V1427" i="4"/>
  <c r="V1419" i="4"/>
  <c r="V1411" i="4"/>
  <c r="V1403" i="4"/>
  <c r="V1395" i="4"/>
  <c r="V1387" i="4"/>
  <c r="V1379" i="4"/>
  <c r="V1371" i="4"/>
  <c r="V1363" i="4"/>
  <c r="V1355" i="4"/>
  <c r="V1347" i="4"/>
  <c r="V1339" i="4"/>
  <c r="V1331" i="4"/>
  <c r="V1323" i="4"/>
  <c r="V1315" i="4"/>
  <c r="V1307" i="4"/>
  <c r="V1299" i="4"/>
  <c r="V1291" i="4"/>
  <c r="V1283" i="4"/>
  <c r="V1275" i="4"/>
  <c r="V1267" i="4"/>
  <c r="V1259" i="4"/>
  <c r="V1251" i="4"/>
  <c r="V1243" i="4"/>
  <c r="V1235" i="4"/>
  <c r="V1227" i="4"/>
  <c r="V1219" i="4"/>
  <c r="V1211" i="4"/>
  <c r="V1203" i="4"/>
  <c r="V1195" i="4"/>
  <c r="V1187" i="4"/>
  <c r="V1179" i="4"/>
  <c r="V1171" i="4"/>
  <c r="V1163" i="4"/>
  <c r="V1155" i="4"/>
  <c r="V1147" i="4"/>
  <c r="V1139" i="4"/>
  <c r="V1131" i="4"/>
  <c r="V1123" i="4"/>
  <c r="V1115" i="4"/>
  <c r="V1107" i="4"/>
  <c r="V1099" i="4"/>
  <c r="V1091" i="4"/>
  <c r="V1083" i="4"/>
  <c r="V1075" i="4"/>
  <c r="V1067" i="4"/>
  <c r="V1059" i="4"/>
  <c r="V1051" i="4"/>
  <c r="V1043" i="4"/>
  <c r="V1035" i="4"/>
  <c r="V1027" i="4"/>
  <c r="V1019" i="4"/>
  <c r="V1011" i="4"/>
  <c r="V1003" i="4"/>
  <c r="V995" i="4"/>
  <c r="V987" i="4"/>
  <c r="V979" i="4"/>
  <c r="V971" i="4"/>
  <c r="V963" i="4"/>
  <c r="V955" i="4"/>
  <c r="V947" i="4"/>
  <c r="V939" i="4"/>
  <c r="V931" i="4"/>
  <c r="V923" i="4"/>
  <c r="V915" i="4"/>
  <c r="V907" i="4"/>
  <c r="V899" i="4"/>
  <c r="V891" i="4"/>
  <c r="V883" i="4"/>
  <c r="V875" i="4"/>
  <c r="V867" i="4"/>
  <c r="V859" i="4"/>
  <c r="V851" i="4"/>
  <c r="V843" i="4"/>
  <c r="V835" i="4"/>
  <c r="V827" i="4"/>
  <c r="V819" i="4"/>
  <c r="V811" i="4"/>
  <c r="V803" i="4"/>
  <c r="V795" i="4"/>
  <c r="V787" i="4"/>
  <c r="V779" i="4"/>
  <c r="V771" i="4"/>
  <c r="V763" i="4"/>
  <c r="V755" i="4"/>
  <c r="V747" i="4"/>
  <c r="V739" i="4"/>
  <c r="V731" i="4"/>
  <c r="V723" i="4"/>
  <c r="V715" i="4"/>
  <c r="V707" i="4"/>
  <c r="V699" i="4"/>
  <c r="V691" i="4"/>
  <c r="V683" i="4"/>
  <c r="V675" i="4"/>
  <c r="V667" i="4"/>
  <c r="V659" i="4"/>
  <c r="V651" i="4"/>
  <c r="V643" i="4"/>
  <c r="V635" i="4"/>
  <c r="V627" i="4"/>
  <c r="V619" i="4"/>
  <c r="V611" i="4"/>
  <c r="V603" i="4"/>
  <c r="V595" i="4"/>
  <c r="V587" i="4"/>
  <c r="V579" i="4"/>
  <c r="V571" i="4"/>
  <c r="V563" i="4"/>
  <c r="V555" i="4"/>
  <c r="V547" i="4"/>
  <c r="V539" i="4"/>
  <c r="V531" i="4"/>
  <c r="V523" i="4"/>
  <c r="V515" i="4"/>
  <c r="V507" i="4"/>
  <c r="V499" i="4"/>
  <c r="V491" i="4"/>
  <c r="V467" i="4"/>
  <c r="V1498" i="4"/>
  <c r="V1490" i="4"/>
  <c r="V1482" i="4"/>
  <c r="V1474" i="4"/>
  <c r="V1466" i="4"/>
  <c r="V1458" i="4"/>
  <c r="V1450" i="4"/>
  <c r="V1442" i="4"/>
  <c r="V1434" i="4"/>
  <c r="V1426" i="4"/>
  <c r="V1418" i="4"/>
  <c r="V1410" i="4"/>
  <c r="V1402" i="4"/>
  <c r="V1394" i="4"/>
  <c r="V1386" i="4"/>
  <c r="V1378" i="4"/>
  <c r="V1370" i="4"/>
  <c r="V1362" i="4"/>
  <c r="V1354" i="4"/>
  <c r="V1346" i="4"/>
  <c r="V1338" i="4"/>
  <c r="V1330" i="4"/>
  <c r="V1322" i="4"/>
  <c r="V1314" i="4"/>
  <c r="V1306" i="4"/>
  <c r="V1298" i="4"/>
  <c r="V1290" i="4"/>
  <c r="V1282" i="4"/>
  <c r="V1274" i="4"/>
  <c r="V1266" i="4"/>
  <c r="V1258" i="4"/>
  <c r="V1250" i="4"/>
  <c r="V1242" i="4"/>
  <c r="V1234" i="4"/>
  <c r="V1226" i="4"/>
  <c r="V1218" i="4"/>
  <c r="V1210" i="4"/>
  <c r="V1202" i="4"/>
  <c r="V1194" i="4"/>
  <c r="V1186" i="4"/>
  <c r="V1178" i="4"/>
  <c r="V1170" i="4"/>
  <c r="V1162" i="4"/>
  <c r="V1154" i="4"/>
  <c r="V1146" i="4"/>
  <c r="V1138" i="4"/>
  <c r="V1130" i="4"/>
  <c r="V1122" i="4"/>
  <c r="V1114" i="4"/>
  <c r="V1106" i="4"/>
  <c r="V1098" i="4"/>
  <c r="V1090" i="4"/>
  <c r="V1082" i="4"/>
  <c r="V1074" i="4"/>
  <c r="V1066" i="4"/>
  <c r="V1058" i="4"/>
  <c r="V1050" i="4"/>
  <c r="V1042" i="4"/>
  <c r="V1034" i="4"/>
  <c r="V1026" i="4"/>
  <c r="V1018" i="4"/>
  <c r="V1010" i="4"/>
  <c r="V1002" i="4"/>
  <c r="V994" i="4"/>
  <c r="V986" i="4"/>
  <c r="V978" i="4"/>
  <c r="V970" i="4"/>
  <c r="V962" i="4"/>
  <c r="V954" i="4"/>
  <c r="V946" i="4"/>
  <c r="V938" i="4"/>
  <c r="V930" i="4"/>
  <c r="V922" i="4"/>
  <c r="V914" i="4"/>
  <c r="V906" i="4"/>
  <c r="V898" i="4"/>
  <c r="V890" i="4"/>
  <c r="V882" i="4"/>
  <c r="V874" i="4"/>
  <c r="V866" i="4"/>
  <c r="V858" i="4"/>
  <c r="V850" i="4"/>
  <c r="V842" i="4"/>
  <c r="V834" i="4"/>
  <c r="V826" i="4"/>
  <c r="V818" i="4"/>
  <c r="V810" i="4"/>
  <c r="V802" i="4"/>
  <c r="V794" i="4"/>
  <c r="V786" i="4"/>
  <c r="V778" i="4"/>
  <c r="V770" i="4"/>
  <c r="V762" i="4"/>
  <c r="V754" i="4"/>
  <c r="V746" i="4"/>
  <c r="V738" i="4"/>
  <c r="V730" i="4"/>
  <c r="V722" i="4"/>
  <c r="V714" i="4"/>
  <c r="V706" i="4"/>
  <c r="V698" i="4"/>
  <c r="V690" i="4"/>
  <c r="V682" i="4"/>
  <c r="V674" i="4"/>
  <c r="V666" i="4"/>
  <c r="V658" i="4"/>
  <c r="V650" i="4"/>
  <c r="V642" i="4"/>
  <c r="V634" i="4"/>
  <c r="V626" i="4"/>
  <c r="V618" i="4"/>
  <c r="V610" i="4"/>
  <c r="V602" i="4"/>
  <c r="V594" i="4"/>
  <c r="V586" i="4"/>
  <c r="V578" i="4"/>
  <c r="V570" i="4"/>
  <c r="V985" i="4"/>
  <c r="V977" i="4"/>
  <c r="V969" i="4"/>
  <c r="V961" i="4"/>
  <c r="V953" i="4"/>
  <c r="V945" i="4"/>
  <c r="V937" i="4"/>
  <c r="V929" i="4"/>
  <c r="V921" i="4"/>
  <c r="V913" i="4"/>
  <c r="V905" i="4"/>
  <c r="V897" i="4"/>
  <c r="V889" i="4"/>
  <c r="V881" i="4"/>
  <c r="V873" i="4"/>
  <c r="V865" i="4"/>
  <c r="V857" i="4"/>
  <c r="V849" i="4"/>
  <c r="V841" i="4"/>
  <c r="V833" i="4"/>
  <c r="V825" i="4"/>
  <c r="V817" i="4"/>
  <c r="V809" i="4"/>
  <c r="V801" i="4"/>
  <c r="V793" i="4"/>
  <c r="V785" i="4"/>
  <c r="V777" i="4"/>
  <c r="V769" i="4"/>
  <c r="V761" i="4"/>
  <c r="V753" i="4"/>
  <c r="V745" i="4"/>
  <c r="V737" i="4"/>
  <c r="V729" i="4"/>
  <c r="V721" i="4"/>
  <c r="V713" i="4"/>
  <c r="V705" i="4"/>
  <c r="V697" i="4"/>
  <c r="V689" i="4"/>
  <c r="V681" i="4"/>
  <c r="V673" i="4"/>
  <c r="V665" i="4"/>
  <c r="V657" i="4"/>
  <c r="V649" i="4"/>
  <c r="V641" i="4"/>
  <c r="V633" i="4"/>
  <c r="V625" i="4"/>
  <c r="V617" i="4"/>
  <c r="V609" i="4"/>
  <c r="V1496" i="4"/>
  <c r="V1488" i="4"/>
  <c r="V1480" i="4"/>
  <c r="V1472" i="4"/>
  <c r="V1464" i="4"/>
  <c r="V1456" i="4"/>
  <c r="V1448" i="4"/>
  <c r="V1440" i="4"/>
  <c r="V1432" i="4"/>
  <c r="V1424" i="4"/>
  <c r="V1416" i="4"/>
  <c r="V1408" i="4"/>
  <c r="V1400" i="4"/>
  <c r="V1392" i="4"/>
  <c r="V1384" i="4"/>
  <c r="V1376" i="4"/>
  <c r="V1368" i="4"/>
  <c r="V1360" i="4"/>
  <c r="V1352" i="4"/>
  <c r="V1344" i="4"/>
  <c r="V1336" i="4"/>
  <c r="V1328" i="4"/>
  <c r="V1320" i="4"/>
  <c r="V1312" i="4"/>
  <c r="V1304" i="4"/>
  <c r="V1296" i="4"/>
  <c r="V1288" i="4"/>
  <c r="V1280" i="4"/>
  <c r="V1272" i="4"/>
  <c r="V1264" i="4"/>
  <c r="V1256" i="4"/>
  <c r="V1248" i="4"/>
  <c r="V1240" i="4"/>
  <c r="V1232" i="4"/>
  <c r="V1224" i="4"/>
  <c r="V1216" i="4"/>
  <c r="V1208" i="4"/>
  <c r="V1200" i="4"/>
  <c r="V1192" i="4"/>
  <c r="V1184" i="4"/>
  <c r="V1176" i="4"/>
  <c r="V1168" i="4"/>
  <c r="V1160" i="4"/>
  <c r="V1152" i="4"/>
  <c r="V1144" i="4"/>
  <c r="V1136" i="4"/>
  <c r="V1128" i="4"/>
  <c r="V1120" i="4"/>
  <c r="V1112" i="4"/>
  <c r="V1104" i="4"/>
  <c r="V1096" i="4"/>
  <c r="V1088" i="4"/>
  <c r="V1080" i="4"/>
  <c r="V1072" i="4"/>
  <c r="V1064" i="4"/>
  <c r="V1056" i="4"/>
  <c r="V1048" i="4"/>
  <c r="V1040" i="4"/>
  <c r="V1032" i="4"/>
  <c r="V1024" i="4"/>
  <c r="V1016" i="4"/>
  <c r="V1008" i="4"/>
  <c r="V1000" i="4"/>
  <c r="V992" i="4"/>
  <c r="V984" i="4"/>
  <c r="V976" i="4"/>
  <c r="V968" i="4"/>
  <c r="V960" i="4"/>
  <c r="V952" i="4"/>
  <c r="V944" i="4"/>
  <c r="V936" i="4"/>
  <c r="V928" i="4"/>
  <c r="V920" i="4"/>
  <c r="V912" i="4"/>
  <c r="V904" i="4"/>
  <c r="V896" i="4"/>
  <c r="V888" i="4"/>
  <c r="V880" i="4"/>
  <c r="V872" i="4"/>
  <c r="V864" i="4"/>
  <c r="V856" i="4"/>
  <c r="V848" i="4"/>
  <c r="V840" i="4"/>
  <c r="V832" i="4"/>
  <c r="V824" i="4"/>
  <c r="V816" i="4"/>
  <c r="V808" i="4"/>
  <c r="V800" i="4"/>
  <c r="V792" i="4"/>
  <c r="V784" i="4"/>
  <c r="V776" i="4"/>
  <c r="V768" i="4"/>
  <c r="V760" i="4"/>
  <c r="V752" i="4"/>
  <c r="V744" i="4"/>
  <c r="V736" i="4"/>
  <c r="V728" i="4"/>
  <c r="V720" i="4"/>
  <c r="V712" i="4"/>
  <c r="V704" i="4"/>
  <c r="V696" i="4"/>
  <c r="V688" i="4"/>
  <c r="V680" i="4"/>
  <c r="V672" i="4"/>
  <c r="V664" i="4"/>
  <c r="V656" i="4"/>
  <c r="V648" i="4"/>
  <c r="V640" i="4"/>
  <c r="V632" i="4"/>
  <c r="V624" i="4"/>
  <c r="V616" i="4"/>
  <c r="V1391" i="4"/>
  <c r="V1383" i="4"/>
  <c r="V1375" i="4"/>
  <c r="V1367" i="4"/>
  <c r="V1359" i="4"/>
  <c r="V1351" i="4"/>
  <c r="V1343" i="4"/>
  <c r="V1335" i="4"/>
  <c r="V1327" i="4"/>
  <c r="V1319" i="4"/>
  <c r="V1311" i="4"/>
  <c r="V1303" i="4"/>
  <c r="V1295" i="4"/>
  <c r="V1287" i="4"/>
  <c r="V1279" i="4"/>
  <c r="V1271" i="4"/>
  <c r="V1263" i="4"/>
  <c r="V1255" i="4"/>
  <c r="V1247" i="4"/>
  <c r="V1239" i="4"/>
  <c r="V1231" i="4"/>
  <c r="V1223" i="4"/>
  <c r="V1215" i="4"/>
  <c r="V1207" i="4"/>
  <c r="V1199" i="4"/>
  <c r="V1191" i="4"/>
  <c r="V1183" i="4"/>
  <c r="V1175" i="4"/>
  <c r="V1167" i="4"/>
  <c r="V1159" i="4"/>
  <c r="V1151" i="4"/>
  <c r="V1143" i="4"/>
  <c r="V1135" i="4"/>
  <c r="V1127" i="4"/>
  <c r="V1119" i="4"/>
  <c r="V1111" i="4"/>
  <c r="V1103" i="4"/>
  <c r="V1095" i="4"/>
  <c r="V1087" i="4"/>
  <c r="V1079" i="4"/>
  <c r="V1071" i="4"/>
  <c r="V1063" i="4"/>
  <c r="V1055" i="4"/>
  <c r="V1047" i="4"/>
  <c r="V1039" i="4"/>
  <c r="V1031" i="4"/>
  <c r="V1023" i="4"/>
  <c r="V1015" i="4"/>
  <c r="V1007" i="4"/>
  <c r="V999" i="4"/>
  <c r="V991" i="4"/>
  <c r="V983" i="4"/>
  <c r="V975" i="4"/>
  <c r="V967" i="4"/>
  <c r="V959" i="4"/>
  <c r="V951" i="4"/>
  <c r="V943" i="4"/>
  <c r="V935" i="4"/>
  <c r="V927" i="4"/>
  <c r="V919" i="4"/>
  <c r="V911" i="4"/>
  <c r="V903" i="4"/>
  <c r="V895" i="4"/>
  <c r="V887" i="4"/>
  <c r="V879" i="4"/>
  <c r="V871" i="4"/>
  <c r="V863" i="4"/>
  <c r="V855" i="4"/>
  <c r="V847" i="4"/>
  <c r="V839" i="4"/>
  <c r="V831" i="4"/>
  <c r="V823" i="4"/>
  <c r="V815" i="4"/>
  <c r="V807" i="4"/>
  <c r="V799" i="4"/>
  <c r="V791" i="4"/>
  <c r="V783" i="4"/>
  <c r="V775" i="4"/>
  <c r="V767" i="4"/>
  <c r="V759" i="4"/>
  <c r="V751" i="4"/>
  <c r="V743" i="4"/>
  <c r="V735" i="4"/>
  <c r="V727" i="4"/>
  <c r="V719" i="4"/>
  <c r="V711" i="4"/>
  <c r="V703" i="4"/>
  <c r="V695" i="4"/>
  <c r="V687" i="4"/>
  <c r="V679" i="4"/>
  <c r="V671" i="4"/>
  <c r="V663" i="4"/>
  <c r="V655" i="4"/>
  <c r="V647" i="4"/>
  <c r="V639" i="4"/>
  <c r="V631" i="4"/>
  <c r="V623" i="4"/>
  <c r="V615" i="4"/>
  <c r="V607" i="4"/>
  <c r="V599" i="4"/>
  <c r="V591" i="4"/>
  <c r="V583" i="4"/>
  <c r="V575" i="4"/>
  <c r="V567" i="4"/>
  <c r="V559" i="4"/>
  <c r="V551" i="4"/>
  <c r="V543" i="4"/>
  <c r="V535" i="4"/>
  <c r="V527" i="4"/>
  <c r="V519" i="4"/>
  <c r="V511" i="4"/>
  <c r="V503" i="4"/>
  <c r="V495" i="4"/>
  <c r="V487" i="4"/>
  <c r="V479" i="4"/>
  <c r="V471" i="4"/>
  <c r="V463" i="4"/>
  <c r="V423" i="4"/>
  <c r="V415" i="4"/>
  <c r="V407" i="4"/>
  <c r="V399" i="4"/>
  <c r="V391" i="4"/>
  <c r="V383" i="4"/>
  <c r="V375" i="4"/>
  <c r="V366" i="4"/>
  <c r="V358" i="4"/>
  <c r="V350" i="4"/>
  <c r="V342" i="4"/>
  <c r="V334" i="4"/>
  <c r="V326" i="4"/>
  <c r="V318" i="4"/>
  <c r="V310" i="4"/>
  <c r="V302" i="4"/>
  <c r="V294" i="4"/>
  <c r="V286" i="4"/>
  <c r="V278" i="4"/>
  <c r="V270" i="4"/>
  <c r="V262" i="4"/>
  <c r="V254" i="4"/>
  <c r="V246" i="4"/>
  <c r="V238" i="4"/>
  <c r="V230" i="4"/>
  <c r="V222" i="4"/>
  <c r="V214" i="4"/>
  <c r="V206" i="4"/>
  <c r="V198" i="4"/>
  <c r="V190" i="4"/>
  <c r="V182" i="4"/>
  <c r="V174" i="4"/>
  <c r="V166" i="4"/>
  <c r="V158" i="4"/>
  <c r="V150" i="4"/>
  <c r="V142" i="4"/>
  <c r="V134" i="4"/>
  <c r="V126" i="4"/>
  <c r="V118" i="4"/>
  <c r="V110" i="4"/>
  <c r="V102" i="4"/>
  <c r="V94" i="4"/>
  <c r="V86" i="4"/>
  <c r="V78" i="4"/>
  <c r="V70" i="4"/>
  <c r="V62" i="4"/>
  <c r="V54" i="4"/>
  <c r="V46" i="4"/>
  <c r="V38" i="4"/>
  <c r="V30" i="4"/>
  <c r="V22" i="4"/>
  <c r="V14" i="4"/>
  <c r="V6" i="4"/>
  <c r="V2" i="4"/>
  <c r="V1494" i="4"/>
  <c r="V1486" i="4"/>
  <c r="V1478" i="4"/>
  <c r="V1470" i="4"/>
  <c r="V1462" i="4"/>
  <c r="V1454" i="4"/>
  <c r="V1446" i="4"/>
  <c r="V1438" i="4"/>
  <c r="V1430" i="4"/>
  <c r="V1422" i="4"/>
  <c r="V1414" i="4"/>
  <c r="V1406" i="4"/>
  <c r="V1398" i="4"/>
  <c r="V1390" i="4"/>
  <c r="V1382" i="4"/>
  <c r="V1374" i="4"/>
  <c r="V1366" i="4"/>
  <c r="V1358" i="4"/>
  <c r="V1350" i="4"/>
  <c r="V1342" i="4"/>
  <c r="V1334" i="4"/>
  <c r="V1326" i="4"/>
  <c r="V1318" i="4"/>
  <c r="V1310" i="4"/>
  <c r="V1302" i="4"/>
  <c r="V1294" i="4"/>
  <c r="V1286" i="4"/>
  <c r="V1278" i="4"/>
  <c r="V1270" i="4"/>
  <c r="V1262" i="4"/>
  <c r="V1254" i="4"/>
  <c r="V1246" i="4"/>
  <c r="V1238" i="4"/>
  <c r="V1230" i="4"/>
  <c r="V1222" i="4"/>
  <c r="V1214" i="4"/>
  <c r="V1206" i="4"/>
  <c r="V1198" i="4"/>
  <c r="V1190" i="4"/>
  <c r="V1182" i="4"/>
  <c r="V1174" i="4"/>
  <c r="V1166" i="4"/>
  <c r="V1158" i="4"/>
  <c r="V1150" i="4"/>
  <c r="V1142" i="4"/>
  <c r="V1134" i="4"/>
  <c r="V1126" i="4"/>
  <c r="V1118" i="4"/>
  <c r="V1110" i="4"/>
  <c r="V1102" i="4"/>
  <c r="V1094" i="4"/>
  <c r="V1086" i="4"/>
  <c r="V1078" i="4"/>
  <c r="V1070" i="4"/>
  <c r="V1062" i="4"/>
  <c r="V1054" i="4"/>
  <c r="V1046" i="4"/>
  <c r="V1038" i="4"/>
  <c r="V1030" i="4"/>
  <c r="V1022" i="4"/>
  <c r="V1014" i="4"/>
  <c r="V1006" i="4"/>
  <c r="V998" i="4"/>
  <c r="V990" i="4"/>
  <c r="V982" i="4"/>
  <c r="V974" i="4"/>
  <c r="V966" i="4"/>
  <c r="V958" i="4"/>
  <c r="V950" i="4"/>
  <c r="V942" i="4"/>
  <c r="V934" i="4"/>
  <c r="V926" i="4"/>
  <c r="V918" i="4"/>
  <c r="V910" i="4"/>
  <c r="V902" i="4"/>
  <c r="V894" i="4"/>
  <c r="V886" i="4"/>
  <c r="V878" i="4"/>
  <c r="V870" i="4"/>
  <c r="V862" i="4"/>
  <c r="V854" i="4"/>
  <c r="V846" i="4"/>
  <c r="V838" i="4"/>
  <c r="V830" i="4"/>
  <c r="V822" i="4"/>
  <c r="V814" i="4"/>
  <c r="V806" i="4"/>
  <c r="V798" i="4"/>
  <c r="V790" i="4"/>
  <c r="V782" i="4"/>
  <c r="V774" i="4"/>
  <c r="V766" i="4"/>
  <c r="V758" i="4"/>
  <c r="V750" i="4"/>
  <c r="V742" i="4"/>
  <c r="V734" i="4"/>
  <c r="V726" i="4"/>
  <c r="V718" i="4"/>
  <c r="V710" i="4"/>
  <c r="V702" i="4"/>
  <c r="V694" i="4"/>
  <c r="V686" i="4"/>
  <c r="V678" i="4"/>
  <c r="V670" i="4"/>
  <c r="V662" i="4"/>
  <c r="V654" i="4"/>
  <c r="V646" i="4"/>
  <c r="V638" i="4"/>
  <c r="V630" i="4"/>
  <c r="V622" i="4"/>
  <c r="V614" i="4"/>
  <c r="V606" i="4"/>
  <c r="V598" i="4"/>
  <c r="V590" i="4"/>
  <c r="V582" i="4"/>
  <c r="V574" i="4"/>
  <c r="V566" i="4"/>
  <c r="V558" i="4"/>
  <c r="V550" i="4"/>
  <c r="V542" i="4"/>
  <c r="V534" i="4"/>
  <c r="V526" i="4"/>
  <c r="V518" i="4"/>
  <c r="V510" i="4"/>
  <c r="V502" i="4"/>
  <c r="V494" i="4"/>
  <c r="V486" i="4"/>
  <c r="V478" i="4"/>
  <c r="V470" i="4"/>
  <c r="V422" i="4"/>
  <c r="V414" i="4"/>
  <c r="V406" i="4"/>
  <c r="V398" i="4"/>
  <c r="V390" i="4"/>
  <c r="V382" i="4"/>
  <c r="V374" i="4"/>
  <c r="V365" i="4"/>
  <c r="V357" i="4"/>
  <c r="V349" i="4"/>
  <c r="V341" i="4"/>
  <c r="V333" i="4"/>
  <c r="V325" i="4"/>
  <c r="V317" i="4"/>
  <c r="V309" i="4"/>
  <c r="V301" i="4"/>
  <c r="V293" i="4"/>
  <c r="V285" i="4"/>
  <c r="V277" i="4"/>
  <c r="V269" i="4"/>
  <c r="V261" i="4"/>
  <c r="V253" i="4"/>
  <c r="V245" i="4"/>
  <c r="V237" i="4"/>
  <c r="V229" i="4"/>
  <c r="V221" i="4"/>
  <c r="V213" i="4"/>
  <c r="V205" i="4"/>
  <c r="V197" i="4"/>
  <c r="V189" i="4"/>
  <c r="V181" i="4"/>
  <c r="V173" i="4"/>
  <c r="V165" i="4"/>
  <c r="V157" i="4"/>
  <c r="V149" i="4"/>
  <c r="V141" i="4"/>
  <c r="V604" i="4"/>
  <c r="V596" i="4"/>
  <c r="V588" i="4"/>
  <c r="V580" i="4"/>
  <c r="V572" i="4"/>
  <c r="V564" i="4"/>
  <c r="V556" i="4"/>
  <c r="V548" i="4"/>
  <c r="V540" i="4"/>
  <c r="V532" i="4"/>
  <c r="V524" i="4"/>
  <c r="V516" i="4"/>
  <c r="V508" i="4"/>
  <c r="V500" i="4"/>
  <c r="V492" i="4"/>
  <c r="V484" i="4"/>
  <c r="V468" i="4"/>
  <c r="V428" i="4"/>
  <c r="V420" i="4"/>
  <c r="V412" i="4"/>
  <c r="V404" i="4"/>
  <c r="V396" i="4"/>
  <c r="V388" i="4"/>
  <c r="V380" i="4"/>
  <c r="V371" i="4"/>
  <c r="V363" i="4"/>
  <c r="V355" i="4"/>
  <c r="V347" i="4"/>
  <c r="V339" i="4"/>
  <c r="V331" i="4"/>
  <c r="V323" i="4"/>
  <c r="V315" i="4"/>
  <c r="V307" i="4"/>
  <c r="V299" i="4"/>
  <c r="V291" i="4"/>
  <c r="V283" i="4"/>
  <c r="V275" i="4"/>
  <c r="V267" i="4"/>
  <c r="V259" i="4"/>
  <c r="V251" i="4"/>
  <c r="V243" i="4"/>
  <c r="V235" i="4"/>
  <c r="V227" i="4"/>
  <c r="V219" i="4"/>
  <c r="V211" i="4"/>
  <c r="V203" i="4"/>
  <c r="V195" i="4"/>
  <c r="V187" i="4"/>
  <c r="V179" i="4"/>
  <c r="V171" i="4"/>
  <c r="V163" i="4"/>
  <c r="V155" i="4"/>
  <c r="V147" i="4"/>
  <c r="V139" i="4"/>
  <c r="V131" i="4"/>
  <c r="V123" i="4"/>
  <c r="V115" i="4"/>
  <c r="V107" i="4"/>
  <c r="V99" i="4"/>
  <c r="V91" i="4"/>
  <c r="V83" i="4"/>
  <c r="V75" i="4"/>
  <c r="V67" i="4"/>
  <c r="V59" i="4"/>
  <c r="V51" i="4"/>
  <c r="V43" i="4"/>
  <c r="V35" i="4"/>
  <c r="V27" i="4"/>
  <c r="V19" i="4"/>
  <c r="V11" i="4"/>
  <c r="V3" i="4"/>
  <c r="V443" i="4"/>
  <c r="V435" i="4"/>
  <c r="V427" i="4"/>
  <c r="V419" i="4"/>
  <c r="V411" i="4"/>
  <c r="V403" i="4"/>
  <c r="V395" i="4"/>
  <c r="V387" i="4"/>
  <c r="V379" i="4"/>
  <c r="V370" i="4"/>
  <c r="V362" i="4"/>
  <c r="V354" i="4"/>
  <c r="V346" i="4"/>
  <c r="V338" i="4"/>
  <c r="V330" i="4"/>
  <c r="V322" i="4"/>
  <c r="V314" i="4"/>
  <c r="V306" i="4"/>
  <c r="V298" i="4"/>
  <c r="V290" i="4"/>
  <c r="V282" i="4"/>
  <c r="V274" i="4"/>
  <c r="V266" i="4"/>
  <c r="V258" i="4"/>
  <c r="V250" i="4"/>
  <c r="V242" i="4"/>
  <c r="V234" i="4"/>
  <c r="V226" i="4"/>
  <c r="V218" i="4"/>
  <c r="V210" i="4"/>
  <c r="V202" i="4"/>
  <c r="V194" i="4"/>
  <c r="V186" i="4"/>
  <c r="V178" i="4"/>
  <c r="V170" i="4"/>
  <c r="V162" i="4"/>
  <c r="V154" i="4"/>
  <c r="V146" i="4"/>
  <c r="V138" i="4"/>
  <c r="V130" i="4"/>
  <c r="V122" i="4"/>
  <c r="V114" i="4"/>
  <c r="V106" i="4"/>
  <c r="V98" i="4"/>
  <c r="V90" i="4"/>
  <c r="V82" i="4"/>
  <c r="V74" i="4"/>
  <c r="V66" i="4"/>
  <c r="V58" i="4"/>
  <c r="V50" i="4"/>
  <c r="V42" i="4"/>
  <c r="V34" i="4"/>
  <c r="V26" i="4"/>
  <c r="V18" i="4"/>
  <c r="V10" i="4"/>
  <c r="V562" i="4"/>
  <c r="V554" i="4"/>
  <c r="V546" i="4"/>
  <c r="V538" i="4"/>
  <c r="V530" i="4"/>
  <c r="V522" i="4"/>
  <c r="V514" i="4"/>
  <c r="V506" i="4"/>
  <c r="V498" i="4"/>
  <c r="V490" i="4"/>
  <c r="V482" i="4"/>
  <c r="V474" i="4"/>
  <c r="V466" i="4"/>
  <c r="V434" i="4"/>
  <c r="V426" i="4"/>
  <c r="V418" i="4"/>
  <c r="V410" i="4"/>
  <c r="V402" i="4"/>
  <c r="V394" i="4"/>
  <c r="V386" i="4"/>
  <c r="V378" i="4"/>
  <c r="V369" i="4"/>
  <c r="V361" i="4"/>
  <c r="V353" i="4"/>
  <c r="V345" i="4"/>
  <c r="V337" i="4"/>
  <c r="V329" i="4"/>
  <c r="V321" i="4"/>
  <c r="V313" i="4"/>
  <c r="V305" i="4"/>
  <c r="V297" i="4"/>
  <c r="V289" i="4"/>
  <c r="V281" i="4"/>
  <c r="V273" i="4"/>
  <c r="V265" i="4"/>
  <c r="V257" i="4"/>
  <c r="V249" i="4"/>
  <c r="V241" i="4"/>
  <c r="V233" i="4"/>
  <c r="V225" i="4"/>
  <c r="V217" i="4"/>
  <c r="V209" i="4"/>
  <c r="V201" i="4"/>
  <c r="V193" i="4"/>
  <c r="V185" i="4"/>
  <c r="V177" i="4"/>
  <c r="V169" i="4"/>
  <c r="V161" i="4"/>
  <c r="V153" i="4"/>
  <c r="V145" i="4"/>
  <c r="V137" i="4"/>
  <c r="V129" i="4"/>
  <c r="V121" i="4"/>
  <c r="V113" i="4"/>
  <c r="V105" i="4"/>
  <c r="V97" i="4"/>
  <c r="V89" i="4"/>
  <c r="V81" i="4"/>
  <c r="V73" i="4"/>
  <c r="V65" i="4"/>
  <c r="V57" i="4"/>
  <c r="V49" i="4"/>
  <c r="V41" i="4"/>
  <c r="V33" i="4"/>
  <c r="V25" i="4"/>
  <c r="V17" i="4"/>
  <c r="V9" i="4"/>
  <c r="V601" i="4"/>
  <c r="V593" i="4"/>
  <c r="V585" i="4"/>
  <c r="V577" i="4"/>
  <c r="V569" i="4"/>
  <c r="V561" i="4"/>
  <c r="V553" i="4"/>
  <c r="V545" i="4"/>
  <c r="V537" i="4"/>
  <c r="V529" i="4"/>
  <c r="V521" i="4"/>
  <c r="V513" i="4"/>
  <c r="V505" i="4"/>
  <c r="V497" i="4"/>
  <c r="V489" i="4"/>
  <c r="V473" i="4"/>
  <c r="V433" i="4"/>
  <c r="V425" i="4"/>
  <c r="V417" i="4"/>
  <c r="V409" i="4"/>
  <c r="V401" i="4"/>
  <c r="V393" i="4"/>
  <c r="V385" i="4"/>
  <c r="V377" i="4"/>
  <c r="V368" i="4"/>
  <c r="V360" i="4"/>
  <c r="V352" i="4"/>
  <c r="V344" i="4"/>
  <c r="V336" i="4"/>
  <c r="V328" i="4"/>
  <c r="V320" i="4"/>
  <c r="V312" i="4"/>
  <c r="V304" i="4"/>
  <c r="V296" i="4"/>
  <c r="V288" i="4"/>
  <c r="V280" i="4"/>
  <c r="V272" i="4"/>
  <c r="V264" i="4"/>
  <c r="V256" i="4"/>
  <c r="V248" i="4"/>
  <c r="V240" i="4"/>
  <c r="V232" i="4"/>
  <c r="V224" i="4"/>
  <c r="V216" i="4"/>
  <c r="V208" i="4"/>
  <c r="V200" i="4"/>
  <c r="V192" i="4"/>
  <c r="V184" i="4"/>
  <c r="V176" i="4"/>
  <c r="V168" i="4"/>
  <c r="V160" i="4"/>
  <c r="V152" i="4"/>
  <c r="V144" i="4"/>
  <c r="V136" i="4"/>
  <c r="V128" i="4"/>
  <c r="V120" i="4"/>
  <c r="V112" i="4"/>
  <c r="V104" i="4"/>
  <c r="V96" i="4"/>
  <c r="V88" i="4"/>
  <c r="V80" i="4"/>
  <c r="V72" i="4"/>
  <c r="V64" i="4"/>
  <c r="V56" i="4"/>
  <c r="V48" i="4"/>
  <c r="V40" i="4"/>
  <c r="V32" i="4"/>
  <c r="V24" i="4"/>
  <c r="V16" i="4"/>
  <c r="V8" i="4"/>
  <c r="V608" i="4"/>
  <c r="V600" i="4"/>
  <c r="V592" i="4"/>
  <c r="V584" i="4"/>
  <c r="V576" i="4"/>
  <c r="V568" i="4"/>
  <c r="V560" i="4"/>
  <c r="V552" i="4"/>
  <c r="V544" i="4"/>
  <c r="V536" i="4"/>
  <c r="V528" i="4"/>
  <c r="V520" i="4"/>
  <c r="V512" i="4"/>
  <c r="V504" i="4"/>
  <c r="V496" i="4"/>
  <c r="V488" i="4"/>
  <c r="V480" i="4"/>
  <c r="V464" i="4"/>
  <c r="V432" i="4"/>
  <c r="V424" i="4"/>
  <c r="V416" i="4"/>
  <c r="V408" i="4"/>
  <c r="V400" i="4"/>
  <c r="V392" i="4"/>
  <c r="V384" i="4"/>
  <c r="V376" i="4"/>
  <c r="V367" i="4"/>
  <c r="V359" i="4"/>
  <c r="V351" i="4"/>
  <c r="V343" i="4"/>
  <c r="V335" i="4"/>
  <c r="V327" i="4"/>
  <c r="V319" i="4"/>
  <c r="V311" i="4"/>
  <c r="V303" i="4"/>
  <c r="V295" i="4"/>
  <c r="V287" i="4"/>
  <c r="V279" i="4"/>
  <c r="V271" i="4"/>
  <c r="V263" i="4"/>
  <c r="V255" i="4"/>
  <c r="V247" i="4"/>
  <c r="V239" i="4"/>
  <c r="V231" i="4"/>
  <c r="V223" i="4"/>
  <c r="V215" i="4"/>
  <c r="V207" i="4"/>
  <c r="V199" i="4"/>
  <c r="V191" i="4"/>
  <c r="V183" i="4"/>
  <c r="V175" i="4"/>
  <c r="V167" i="4"/>
  <c r="V159" i="4"/>
  <c r="V151" i="4"/>
  <c r="V143" i="4"/>
  <c r="V135" i="4"/>
  <c r="V127" i="4"/>
  <c r="V119" i="4"/>
  <c r="V111" i="4"/>
  <c r="V103" i="4"/>
  <c r="V95" i="4"/>
  <c r="V87" i="4"/>
  <c r="V79" i="4"/>
  <c r="V71" i="4"/>
  <c r="V63" i="4"/>
  <c r="V55" i="4"/>
  <c r="V47" i="4"/>
  <c r="V39" i="4"/>
  <c r="V31" i="4"/>
  <c r="V23" i="4"/>
  <c r="V15" i="4"/>
  <c r="V7" i="4"/>
  <c r="V133" i="4"/>
  <c r="V125" i="4"/>
  <c r="V117" i="4"/>
  <c r="V109" i="4"/>
  <c r="V101" i="4"/>
  <c r="V93" i="4"/>
  <c r="V85" i="4"/>
  <c r="V77" i="4"/>
  <c r="V69" i="4"/>
  <c r="V61" i="4"/>
  <c r="V53" i="4"/>
  <c r="V45" i="4"/>
  <c r="V37" i="4"/>
  <c r="V29" i="4"/>
  <c r="V21" i="4"/>
  <c r="V13" i="4"/>
  <c r="V5" i="4"/>
  <c r="V429" i="4"/>
  <c r="V421" i="4"/>
  <c r="V413" i="4"/>
  <c r="V405" i="4"/>
  <c r="V397" i="4"/>
  <c r="V389" i="4"/>
  <c r="V381" i="4"/>
  <c r="V372" i="4"/>
  <c r="V364" i="4"/>
  <c r="V356" i="4"/>
  <c r="V348" i="4"/>
  <c r="V340" i="4"/>
  <c r="V332" i="4"/>
  <c r="V324" i="4"/>
  <c r="V316" i="4"/>
  <c r="V308" i="4"/>
  <c r="V300" i="4"/>
  <c r="V292" i="4"/>
  <c r="V284" i="4"/>
  <c r="V276" i="4"/>
  <c r="V268" i="4"/>
  <c r="V260" i="4"/>
  <c r="V252" i="4"/>
  <c r="V244" i="4"/>
  <c r="V236" i="4"/>
  <c r="V228" i="4"/>
  <c r="V220" i="4"/>
  <c r="V212" i="4"/>
  <c r="V204" i="4"/>
  <c r="V196" i="4"/>
  <c r="V188" i="4"/>
  <c r="V180" i="4"/>
  <c r="V172" i="4"/>
  <c r="V164" i="4"/>
  <c r="V156" i="4"/>
  <c r="V148" i="4"/>
  <c r="V140" i="4"/>
  <c r="V132" i="4"/>
  <c r="V124" i="4"/>
  <c r="V116" i="4"/>
  <c r="V108" i="4"/>
  <c r="V100" i="4"/>
  <c r="V92" i="4"/>
  <c r="V84" i="4"/>
  <c r="V76" i="4"/>
  <c r="V68" i="4"/>
  <c r="V60" i="4"/>
  <c r="V52" i="4"/>
  <c r="V44" i="4"/>
  <c r="V36" i="4"/>
  <c r="V28" i="4"/>
  <c r="V20" i="4"/>
  <c r="V12" i="4"/>
  <c r="V4" i="4"/>
  <c r="V373" i="4"/>
  <c r="F465" i="4"/>
  <c r="F58" i="4"/>
  <c r="G779" i="4"/>
  <c r="F883" i="4"/>
  <c r="F42" i="4"/>
  <c r="G851" i="4"/>
  <c r="F50" i="4"/>
  <c r="F34" i="4"/>
  <c r="F1000" i="4"/>
  <c r="G416" i="4"/>
  <c r="F1168" i="4"/>
  <c r="F560" i="4"/>
  <c r="F424" i="4"/>
  <c r="F298" i="4"/>
  <c r="F269" i="4"/>
  <c r="G375" i="4"/>
  <c r="F335" i="4"/>
  <c r="F1191" i="4"/>
  <c r="F351" i="4"/>
  <c r="F472" i="4"/>
  <c r="F480" i="4"/>
  <c r="F1064" i="4"/>
  <c r="F1024" i="4"/>
  <c r="F391" i="4"/>
  <c r="F400" i="4"/>
  <c r="F464" i="4"/>
  <c r="F528" i="4"/>
  <c r="F359" i="4"/>
  <c r="F456" i="4"/>
  <c r="F290" i="4"/>
  <c r="F253" i="4"/>
  <c r="H1" i="13"/>
  <c r="V448" i="4"/>
  <c r="G448" i="4"/>
  <c r="V439" i="4"/>
  <c r="B1" i="12"/>
  <c r="R1" i="8"/>
  <c r="F916" i="4"/>
  <c r="G828" i="4"/>
  <c r="G876" i="4"/>
  <c r="F996" i="4"/>
  <c r="F43" i="4"/>
  <c r="F764" i="4"/>
  <c r="F1148" i="4"/>
  <c r="F692" i="4"/>
  <c r="F68" i="4"/>
  <c r="G812" i="4"/>
  <c r="F1316" i="4"/>
  <c r="F660" i="4"/>
  <c r="F756" i="4"/>
  <c r="F892" i="4"/>
  <c r="G708" i="4"/>
  <c r="G700" i="4"/>
  <c r="G972" i="4"/>
  <c r="G1156" i="4"/>
  <c r="F668" i="4"/>
  <c r="F1404" i="4"/>
  <c r="F868" i="4"/>
  <c r="F820" i="4"/>
  <c r="F1356" i="4"/>
  <c r="F836" i="4"/>
  <c r="F540" i="4"/>
  <c r="F852" i="4"/>
  <c r="F27" i="4"/>
  <c r="F35" i="4"/>
  <c r="F484" i="4"/>
  <c r="F780" i="4"/>
  <c r="G844" i="4"/>
  <c r="F59" i="4"/>
  <c r="F263" i="4"/>
  <c r="G1260" i="4"/>
  <c r="F308" i="4"/>
  <c r="G964" i="4"/>
  <c r="F631" i="4"/>
  <c r="G1300" i="4"/>
  <c r="G292" i="4"/>
  <c r="F932" i="4"/>
  <c r="F279" i="4"/>
  <c r="F562" i="4"/>
  <c r="F654" i="4"/>
  <c r="G194" i="4"/>
  <c r="G228" i="4"/>
  <c r="F518" i="4"/>
  <c r="G447" i="4"/>
  <c r="F161" i="4"/>
  <c r="F650" i="4"/>
  <c r="F205" i="4"/>
  <c r="F342" i="4"/>
  <c r="F1038" i="4"/>
  <c r="F100" i="4"/>
  <c r="F385" i="4"/>
  <c r="G79" i="4"/>
  <c r="F956" i="4"/>
  <c r="F1372" i="4"/>
  <c r="F694" i="4"/>
  <c r="F1188" i="4"/>
  <c r="G606" i="4"/>
  <c r="F948" i="4"/>
  <c r="F630" i="4"/>
  <c r="F210" i="4"/>
  <c r="F297" i="4"/>
  <c r="G118" i="4"/>
  <c r="F1246" i="4"/>
  <c r="F479" i="4"/>
  <c r="G410" i="4"/>
  <c r="G682" i="4"/>
  <c r="F724" i="4"/>
  <c r="F231" i="4"/>
  <c r="G538" i="4"/>
  <c r="G866" i="4"/>
  <c r="F390" i="4"/>
  <c r="F546" i="4"/>
  <c r="F329" i="4"/>
  <c r="G260" i="4"/>
  <c r="G519" i="4"/>
  <c r="F578" i="4"/>
  <c r="F1358" i="4"/>
  <c r="G526" i="4"/>
  <c r="F471" i="4"/>
  <c r="F678" i="4"/>
  <c r="F213" i="4"/>
  <c r="F86" i="4"/>
  <c r="F221" i="4"/>
  <c r="F1308" i="4"/>
  <c r="G732" i="4"/>
  <c r="F1014" i="4"/>
  <c r="G716" i="4"/>
  <c r="F126" i="4"/>
  <c r="F431" i="4"/>
  <c r="G543" i="4"/>
  <c r="F66" i="4"/>
  <c r="F1247" i="4"/>
  <c r="F125" i="4"/>
  <c r="F353" i="4"/>
  <c r="F239" i="4"/>
  <c r="F337" i="4"/>
  <c r="F423" i="4"/>
  <c r="F1159" i="4"/>
  <c r="G1007" i="4"/>
  <c r="G74" i="4"/>
  <c r="G946" i="4"/>
  <c r="F247" i="4"/>
  <c r="F570" i="4"/>
  <c r="F434" i="4"/>
  <c r="F178" i="4"/>
  <c r="F361" i="4"/>
  <c r="F618" i="4"/>
  <c r="G165" i="4"/>
  <c r="G1431" i="4"/>
  <c r="F615" i="4"/>
  <c r="F510" i="4"/>
  <c r="F402" i="4"/>
  <c r="F554" i="4"/>
  <c r="G974" i="4"/>
  <c r="G566" i="4"/>
  <c r="F271" i="4"/>
  <c r="G1071" i="4"/>
  <c r="F82" i="4"/>
  <c r="G173" i="4"/>
  <c r="F426" i="4"/>
  <c r="G515" i="4"/>
  <c r="F1243" i="4"/>
  <c r="G1307" i="4"/>
  <c r="G1299" i="4"/>
  <c r="G1035" i="4"/>
  <c r="G166" i="4"/>
  <c r="F1475" i="4"/>
  <c r="G787" i="4"/>
  <c r="G963" i="4"/>
  <c r="F1452" i="4"/>
  <c r="G232" i="4"/>
  <c r="F240" i="4"/>
  <c r="G995" i="4"/>
  <c r="G899" i="4"/>
  <c r="F26" i="4"/>
  <c r="F419" i="4"/>
  <c r="G1003" i="4"/>
  <c r="G1435" i="4"/>
  <c r="G499" i="4"/>
  <c r="F1011" i="4"/>
  <c r="G1331" i="4"/>
  <c r="F1115" i="4"/>
  <c r="G1443" i="4"/>
  <c r="F1363" i="4"/>
  <c r="G531" i="4"/>
  <c r="G1019" i="4"/>
  <c r="F214" i="4"/>
  <c r="G643" i="4"/>
  <c r="F1419" i="4"/>
  <c r="F1291" i="4"/>
  <c r="F1139" i="4"/>
  <c r="G739" i="4"/>
  <c r="F1355" i="4"/>
  <c r="G763" i="4"/>
  <c r="G799" i="4"/>
  <c r="F599" i="4"/>
  <c r="F575" i="4"/>
  <c r="F559" i="4"/>
  <c r="F535" i="4"/>
  <c r="F1136" i="4"/>
  <c r="G1199" i="4"/>
  <c r="F567" i="4"/>
  <c r="F496" i="4"/>
  <c r="F551" i="4"/>
  <c r="F1079" i="4"/>
  <c r="F1208" i="4"/>
  <c r="G1135" i="4"/>
  <c r="F1176" i="4"/>
  <c r="F1440" i="4"/>
  <c r="F623" i="4"/>
  <c r="G1184" i="4"/>
  <c r="F1039" i="4"/>
  <c r="F1447" i="4"/>
  <c r="F1183" i="4"/>
  <c r="G607" i="4"/>
  <c r="F591" i="4"/>
  <c r="F727" i="4"/>
  <c r="F1207" i="4"/>
  <c r="G473" i="4"/>
  <c r="F1402" i="4"/>
  <c r="G524" i="4"/>
  <c r="F690" i="4"/>
  <c r="F874" i="4"/>
  <c r="F954" i="4"/>
  <c r="G1418" i="4"/>
  <c r="F486" i="4"/>
  <c r="F1354" i="4"/>
  <c r="F1259" i="4"/>
  <c r="F1267" i="4"/>
  <c r="F446" i="4"/>
  <c r="F1411" i="4"/>
  <c r="G169" i="4"/>
  <c r="G658" i="4"/>
  <c r="F267" i="4"/>
  <c r="F539" i="4"/>
  <c r="F532" i="4"/>
  <c r="F133" i="4"/>
  <c r="F493" i="4"/>
  <c r="F1114" i="4"/>
  <c r="F698" i="4"/>
  <c r="F259" i="4"/>
  <c r="F1274" i="4"/>
  <c r="G462" i="4"/>
  <c r="G547" i="4"/>
  <c r="F201" i="4"/>
  <c r="F666" i="4"/>
  <c r="G762" i="4"/>
  <c r="G890" i="4"/>
  <c r="F986" i="4"/>
  <c r="F639" i="4"/>
  <c r="F970" i="4"/>
  <c r="F1450" i="4"/>
  <c r="G770" i="4"/>
  <c r="F898" i="4"/>
  <c r="F422" i="4"/>
  <c r="G70" i="4"/>
  <c r="G778" i="4"/>
  <c r="F882" i="4"/>
  <c r="F78" i="4"/>
  <c r="F1314" i="4"/>
  <c r="G381" i="4"/>
  <c r="F454" i="4"/>
  <c r="F508" i="4"/>
  <c r="F209" i="4"/>
  <c r="F674" i="4"/>
  <c r="F794" i="4"/>
  <c r="G1042" i="4"/>
  <c r="F1410" i="4"/>
  <c r="F1010" i="4"/>
  <c r="F414" i="4"/>
  <c r="F627" i="4"/>
  <c r="G858" i="4"/>
  <c r="F1330" i="4"/>
  <c r="F1426" i="4"/>
  <c r="G470" i="4"/>
  <c r="G288" i="4"/>
  <c r="F906" i="4"/>
  <c r="F1058" i="4"/>
  <c r="F99" i="4"/>
  <c r="G978" i="4"/>
  <c r="F109" i="4"/>
  <c r="F1386" i="4"/>
  <c r="G802" i="4"/>
  <c r="F1074" i="4"/>
  <c r="F117" i="4"/>
  <c r="F571" i="4"/>
  <c r="H3" i="13"/>
  <c r="F407" i="4"/>
  <c r="F371" i="4"/>
  <c r="G768" i="4"/>
  <c r="F640" i="4"/>
  <c r="F1270" i="4"/>
  <c r="F1206" i="4"/>
  <c r="G1321" i="4"/>
  <c r="F1048" i="4"/>
  <c r="F249" i="4"/>
  <c r="F76" i="4"/>
  <c r="F293" i="4"/>
  <c r="F656" i="4"/>
  <c r="F1454" i="4"/>
  <c r="G191" i="4"/>
  <c r="F807" i="4"/>
  <c r="G1015" i="4"/>
  <c r="G1143" i="4"/>
  <c r="F696" i="4"/>
  <c r="G1040" i="4"/>
  <c r="G1281" i="4"/>
  <c r="F97" i="4"/>
  <c r="G483" i="4"/>
  <c r="F115" i="4"/>
  <c r="G84" i="4"/>
  <c r="G363" i="4"/>
  <c r="F927" i="4"/>
  <c r="F1047" i="4"/>
  <c r="F159" i="4"/>
  <c r="F354" i="4"/>
  <c r="F272" i="4"/>
  <c r="F150" i="4"/>
  <c r="F264" i="4"/>
  <c r="G847" i="4"/>
  <c r="G1031" i="4"/>
  <c r="G1087" i="4"/>
  <c r="G832" i="4"/>
  <c r="F1112" i="4"/>
  <c r="F521" i="4"/>
  <c r="G95" i="4"/>
  <c r="G1146" i="4"/>
  <c r="F672" i="4"/>
  <c r="G800" i="4"/>
  <c r="F513" i="4"/>
  <c r="F451" i="4"/>
  <c r="F1032" i="4"/>
  <c r="F1238" i="4"/>
  <c r="F386" i="4"/>
  <c r="F207" i="4"/>
  <c r="F1493" i="4"/>
  <c r="F199" i="4"/>
  <c r="G1104" i="4"/>
  <c r="G1237" i="4"/>
  <c r="G919" i="4"/>
  <c r="G1095" i="4"/>
  <c r="F233" i="4"/>
  <c r="F1214" i="4"/>
  <c r="G1150" i="4"/>
  <c r="G1174" i="4"/>
  <c r="G314" i="4"/>
  <c r="F122" i="4"/>
  <c r="F347" i="4"/>
  <c r="G158" i="4"/>
  <c r="F1230" i="4"/>
  <c r="F695" i="4"/>
  <c r="F935" i="4"/>
  <c r="G1055" i="4"/>
  <c r="F1127" i="4"/>
  <c r="F992" i="4"/>
  <c r="G1120" i="4"/>
  <c r="F257" i="4"/>
  <c r="G1479" i="4"/>
  <c r="F1190" i="4"/>
  <c r="F1397" i="4"/>
  <c r="F256" i="4"/>
  <c r="F608" i="4"/>
  <c r="F338" i="4"/>
  <c r="G183" i="4"/>
  <c r="F355" i="4"/>
  <c r="F944" i="4"/>
  <c r="F1457" i="4"/>
  <c r="F1198" i="4"/>
  <c r="F1317" i="4"/>
  <c r="F330" i="4"/>
  <c r="F142" i="4"/>
  <c r="F1329" i="4"/>
  <c r="G1229" i="4"/>
  <c r="G475" i="4"/>
  <c r="F1485" i="4"/>
  <c r="F459" i="4"/>
  <c r="G616" i="4"/>
  <c r="F490" i="4"/>
  <c r="G719" i="4"/>
  <c r="F999" i="4"/>
  <c r="G1063" i="4"/>
  <c r="F806" i="4"/>
  <c r="G374" i="4"/>
  <c r="F67" i="4"/>
  <c r="F966" i="4"/>
  <c r="G261" i="4"/>
  <c r="F1309" i="4"/>
  <c r="F171" i="4"/>
  <c r="G1018" i="4"/>
  <c r="G1449" i="4"/>
  <c r="G990" i="4"/>
  <c r="F709" i="4"/>
  <c r="G955" i="4"/>
  <c r="G366" i="4"/>
  <c r="F413" i="4"/>
  <c r="F757" i="4"/>
  <c r="F537" i="4"/>
  <c r="G758" i="4"/>
  <c r="F1141" i="4"/>
  <c r="F112" i="4"/>
  <c r="F1101" i="4"/>
  <c r="G1086" i="4"/>
  <c r="G867" i="4"/>
  <c r="F1258" i="4"/>
  <c r="G614" i="4"/>
  <c r="G536" i="4"/>
  <c r="G103" i="4"/>
  <c r="F545" i="4"/>
  <c r="G1145" i="4"/>
  <c r="F75" i="4"/>
  <c r="G442" i="4"/>
  <c r="G1138" i="4"/>
  <c r="G875" i="4"/>
  <c r="F405" i="4"/>
  <c r="F477" i="4"/>
  <c r="F1053" i="4"/>
  <c r="G1263" i="4"/>
  <c r="G1216" i="4"/>
  <c r="F638" i="4"/>
  <c r="F910" i="4"/>
  <c r="F1472" i="4"/>
  <c r="F838" i="4"/>
  <c r="F1455" i="4"/>
  <c r="F918" i="4"/>
  <c r="G1494" i="4"/>
  <c r="G822" i="4"/>
  <c r="F113" i="4"/>
  <c r="G485" i="4"/>
  <c r="F577" i="4"/>
  <c r="G523" i="4"/>
  <c r="F157" i="4"/>
  <c r="G679" i="4"/>
  <c r="G149" i="4"/>
  <c r="F553" i="4"/>
  <c r="F774" i="4"/>
  <c r="F1109" i="4"/>
  <c r="G1296" i="4"/>
  <c r="F1045" i="4"/>
  <c r="F164" i="4"/>
  <c r="F1273" i="4"/>
  <c r="G507" i="4"/>
  <c r="F1062" i="4"/>
  <c r="F821" i="4"/>
  <c r="F1102" i="4"/>
  <c r="F1448" i="4"/>
  <c r="F542" i="4"/>
  <c r="F163" i="4"/>
  <c r="F987" i="4"/>
  <c r="G798" i="4"/>
  <c r="F1239" i="4"/>
  <c r="F795" i="4"/>
  <c r="F1126" i="4"/>
  <c r="G1054" i="4"/>
  <c r="G1155" i="4"/>
  <c r="F789" i="4"/>
  <c r="F83" i="4"/>
  <c r="G1164" i="4"/>
  <c r="G1046" i="4"/>
  <c r="F339" i="4"/>
  <c r="F1389" i="4"/>
  <c r="F550" i="4"/>
  <c r="F1277" i="4"/>
  <c r="F1424" i="4"/>
  <c r="G218" i="4"/>
  <c r="F1094" i="4"/>
  <c r="G236" i="4"/>
  <c r="F1484" i="4"/>
  <c r="G568" i="4"/>
  <c r="F1200" i="4"/>
  <c r="F177" i="4"/>
  <c r="F585" i="4"/>
  <c r="F138" i="4"/>
  <c r="F1415" i="4"/>
  <c r="G179" i="4"/>
  <c r="F323" i="4"/>
  <c r="F453" i="4"/>
  <c r="F1353" i="4"/>
  <c r="F859" i="4"/>
  <c r="G1251" i="4"/>
  <c r="F846" i="4"/>
  <c r="F593" i="4"/>
  <c r="F436" i="4"/>
  <c r="G862" i="4"/>
  <c r="G790" i="4"/>
  <c r="F1413" i="4"/>
  <c r="G1401" i="4"/>
  <c r="G421" i="4"/>
  <c r="F1417" i="4"/>
  <c r="F1441" i="4"/>
  <c r="F742" i="4"/>
  <c r="F1393" i="4"/>
  <c r="F1077" i="4"/>
  <c r="F1116" i="4"/>
  <c r="G726" i="4"/>
  <c r="F120" i="4"/>
  <c r="F1093" i="4"/>
  <c r="F622" i="4"/>
  <c r="F1223" i="4"/>
  <c r="F276" i="4"/>
  <c r="F244" i="4"/>
  <c r="F647" i="4"/>
  <c r="F128" i="4"/>
  <c r="F584" i="4"/>
  <c r="F1160" i="4"/>
  <c r="F121" i="4"/>
  <c r="F185" i="4"/>
  <c r="F609" i="4"/>
  <c r="F1233" i="4"/>
  <c r="F187" i="4"/>
  <c r="G725" i="4"/>
  <c r="F734" i="4"/>
  <c r="F1133" i="4"/>
  <c r="F1439" i="4"/>
  <c r="F1333" i="4"/>
  <c r="F1231" i="4"/>
  <c r="G771" i="4"/>
  <c r="G750" i="4"/>
  <c r="F275" i="4"/>
  <c r="F437" i="4"/>
  <c r="F1122" i="4"/>
  <c r="F1365" i="4"/>
  <c r="G926" i="4"/>
  <c r="F662" i="4"/>
  <c r="G1433" i="4"/>
  <c r="F1021" i="4"/>
  <c r="F530" i="4"/>
  <c r="F506" i="4"/>
  <c r="F358" i="4"/>
  <c r="G829" i="4"/>
  <c r="F814" i="4"/>
  <c r="F393" i="4"/>
  <c r="F1172" i="4"/>
  <c r="F749" i="4"/>
  <c r="F273" i="4"/>
  <c r="G258" i="4"/>
  <c r="F1405" i="4"/>
  <c r="F590" i="4"/>
  <c r="G534" i="4"/>
  <c r="F1285" i="4"/>
  <c r="F325" i="4"/>
  <c r="G558" i="4"/>
  <c r="F145" i="4"/>
  <c r="F252" i="4"/>
  <c r="F624" i="4"/>
  <c r="F129" i="4"/>
  <c r="F1265" i="4"/>
  <c r="G683" i="4"/>
  <c r="G428" i="4"/>
  <c r="F461" i="4"/>
  <c r="F741" i="4"/>
  <c r="F680" i="4"/>
  <c r="F382" i="4"/>
  <c r="G830" i="4"/>
  <c r="F663" i="4"/>
  <c r="G702" i="4"/>
  <c r="F204" i="4"/>
  <c r="F1456" i="4"/>
  <c r="G396" i="4"/>
  <c r="G633" i="4"/>
  <c r="G1211" i="4"/>
  <c r="G492" i="4"/>
  <c r="G229" i="4"/>
  <c r="G317" i="4"/>
  <c r="F458" i="4"/>
  <c r="F1430" i="4"/>
  <c r="F1477" i="4"/>
  <c r="F1162" i="4"/>
  <c r="F936" i="4"/>
  <c r="G1004" i="4"/>
  <c r="F1020" i="4"/>
  <c r="G831" i="4"/>
  <c r="G688" i="4"/>
  <c r="G792" i="4"/>
  <c r="F920" i="4"/>
  <c r="G665" i="4"/>
  <c r="F1217" i="4"/>
  <c r="F1407" i="4"/>
  <c r="F596" i="4"/>
  <c r="G373" i="4"/>
  <c r="F1013" i="4"/>
  <c r="G991" i="4"/>
  <c r="G443" i="4"/>
  <c r="G420" i="4"/>
  <c r="G160" i="4"/>
  <c r="F728" i="4"/>
  <c r="F1399" i="4"/>
  <c r="F1461" i="4"/>
  <c r="F642" i="4"/>
  <c r="G395" i="4"/>
  <c r="F548" i="4"/>
  <c r="F1375" i="4"/>
  <c r="F1311" i="4"/>
  <c r="G736" i="4"/>
  <c r="G620" i="4"/>
  <c r="F230" i="4"/>
  <c r="G190" i="4"/>
  <c r="F1279" i="4"/>
  <c r="F776" i="4"/>
  <c r="F1351" i="4"/>
  <c r="G1132" i="4"/>
  <c r="G1154" i="4"/>
  <c r="F1422" i="4"/>
  <c r="F388" i="4"/>
  <c r="F412" i="4"/>
  <c r="G127" i="4"/>
  <c r="G855" i="4"/>
  <c r="G704" i="4"/>
  <c r="G808" i="4"/>
  <c r="G888" i="4"/>
  <c r="F952" i="4"/>
  <c r="F1453" i="4"/>
  <c r="F1249" i="4"/>
  <c r="F450" i="4"/>
  <c r="F1075" i="4"/>
  <c r="G237" i="4"/>
  <c r="G533" i="4"/>
  <c r="F294" i="4"/>
  <c r="F984" i="4"/>
  <c r="G872" i="4"/>
  <c r="F1490" i="4"/>
  <c r="F254" i="4"/>
  <c r="F1224" i="4"/>
  <c r="G246" i="4"/>
  <c r="G604" i="4"/>
  <c r="F815" i="4"/>
  <c r="F816" i="4"/>
  <c r="F960" i="4"/>
  <c r="F1185" i="4"/>
  <c r="F572" i="4"/>
  <c r="G1028" i="4"/>
  <c r="F1241" i="4"/>
  <c r="F1498" i="4"/>
  <c r="F404" i="4"/>
  <c r="G1310" i="4"/>
  <c r="G791" i="4"/>
  <c r="F198" i="4"/>
  <c r="F1194" i="4"/>
  <c r="G703" i="4"/>
  <c r="F628" i="4"/>
  <c r="G167" i="4"/>
  <c r="F735" i="4"/>
  <c r="F879" i="4"/>
  <c r="F712" i="4"/>
  <c r="F904" i="4"/>
  <c r="F435" i="4"/>
  <c r="G1306" i="4"/>
  <c r="G1107" i="4"/>
  <c r="G289" i="4"/>
  <c r="F580" i="4"/>
  <c r="G1380" i="4"/>
  <c r="F1496" i="4"/>
  <c r="G1244" i="4"/>
  <c r="F1319" i="4"/>
  <c r="F1474" i="4"/>
  <c r="G1292" i="4"/>
  <c r="G143" i="4"/>
  <c r="F917" i="4"/>
  <c r="F1271" i="4"/>
  <c r="F394" i="4"/>
  <c r="G502" i="4"/>
  <c r="F636" i="4"/>
  <c r="F1202" i="4"/>
  <c r="F411" i="4"/>
  <c r="G1178" i="4"/>
  <c r="F1362" i="4"/>
  <c r="F1336" i="4"/>
  <c r="F1364" i="4"/>
  <c r="F1476" i="4"/>
  <c r="F1084" i="4"/>
  <c r="G588" i="4"/>
  <c r="F135" i="4"/>
  <c r="F1254" i="4"/>
  <c r="F88" i="4"/>
  <c r="F503" i="4"/>
  <c r="F1167" i="4"/>
  <c r="G144" i="4"/>
  <c r="F1065" i="4"/>
  <c r="G1257" i="4"/>
  <c r="G595" i="4"/>
  <c r="G891" i="4"/>
  <c r="F1248" i="4"/>
  <c r="F181" i="4"/>
  <c r="F333" i="4"/>
  <c r="F182" i="4"/>
  <c r="F1391" i="4"/>
  <c r="G65" i="4"/>
  <c r="F840" i="4"/>
  <c r="F887" i="4"/>
  <c r="F316" i="4"/>
  <c r="F1483" i="4"/>
  <c r="G1091" i="4"/>
  <c r="F823" i="4"/>
  <c r="F911" i="4"/>
  <c r="F1232" i="4"/>
  <c r="F720" i="4"/>
  <c r="F912" i="4"/>
  <c r="F976" i="4"/>
  <c r="F153" i="4"/>
  <c r="G349" i="4"/>
  <c r="G296" i="4"/>
  <c r="F1005" i="4"/>
  <c r="G1131" i="4"/>
  <c r="G743" i="4"/>
  <c r="F824" i="4"/>
  <c r="F1193" i="4"/>
  <c r="G635" i="4"/>
  <c r="G971" i="4"/>
  <c r="G1067" i="4"/>
  <c r="F1170" i="4"/>
  <c r="F1236" i="4"/>
  <c r="F564" i="4"/>
  <c r="G1218" i="4"/>
  <c r="F1346" i="4"/>
  <c r="F1470" i="4"/>
  <c r="F1488" i="4"/>
  <c r="F220" i="4"/>
  <c r="F1394" i="4"/>
  <c r="G238" i="4"/>
  <c r="F1324" i="4"/>
  <c r="F845" i="4"/>
  <c r="F783" i="4"/>
  <c r="F869" i="4"/>
  <c r="F356" i="4"/>
  <c r="F1464" i="4"/>
  <c r="F1186" i="4"/>
  <c r="F965" i="4"/>
  <c r="F711" i="4"/>
  <c r="G387" i="4"/>
  <c r="F1481" i="4"/>
  <c r="G803" i="4"/>
  <c r="F1427" i="4"/>
  <c r="G111" i="4"/>
  <c r="F511" i="4"/>
  <c r="G759" i="4"/>
  <c r="G1103" i="4"/>
  <c r="F1396" i="4"/>
  <c r="G1209" i="4"/>
  <c r="F1359" i="4"/>
  <c r="G939" i="4"/>
  <c r="G197" i="4"/>
  <c r="G365" i="4"/>
  <c r="F1149" i="4"/>
  <c r="F1328" i="4"/>
  <c r="F1438" i="4"/>
  <c r="F1242" i="4"/>
  <c r="G744" i="4"/>
  <c r="F1080" i="4"/>
  <c r="F1318" i="4"/>
  <c r="F1451" i="4"/>
  <c r="F1286" i="4"/>
  <c r="G1294" i="4"/>
  <c r="F1098" i="4"/>
  <c r="F1344" i="4"/>
  <c r="F1326" i="4"/>
  <c r="G894" i="4"/>
  <c r="F1173" i="4"/>
  <c r="G675" i="4"/>
  <c r="F870" i="4"/>
  <c r="F1288" i="4"/>
  <c r="G896" i="4"/>
  <c r="G729" i="4"/>
  <c r="G1049" i="4"/>
  <c r="G1082" i="4"/>
  <c r="F468" i="4"/>
  <c r="F309" i="4"/>
  <c r="F1189" i="4"/>
  <c r="G1465" i="4"/>
  <c r="G1134" i="4"/>
  <c r="G909" i="4"/>
  <c r="G850" i="4"/>
  <c r="G804" i="4"/>
  <c r="F644" i="4"/>
  <c r="F1429" i="4"/>
  <c r="F766" i="4"/>
  <c r="F602" i="4"/>
  <c r="F842" i="4"/>
  <c r="G1027" i="4"/>
  <c r="F1406" i="4"/>
  <c r="G1458" i="4"/>
  <c r="F1227" i="4"/>
  <c r="F1486" i="4"/>
  <c r="G796" i="4"/>
  <c r="G541" i="4"/>
  <c r="G1250" i="4"/>
  <c r="G1059" i="4"/>
  <c r="G587" i="4"/>
  <c r="G1171" i="4"/>
  <c r="F491" i="4"/>
  <c r="F321" i="4"/>
  <c r="G1368" i="4"/>
  <c r="F1466" i="4"/>
  <c r="F924" i="4"/>
  <c r="F856" i="4"/>
  <c r="F968" i="4"/>
  <c r="F1128" i="4"/>
  <c r="F617" i="4"/>
  <c r="G689" i="4"/>
  <c r="F945" i="4"/>
  <c r="F985" i="4"/>
  <c r="F1446" i="4"/>
  <c r="F1034" i="4"/>
  <c r="F107" i="4"/>
  <c r="G1043" i="4"/>
  <c r="F721" i="4"/>
  <c r="F810" i="4"/>
  <c r="G1473" i="4"/>
  <c r="F415" i="4"/>
  <c r="F1408" i="4"/>
  <c r="F1225" i="4"/>
  <c r="G940" i="4"/>
  <c r="F975" i="4"/>
  <c r="G1163" i="4"/>
  <c r="F1280" i="4"/>
  <c r="F788" i="4"/>
  <c r="F751" i="4"/>
  <c r="F863" i="4"/>
  <c r="G1111" i="4"/>
  <c r="G1072" i="4"/>
  <c r="F697" i="4"/>
  <c r="F1113" i="4"/>
  <c r="G610" i="4"/>
  <c r="F938" i="4"/>
  <c r="F681" i="4"/>
  <c r="G1195" i="4"/>
  <c r="F444" i="4"/>
  <c r="F1157" i="4"/>
  <c r="F520" i="4"/>
  <c r="F512" i="4"/>
  <c r="F826" i="4"/>
  <c r="F886" i="4"/>
  <c r="F997" i="4"/>
  <c r="G438" i="4"/>
  <c r="F430" i="4"/>
  <c r="G1187" i="4"/>
  <c r="F527" i="4"/>
  <c r="F1119" i="4"/>
  <c r="G1096" i="4"/>
  <c r="F625" i="4"/>
  <c r="F953" i="4"/>
  <c r="G651" i="4"/>
  <c r="F1203" i="4"/>
  <c r="G579" i="4"/>
  <c r="G659" i="4"/>
  <c r="F1421" i="4"/>
  <c r="F594" i="4"/>
  <c r="F713" i="4"/>
  <c r="F1179" i="4"/>
  <c r="G1235" i="4"/>
  <c r="G1147" i="4"/>
  <c r="F1012" i="4"/>
  <c r="G781" i="4"/>
  <c r="G1036" i="4"/>
  <c r="G931" i="4"/>
  <c r="F983" i="4"/>
  <c r="F392" i="4"/>
  <c r="F667" i="4"/>
  <c r="F1130" i="4"/>
  <c r="F350" i="4"/>
  <c r="F522" i="4"/>
  <c r="G715" i="4"/>
  <c r="G1379" i="4"/>
  <c r="F1381" i="4"/>
  <c r="F980" i="4"/>
  <c r="F1151" i="4"/>
  <c r="F664" i="4"/>
  <c r="G200" i="4"/>
  <c r="F141" i="4"/>
  <c r="F569" i="4"/>
  <c r="F212" i="4"/>
  <c r="G598" i="4"/>
  <c r="G494" i="4"/>
  <c r="F307" i="4"/>
  <c r="F1384" i="4"/>
  <c r="F1420" i="4"/>
  <c r="F1403" i="4"/>
  <c r="F1332" i="4"/>
  <c r="F1297" i="4"/>
  <c r="G555" i="4"/>
  <c r="G707" i="4"/>
  <c r="F1350" i="4"/>
  <c r="F1395" i="4"/>
  <c r="F632" i="4"/>
  <c r="F1108" i="4"/>
  <c r="F529" i="4"/>
  <c r="G1100" i="4"/>
  <c r="F180" i="4"/>
  <c r="F174" i="4"/>
  <c r="G101" i="4"/>
  <c r="F767" i="4"/>
  <c r="F871" i="4"/>
  <c r="G1050" i="4"/>
  <c r="G563" i="4"/>
  <c r="F731" i="4"/>
  <c r="F445" i="4"/>
  <c r="G1414" i="4"/>
  <c r="G1325" i="4"/>
  <c r="F403" i="4"/>
  <c r="G576" i="4"/>
  <c r="F433" i="4"/>
  <c r="F1240" i="4"/>
  <c r="G1037" i="4"/>
  <c r="F1276" i="4"/>
  <c r="G110" i="4"/>
  <c r="F657" i="4"/>
  <c r="F1016" i="4"/>
  <c r="F782" i="4"/>
  <c r="F1212" i="4"/>
  <c r="G124" i="4"/>
  <c r="G1371" i="4"/>
  <c r="F613" i="4"/>
  <c r="F738" i="4"/>
  <c r="G1092" i="4"/>
  <c r="G255" i="4"/>
  <c r="G452" i="4"/>
  <c r="G1182" i="4"/>
  <c r="F362" i="4"/>
  <c r="F425" i="4"/>
  <c r="F1388" i="4"/>
  <c r="G377" i="4"/>
  <c r="F1339" i="4"/>
  <c r="G327" i="4"/>
  <c r="F319" i="4"/>
  <c r="F1487" i="4"/>
  <c r="G1320" i="4"/>
  <c r="F943" i="4"/>
  <c r="F1412" i="4"/>
  <c r="F864" i="4"/>
  <c r="F94" i="4"/>
  <c r="G193" i="4"/>
  <c r="F857" i="4"/>
  <c r="F1334" i="4"/>
  <c r="G155" i="4"/>
  <c r="F77" i="4"/>
  <c r="G908" i="4"/>
  <c r="G1069" i="4"/>
  <c r="F1342" i="4"/>
  <c r="F514" i="4"/>
  <c r="F1219" i="4"/>
  <c r="G389" i="4"/>
  <c r="F131" i="4"/>
  <c r="G1423" i="4"/>
  <c r="F1374" i="4"/>
  <c r="F843" i="4"/>
  <c r="F1283" i="4"/>
  <c r="G460" i="4"/>
  <c r="F797" i="4"/>
  <c r="G206" i="4"/>
  <c r="F878" i="4"/>
  <c r="F1205" i="4"/>
  <c r="F1366" i="4"/>
  <c r="F1197" i="4"/>
  <c r="F1327" i="4"/>
  <c r="F334" i="4"/>
  <c r="G915" i="4"/>
  <c r="F1416" i="4"/>
  <c r="F481" i="4"/>
  <c r="G467" i="4"/>
  <c r="F1166" i="4"/>
  <c r="F1409" i="4"/>
  <c r="F1056" i="4"/>
  <c r="F752" i="4"/>
  <c r="F1030" i="4"/>
  <c r="F1400" i="4"/>
  <c r="G474" i="4"/>
  <c r="G268" i="4"/>
  <c r="F1302" i="4"/>
  <c r="G671" i="4"/>
  <c r="F951" i="4"/>
  <c r="F1500" i="4"/>
  <c r="F1002" i="4"/>
  <c r="F819" i="4"/>
  <c r="G549" i="4"/>
  <c r="G723" i="4"/>
  <c r="F217" i="4"/>
  <c r="F281" i="4"/>
  <c r="F1009" i="4"/>
  <c r="F1044" i="4"/>
  <c r="F1459" i="4"/>
  <c r="G1262" i="4"/>
  <c r="F1398" i="4"/>
  <c r="G1255" i="4"/>
  <c r="F1495" i="4"/>
  <c r="G1463" i="4"/>
  <c r="F1469" i="4"/>
  <c r="G383" i="4"/>
  <c r="F1347" i="4"/>
  <c r="F760" i="4"/>
  <c r="F440" i="4"/>
  <c r="F1437" i="4"/>
  <c r="F274" i="4"/>
  <c r="F1377" i="4"/>
  <c r="F241" i="4"/>
  <c r="G959" i="4"/>
  <c r="G1023" i="4"/>
  <c r="F1215" i="4"/>
  <c r="G835" i="4"/>
  <c r="F605" i="4"/>
  <c r="F942" i="4"/>
  <c r="F341" i="4"/>
  <c r="G1226" i="4"/>
  <c r="F1226" i="4"/>
  <c r="F893" i="4"/>
  <c r="G893" i="4"/>
  <c r="F699" i="4"/>
  <c r="G699" i="4"/>
  <c r="F684" i="4"/>
  <c r="G684" i="4"/>
  <c r="F626" i="4"/>
  <c r="G626" i="4"/>
  <c r="F583" i="4"/>
  <c r="G583" i="4"/>
  <c r="G488" i="4"/>
  <c r="F488" i="4"/>
  <c r="G418" i="4"/>
  <c r="F418" i="4"/>
  <c r="G248" i="4"/>
  <c r="F248" i="4"/>
  <c r="G235" i="4"/>
  <c r="F235" i="4"/>
  <c r="F148" i="4"/>
  <c r="G148" i="4"/>
  <c r="F69" i="4"/>
  <c r="G69" i="4"/>
  <c r="G41" i="4"/>
  <c r="F41" i="4"/>
  <c r="F1196" i="4"/>
  <c r="G1196" i="4"/>
  <c r="F1083" i="4"/>
  <c r="G1083" i="4"/>
  <c r="F1357" i="4"/>
  <c r="F914" i="4"/>
  <c r="F1303" i="4"/>
  <c r="G1303" i="4"/>
  <c r="G1253" i="4"/>
  <c r="F1253" i="4"/>
  <c r="G1180" i="4"/>
  <c r="F1180" i="4"/>
  <c r="G1090" i="4"/>
  <c r="F1090" i="4"/>
  <c r="G841" i="4"/>
  <c r="F841" i="4"/>
  <c r="G655" i="4"/>
  <c r="F655" i="4"/>
  <c r="G291" i="4"/>
  <c r="F291" i="4"/>
  <c r="G223" i="4"/>
  <c r="F223" i="4"/>
  <c r="F215" i="4"/>
  <c r="G215" i="4"/>
  <c r="G691" i="4"/>
  <c r="F691" i="4"/>
  <c r="G1341" i="4"/>
  <c r="G834" i="4"/>
  <c r="F466" i="4"/>
  <c r="G1099" i="4"/>
  <c r="G1478" i="4"/>
  <c r="F1076" i="4"/>
  <c r="F1492" i="4"/>
  <c r="G1022" i="4"/>
  <c r="F1432" i="4"/>
  <c r="G930" i="4"/>
  <c r="G1482" i="4"/>
  <c r="F1482" i="4"/>
  <c r="G1434" i="4"/>
  <c r="F1434" i="4"/>
  <c r="F786" i="4"/>
  <c r="G786" i="4"/>
  <c r="F641" i="4"/>
  <c r="G641" i="4"/>
  <c r="G265" i="4"/>
  <c r="F265" i="4"/>
  <c r="G245" i="4"/>
  <c r="F245" i="4"/>
  <c r="G152" i="4"/>
  <c r="F152" i="4"/>
  <c r="G87" i="4"/>
  <c r="F87" i="4"/>
  <c r="G900" i="4"/>
  <c r="F900" i="4"/>
  <c r="F1471" i="4"/>
  <c r="F1305" i="4"/>
  <c r="G1313" i="4"/>
  <c r="G1137" i="4"/>
  <c r="F612" i="4"/>
  <c r="F1445" i="4"/>
  <c r="G648" i="4"/>
  <c r="G1278" i="4"/>
  <c r="F1117" i="4"/>
  <c r="G1385" i="4"/>
  <c r="F1385" i="4"/>
  <c r="G1338" i="4"/>
  <c r="F1338" i="4"/>
  <c r="F1301" i="4"/>
  <c r="G1301" i="4"/>
  <c r="F1066" i="4"/>
  <c r="G1066" i="4"/>
  <c r="G839" i="4"/>
  <c r="F839" i="4"/>
  <c r="G601" i="4"/>
  <c r="F601" i="4"/>
  <c r="G478" i="4"/>
  <c r="F478" i="4"/>
  <c r="F449" i="4"/>
  <c r="G449" i="4"/>
  <c r="F346" i="4"/>
  <c r="G346" i="4"/>
  <c r="F81" i="4"/>
  <c r="G81" i="4"/>
  <c r="G369" i="4"/>
  <c r="F369" i="4"/>
  <c r="F1373" i="4"/>
  <c r="F326" i="4"/>
  <c r="F280" i="4"/>
  <c r="F1008" i="4"/>
  <c r="F1369" i="4"/>
  <c r="G1369" i="4"/>
  <c r="G1264" i="4"/>
  <c r="F1264" i="4"/>
  <c r="F962" i="4"/>
  <c r="G962" i="4"/>
  <c r="G755" i="4"/>
  <c r="F755" i="4"/>
  <c r="F747" i="4"/>
  <c r="G747" i="4"/>
  <c r="F718" i="4"/>
  <c r="G718" i="4"/>
  <c r="G710" i="4"/>
  <c r="F710" i="4"/>
  <c r="G105" i="4"/>
  <c r="F105" i="4"/>
  <c r="F958" i="4"/>
  <c r="G958" i="4"/>
  <c r="F1387" i="4"/>
  <c r="F1275" i="4"/>
  <c r="G1029" i="4"/>
  <c r="G1360" i="4"/>
  <c r="F1360" i="4"/>
  <c r="G1352" i="4"/>
  <c r="F1352" i="4"/>
  <c r="G1322" i="4"/>
  <c r="F1322" i="4"/>
  <c r="G1192" i="4"/>
  <c r="F1192" i="4"/>
  <c r="G686" i="4"/>
  <c r="F686" i="4"/>
  <c r="G557" i="4"/>
  <c r="F557" i="4"/>
  <c r="G544" i="4"/>
  <c r="F544" i="4"/>
  <c r="G476" i="4"/>
  <c r="F476" i="4"/>
  <c r="F427" i="4"/>
  <c r="G427" i="4"/>
  <c r="G372" i="4"/>
  <c r="F372" i="4"/>
  <c r="F357" i="4"/>
  <c r="G357" i="4"/>
  <c r="G818" i="4"/>
  <c r="F818" i="4"/>
  <c r="F1268" i="4"/>
  <c r="F1001" i="4"/>
  <c r="F1383" i="4"/>
  <c r="F1284" i="4"/>
  <c r="G1284" i="4"/>
  <c r="F1123" i="4"/>
  <c r="G1123" i="4"/>
  <c r="G1085" i="4"/>
  <c r="F1085" i="4"/>
  <c r="G1051" i="4"/>
  <c r="F1051" i="4"/>
  <c r="F619" i="4"/>
  <c r="G619" i="4"/>
  <c r="G482" i="4"/>
  <c r="F482" i="4"/>
  <c r="F242" i="4"/>
  <c r="G242" i="4"/>
  <c r="F1256" i="4"/>
  <c r="F1169" i="4"/>
  <c r="F1376" i="4"/>
  <c r="F1315" i="4"/>
  <c r="F947" i="4"/>
  <c r="F1060" i="4"/>
  <c r="G740" i="4"/>
  <c r="F1282" i="4"/>
  <c r="F1442" i="4"/>
  <c r="F1392" i="4"/>
  <c r="F722" i="4"/>
  <c r="F873" i="4"/>
  <c r="F123" i="4"/>
  <c r="F1491" i="4"/>
  <c r="F592" i="4"/>
  <c r="G586" i="4"/>
  <c r="F1349" i="4"/>
  <c r="G848" i="4"/>
  <c r="F1201" i="4"/>
  <c r="G714" i="4"/>
  <c r="G1210" i="4"/>
  <c r="G1425" i="4"/>
  <c r="F1106" i="4"/>
  <c r="F973" i="4"/>
  <c r="G973" i="4"/>
  <c r="G967" i="4"/>
  <c r="G923" i="4"/>
  <c r="F923" i="4"/>
  <c r="F889" i="4"/>
  <c r="F772" i="4"/>
  <c r="F498" i="4"/>
  <c r="G498" i="4"/>
  <c r="G251" i="4"/>
  <c r="F251" i="4"/>
  <c r="G1213" i="4"/>
  <c r="F1158" i="4"/>
  <c r="F1140" i="4"/>
  <c r="G1261" i="4"/>
  <c r="G331" i="4"/>
  <c r="F147" i="4"/>
  <c r="F950" i="4"/>
  <c r="G234" i="4"/>
  <c r="F73" i="4"/>
  <c r="F982" i="4"/>
  <c r="F988" i="4"/>
  <c r="F1222" i="4"/>
  <c r="G1088" i="4"/>
  <c r="F649" i="4"/>
  <c r="F1026" i="4"/>
  <c r="G188" i="4"/>
  <c r="G1269" i="4"/>
  <c r="F1269" i="4"/>
  <c r="G114" i="4"/>
  <c r="F114" i="4"/>
  <c r="F895" i="4"/>
  <c r="F500" i="4"/>
  <c r="F730" i="4"/>
  <c r="G1272" i="4"/>
  <c r="G1118" i="4"/>
  <c r="F1165" i="4"/>
  <c r="F1382" i="4"/>
  <c r="G652" i="4"/>
  <c r="G406" i="4"/>
  <c r="G463" i="4"/>
  <c r="F432" i="4"/>
  <c r="G130" i="4"/>
  <c r="F219" i="4"/>
  <c r="G811" i="4"/>
  <c r="F429" i="4"/>
  <c r="F379" i="4"/>
  <c r="G379" i="4"/>
  <c r="F243" i="4"/>
  <c r="G243" i="4"/>
  <c r="G39" i="4"/>
  <c r="F39" i="4"/>
  <c r="F1499" i="4"/>
  <c r="G979" i="4"/>
  <c r="F1467" i="4"/>
  <c r="F457" i="4"/>
  <c r="G364" i="4"/>
  <c r="F1340" i="4"/>
  <c r="F1175" i="4"/>
  <c r="F676" i="4"/>
  <c r="G998" i="4"/>
  <c r="F151" i="4"/>
  <c r="G398" i="4"/>
  <c r="F345" i="4"/>
  <c r="F1480" i="4"/>
  <c r="F1181" i="4"/>
  <c r="F1125" i="4"/>
  <c r="G516" i="4"/>
  <c r="G222" i="4"/>
  <c r="G1152" i="4"/>
  <c r="F1343" i="4"/>
  <c r="G611" i="4"/>
  <c r="G556" i="4"/>
  <c r="F693" i="4"/>
  <c r="G1390" i="4"/>
  <c r="F1390" i="4"/>
  <c r="F1298" i="4"/>
  <c r="F1204" i="4"/>
  <c r="F833" i="4"/>
  <c r="G646" i="4"/>
  <c r="G746" i="4"/>
  <c r="G1068" i="4"/>
  <c r="G1228" i="4"/>
  <c r="F687" i="4"/>
  <c r="G854" i="4"/>
  <c r="F860" i="4"/>
  <c r="F957" i="4"/>
  <c r="G582" i="4"/>
  <c r="F1462" i="4"/>
  <c r="G1266" i="4"/>
  <c r="F827" i="4"/>
  <c r="F934" i="4"/>
  <c r="F733" i="4"/>
  <c r="F784" i="4"/>
  <c r="F600" i="4"/>
  <c r="F706" i="4"/>
  <c r="G504" i="4"/>
  <c r="G154" i="4"/>
  <c r="F1290" i="4"/>
  <c r="G1290" i="4"/>
  <c r="G525" i="4"/>
  <c r="F525" i="4"/>
  <c r="G370" i="4"/>
  <c r="F370" i="4"/>
  <c r="F603" i="4"/>
  <c r="F949" i="4"/>
  <c r="F561" i="4"/>
  <c r="F1234" i="4"/>
  <c r="F1252" i="4"/>
  <c r="G1252" i="4"/>
  <c r="F922" i="4"/>
  <c r="G922" i="4"/>
  <c r="F754" i="4"/>
  <c r="G754" i="4"/>
  <c r="F748" i="4"/>
  <c r="G748" i="4"/>
  <c r="G1121" i="4"/>
  <c r="G1061" i="4"/>
  <c r="F1061" i="4"/>
  <c r="F1460" i="4"/>
  <c r="F1144" i="4"/>
  <c r="F1287" i="4"/>
  <c r="F1323" i="4"/>
  <c r="F1436" i="4"/>
  <c r="F1370" i="4"/>
  <c r="F903" i="4"/>
  <c r="F994" i="4"/>
  <c r="G765" i="4"/>
  <c r="F765" i="4"/>
  <c r="F1444" i="4"/>
  <c r="F1468" i="4"/>
  <c r="G1337" i="4"/>
  <c r="F1378" i="4"/>
  <c r="F1345" i="4"/>
  <c r="G928" i="4"/>
  <c r="F1428" i="4"/>
  <c r="F775" i="4"/>
  <c r="F880" i="4"/>
  <c r="F1295" i="4"/>
  <c r="G1052" i="4"/>
  <c r="F1304" i="4"/>
  <c r="F1124" i="4"/>
  <c r="G907" i="4"/>
  <c r="F1348" i="4"/>
  <c r="G225" i="4"/>
  <c r="F1335" i="4"/>
  <c r="G1335" i="4"/>
  <c r="F1312" i="4"/>
  <c r="G897" i="4"/>
  <c r="F1367" i="4"/>
  <c r="G399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<sst xmlns="http://schemas.openxmlformats.org/spreadsheetml/2006/main" count="4492" uniqueCount="2047">
  <si>
    <t>鍋次</t>
    <phoneticPr fontId="1" type="noConversion"/>
  </si>
  <si>
    <t>豆量</t>
    <phoneticPr fontId="1" type="noConversion"/>
  </si>
  <si>
    <t>評價</t>
    <phoneticPr fontId="1" type="noConversion"/>
  </si>
  <si>
    <t>生豆
編號</t>
    <phoneticPr fontId="1" type="noConversion"/>
  </si>
  <si>
    <t>國家</t>
    <phoneticPr fontId="1" type="noConversion"/>
  </si>
  <si>
    <t>國家(eng)</t>
    <phoneticPr fontId="1" type="noConversion"/>
  </si>
  <si>
    <t>代碼</t>
    <phoneticPr fontId="1" type="noConversion"/>
  </si>
  <si>
    <t>處理法</t>
    <phoneticPr fontId="1" type="noConversion"/>
  </si>
  <si>
    <t>入豆溫</t>
    <phoneticPr fontId="1" type="noConversion"/>
  </si>
  <si>
    <t>起始
火力</t>
    <phoneticPr fontId="1" type="noConversion"/>
  </si>
  <si>
    <t>風量</t>
    <phoneticPr fontId="1" type="noConversion"/>
  </si>
  <si>
    <t>滾筒
轉速</t>
    <phoneticPr fontId="1" type="noConversion"/>
  </si>
  <si>
    <t>回溫
時間</t>
    <phoneticPr fontId="1" type="noConversion"/>
  </si>
  <si>
    <t>回溫
點</t>
    <phoneticPr fontId="1" type="noConversion"/>
  </si>
  <si>
    <t xml:space="preserve">脫水
ROR </t>
    <phoneticPr fontId="1" type="noConversion"/>
  </si>
  <si>
    <t>一爆
時間</t>
    <phoneticPr fontId="1" type="noConversion"/>
  </si>
  <si>
    <t>一爆
溫度</t>
    <phoneticPr fontId="1" type="noConversion"/>
  </si>
  <si>
    <t>出豆
時間</t>
    <phoneticPr fontId="1" type="noConversion"/>
  </si>
  <si>
    <t>出豆
溫度</t>
    <phoneticPr fontId="1" type="noConversion"/>
  </si>
  <si>
    <t>發展期升溫</t>
    <phoneticPr fontId="1" type="noConversion"/>
  </si>
  <si>
    <t>發展
秒數</t>
    <phoneticPr fontId="1" type="noConversion"/>
  </si>
  <si>
    <t>發展期ROR</t>
    <phoneticPr fontId="1" type="noConversion"/>
  </si>
  <si>
    <t>發展期
佔比</t>
    <phoneticPr fontId="1" type="noConversion"/>
  </si>
  <si>
    <t>日期</t>
    <phoneticPr fontId="1" type="noConversion"/>
  </si>
  <si>
    <t>熟豆量</t>
    <phoneticPr fontId="1" type="noConversion"/>
  </si>
  <si>
    <t>庫存g</t>
    <phoneticPr fontId="1" type="noConversion"/>
  </si>
  <si>
    <t>訂單g</t>
    <phoneticPr fontId="1" type="noConversion"/>
  </si>
  <si>
    <t>失重</t>
    <phoneticPr fontId="1" type="noConversion"/>
  </si>
  <si>
    <t>豆表</t>
    <phoneticPr fontId="1" type="noConversion"/>
  </si>
  <si>
    <t>豆粉</t>
    <phoneticPr fontId="1" type="noConversion"/>
  </si>
  <si>
    <t>RD</t>
    <phoneticPr fontId="1" type="noConversion"/>
  </si>
  <si>
    <t>SCAA</t>
    <phoneticPr fontId="1" type="noConversion"/>
  </si>
  <si>
    <t>焙度</t>
    <phoneticPr fontId="1" type="noConversion"/>
  </si>
  <si>
    <t>出豆點</t>
    <phoneticPr fontId="1" type="noConversion"/>
  </si>
  <si>
    <t>產區/處理廠</t>
    <phoneticPr fontId="1" type="noConversion"/>
  </si>
  <si>
    <t>備註</t>
    <phoneticPr fontId="1" type="noConversion"/>
  </si>
  <si>
    <t>原始檔</t>
    <phoneticPr fontId="1" type="noConversion"/>
  </si>
  <si>
    <t>哥斯大黎加</t>
  </si>
  <si>
    <t xml:space="preserve">black-honey </t>
    <phoneticPr fontId="1" type="noConversion"/>
  </si>
  <si>
    <t>1'20</t>
    <phoneticPr fontId="1" type="noConversion"/>
  </si>
  <si>
    <t>9'58</t>
    <phoneticPr fontId="1" type="noConversion"/>
  </si>
  <si>
    <t>11'20</t>
    <phoneticPr fontId="1" type="noConversion"/>
  </si>
  <si>
    <t>23.nic.washed.java.150g.medium.20231025.1.zenyo.csv</t>
    <phoneticPr fontId="1" type="noConversion"/>
  </si>
  <si>
    <t>巴西</t>
  </si>
  <si>
    <t>natural</t>
    <phoneticPr fontId="1" type="noConversion"/>
  </si>
  <si>
    <t>1'10</t>
    <phoneticPr fontId="1" type="noConversion"/>
  </si>
  <si>
    <t>9'34</t>
    <phoneticPr fontId="1" type="noConversion"/>
  </si>
  <si>
    <t>11'21</t>
    <phoneticPr fontId="1" type="noConversion"/>
  </si>
  <si>
    <t>1'14</t>
    <phoneticPr fontId="1" type="noConversion"/>
  </si>
  <si>
    <t>23.ken.washed.murang.200g.medium.20231021.1.zenyo.csv</t>
    <phoneticPr fontId="1" type="noConversion"/>
  </si>
  <si>
    <t>1'11</t>
    <phoneticPr fontId="1" type="noConversion"/>
  </si>
  <si>
    <t>23.nic.washed.java.200g.light.20231018.1.zenyo.csv</t>
    <phoneticPr fontId="1" type="noConversion"/>
  </si>
  <si>
    <t>1'13</t>
    <phoneticPr fontId="1" type="noConversion"/>
  </si>
  <si>
    <t>衣索比亞</t>
  </si>
  <si>
    <t>1'39</t>
    <phoneticPr fontId="1" type="noConversion"/>
  </si>
  <si>
    <t>有調火</t>
    <phoneticPr fontId="1" type="noConversion"/>
  </si>
  <si>
    <t>semi-washed</t>
    <phoneticPr fontId="1" type="noConversion"/>
  </si>
  <si>
    <t>1'19</t>
    <phoneticPr fontId="1" type="noConversion"/>
  </si>
  <si>
    <t>有調風</t>
    <phoneticPr fontId="1" type="noConversion"/>
  </si>
  <si>
    <t>washed</t>
    <phoneticPr fontId="1" type="noConversion"/>
  </si>
  <si>
    <t>112</t>
    <phoneticPr fontId="1" type="noConversion"/>
  </si>
  <si>
    <t>有加火到75</t>
    <phoneticPr fontId="1" type="noConversion"/>
  </si>
  <si>
    <t>1'18</t>
    <phoneticPr fontId="1" type="noConversion"/>
  </si>
  <si>
    <t>1'21</t>
    <phoneticPr fontId="1" type="noConversion"/>
  </si>
  <si>
    <t>1'12</t>
    <phoneticPr fontId="1" type="noConversion"/>
  </si>
  <si>
    <t>1'04</t>
    <phoneticPr fontId="1" type="noConversion"/>
  </si>
  <si>
    <t>honey</t>
    <phoneticPr fontId="1" type="noConversion"/>
  </si>
  <si>
    <t>1'31</t>
    <phoneticPr fontId="1" type="noConversion"/>
  </si>
  <si>
    <t>只有回溫有參考價值</t>
    <phoneticPr fontId="1" type="noConversion"/>
  </si>
  <si>
    <t>22.ken.washed.murang.200g.medium.20231021.1</t>
    <phoneticPr fontId="1" type="noConversion"/>
  </si>
  <si>
    <t>肯亞</t>
  </si>
  <si>
    <t>1'44</t>
    <phoneticPr fontId="1" type="noConversion"/>
  </si>
  <si>
    <t>一爆密集至結束間</t>
  </si>
  <si>
    <t>只有回溫有參考價值，回溫後有補火到85</t>
    <phoneticPr fontId="1" type="noConversion"/>
  </si>
  <si>
    <t>尼加拉瓜</t>
  </si>
  <si>
    <t>1'34</t>
    <phoneticPr fontId="1" type="noConversion"/>
  </si>
  <si>
    <t>9'19</t>
    <phoneticPr fontId="1" type="noConversion"/>
  </si>
  <si>
    <t>10'45</t>
    <phoneticPr fontId="1" type="noConversion"/>
  </si>
  <si>
    <t>一爆開始至密集</t>
  </si>
  <si>
    <t>有加火到80</t>
    <phoneticPr fontId="1" type="noConversion"/>
  </si>
  <si>
    <t>1'49</t>
    <phoneticPr fontId="1" type="noConversion"/>
  </si>
  <si>
    <t>8'50</t>
    <phoneticPr fontId="1" type="noConversion"/>
  </si>
  <si>
    <t>11'05</t>
    <phoneticPr fontId="1" type="noConversion"/>
  </si>
  <si>
    <t>只有回溫有參考價值，初嚐酸太剌激，不討喜。養20天後的掛耳，酸感不見了，但比較多烘焙的燥味被突顯出來，這鍋要改善很多地方</t>
    <phoneticPr fontId="1" type="noConversion"/>
  </si>
  <si>
    <t>1'28</t>
    <phoneticPr fontId="1" type="noConversion"/>
  </si>
  <si>
    <t>8'48</t>
    <phoneticPr fontId="1" type="noConversion"/>
  </si>
  <si>
    <t>10'01</t>
    <phoneticPr fontId="1" type="noConversion"/>
  </si>
  <si>
    <t>1'30</t>
    <phoneticPr fontId="1" type="noConversion"/>
  </si>
  <si>
    <t>8'57</t>
    <phoneticPr fontId="1" type="noConversion"/>
  </si>
  <si>
    <t>9'57</t>
    <phoneticPr fontId="1" type="noConversion"/>
  </si>
  <si>
    <t>1'23</t>
    <phoneticPr fontId="1" type="noConversion"/>
  </si>
  <si>
    <t>10'18</t>
    <phoneticPr fontId="1" type="noConversion"/>
  </si>
  <si>
    <t>7'58</t>
    <phoneticPr fontId="1" type="noConversion"/>
  </si>
  <si>
    <t>一爆裂結束二爆未開始前</t>
  </si>
  <si>
    <t>很甜</t>
    <phoneticPr fontId="1" type="noConversion"/>
  </si>
  <si>
    <t>23.nic.washed.altiplanos.java.150g.light.20231029.1.zenyo</t>
    <phoneticPr fontId="1" type="noConversion"/>
  </si>
  <si>
    <t>1'26</t>
    <phoneticPr fontId="1" type="noConversion"/>
  </si>
  <si>
    <t>9'36</t>
    <phoneticPr fontId="1" type="noConversion"/>
  </si>
  <si>
    <t>10'46</t>
    <phoneticPr fontId="1" type="noConversion"/>
  </si>
  <si>
    <t>發展期ROR大，發展期短。香氣很淡，甜感足，風味描述中檸檬蜂蜜有出現。二姐代烘</t>
    <phoneticPr fontId="1" type="noConversion"/>
  </si>
  <si>
    <t>23.eth.washed.sidamo.morea.250g.medium.20231031.1</t>
    <phoneticPr fontId="1" type="noConversion"/>
  </si>
  <si>
    <t>1'25</t>
    <phoneticPr fontId="1" type="noConversion"/>
  </si>
  <si>
    <t>9'26</t>
    <phoneticPr fontId="1" type="noConversion"/>
  </si>
  <si>
    <t>10'57</t>
    <phoneticPr fontId="1" type="noConversion"/>
  </si>
  <si>
    <t>藝妓的柑橘酸、白花香氣、甜感表現均良好呈現。二姐</t>
    <phoneticPr fontId="1" type="noConversion"/>
  </si>
  <si>
    <t>23.eth.washed.benchmaji.lucy.250g.light.20231031.2</t>
    <phoneticPr fontId="1" type="noConversion"/>
  </si>
  <si>
    <t>12'29</t>
    <phoneticPr fontId="1" type="noConversion"/>
  </si>
  <si>
    <t>110度之後有補火到85%,有香氣但不明顯，整體十分標準的12分鐘曲線，覺得出豆早個14秒也許淺一點會香氣明顯些。</t>
    <phoneticPr fontId="1" type="noConversion"/>
  </si>
  <si>
    <t>23.cri.raishin.mozart.500g.light.20231102.1.zenyo</t>
    <phoneticPr fontId="1" type="noConversion"/>
  </si>
  <si>
    <t>1'36</t>
    <phoneticPr fontId="1" type="noConversion"/>
  </si>
  <si>
    <t>7'38</t>
    <phoneticPr fontId="1" type="noConversion"/>
  </si>
  <si>
    <t>9'18</t>
    <phoneticPr fontId="1" type="noConversion"/>
  </si>
  <si>
    <t>從曲線看是走SSFF的節奏，香氣有比上一鍋明顯. 稅水期的碌續加火到100%</t>
    <phoneticPr fontId="1" type="noConversion"/>
  </si>
  <si>
    <t>23.cri.raisin.mozart.500g.light.20231103.1.anita</t>
    <phoneticPr fontId="1" type="noConversion"/>
  </si>
  <si>
    <t>1'27</t>
    <phoneticPr fontId="1" type="noConversion"/>
  </si>
  <si>
    <t>8'21</t>
    <phoneticPr fontId="1" type="noConversion"/>
  </si>
  <si>
    <t>9'07</t>
    <phoneticPr fontId="1" type="noConversion"/>
  </si>
  <si>
    <t>二姐代烘</t>
    <phoneticPr fontId="1" type="noConversion"/>
  </si>
  <si>
    <t>23.eth.natural.benchmaji.gori.geisha.250g.light.20231103.2.zenyo</t>
    <phoneticPr fontId="1" type="noConversion"/>
  </si>
  <si>
    <t>9'43</t>
    <phoneticPr fontId="1" type="noConversion"/>
  </si>
  <si>
    <t>23.eth.natural.jimalimu.gummy.250g.light.20231103.3.anita</t>
    <phoneticPr fontId="1" type="noConversion"/>
  </si>
  <si>
    <t>1'35</t>
    <phoneticPr fontId="1" type="noConversion"/>
  </si>
  <si>
    <t>9'27</t>
    <phoneticPr fontId="1" type="noConversion"/>
  </si>
  <si>
    <t>10'54</t>
    <phoneticPr fontId="1" type="noConversion"/>
  </si>
  <si>
    <t>23.eth.redhoney.guji.sakura.200g.medium.20231105.1.zenyo</t>
    <phoneticPr fontId="1" type="noConversion"/>
  </si>
  <si>
    <t>1'33</t>
    <phoneticPr fontId="1" type="noConversion"/>
  </si>
  <si>
    <t>9'25</t>
    <phoneticPr fontId="1" type="noConversion"/>
  </si>
  <si>
    <t>10'32</t>
    <phoneticPr fontId="1" type="noConversion"/>
  </si>
  <si>
    <t>有不舒服的澀感</t>
    <phoneticPr fontId="1" type="noConversion"/>
  </si>
  <si>
    <t>23.eth.redhoney.guji.sakura.200g.light.20231105.2.zenyo</t>
    <phoneticPr fontId="1" type="noConversion"/>
  </si>
  <si>
    <t>8'54</t>
    <phoneticPr fontId="1" type="noConversion"/>
  </si>
  <si>
    <t>9'56</t>
    <phoneticPr fontId="1" type="noConversion"/>
  </si>
  <si>
    <t>全自動追曲線</t>
    <phoneticPr fontId="1" type="noConversion"/>
  </si>
  <si>
    <t>23.nic.washed.altiplanos.java.150g.light.20231108.1.zenyo</t>
    <phoneticPr fontId="1" type="noConversion"/>
  </si>
  <si>
    <t>10'02</t>
    <phoneticPr fontId="1" type="noConversion"/>
  </si>
  <si>
    <t>11'14</t>
    <phoneticPr fontId="1" type="noConversion"/>
  </si>
  <si>
    <t>12'03</t>
    <phoneticPr fontId="1" type="noConversion"/>
  </si>
  <si>
    <t>11'10</t>
    <phoneticPr fontId="1" type="noConversion"/>
  </si>
  <si>
    <t>12'01</t>
    <phoneticPr fontId="1" type="noConversion"/>
  </si>
  <si>
    <t>10'21</t>
    <phoneticPr fontId="1" type="noConversion"/>
  </si>
  <si>
    <t>13'54</t>
    <phoneticPr fontId="1" type="noConversion"/>
  </si>
  <si>
    <t>杯測無瑕疪，高溫甜感有，低溫略有深色花香，尾韻明顯</t>
    <phoneticPr fontId="1" type="noConversion"/>
  </si>
  <si>
    <t>10'42</t>
    <phoneticPr fontId="1" type="noConversion"/>
  </si>
  <si>
    <t>13'49</t>
    <phoneticPr fontId="1" type="noConversion"/>
  </si>
  <si>
    <t>追#21交貨</t>
    <phoneticPr fontId="1" type="noConversion"/>
  </si>
  <si>
    <t>13'53</t>
    <phoneticPr fontId="1" type="noConversion"/>
  </si>
  <si>
    <t>1'41</t>
    <phoneticPr fontId="1" type="noConversion"/>
  </si>
  <si>
    <t>11'18</t>
    <phoneticPr fontId="1" type="noConversion"/>
  </si>
  <si>
    <t>13'48</t>
    <phoneticPr fontId="1" type="noConversion"/>
  </si>
  <si>
    <t>烘1磅樣本曲線，無瑕疪</t>
    <phoneticPr fontId="1" type="noConversion"/>
  </si>
  <si>
    <t>10'50</t>
    <phoneticPr fontId="1" type="noConversion"/>
  </si>
  <si>
    <t>養豆1天後有香味，Stephie訂單-11/11 400g</t>
    <phoneticPr fontId="1" type="noConversion"/>
  </si>
  <si>
    <t>13'27</t>
    <phoneticPr fontId="1" type="noConversion"/>
  </si>
  <si>
    <t>追#24交貨屏東</t>
    <phoneticPr fontId="1" type="noConversion"/>
  </si>
  <si>
    <t>11'25</t>
    <phoneticPr fontId="1" type="noConversion"/>
  </si>
  <si>
    <t>13'34</t>
    <phoneticPr fontId="1" type="noConversion"/>
  </si>
  <si>
    <t>追#24交貨屏東，入豆溫跑掉</t>
    <phoneticPr fontId="1" type="noConversion"/>
  </si>
  <si>
    <t>1'37</t>
    <phoneticPr fontId="1" type="noConversion"/>
  </si>
  <si>
    <t>11'27</t>
    <phoneticPr fontId="1" type="noConversion"/>
  </si>
  <si>
    <t>13'36</t>
    <phoneticPr fontId="1" type="noConversion"/>
  </si>
  <si>
    <t>1'32</t>
    <phoneticPr fontId="1" type="noConversion"/>
  </si>
  <si>
    <t>11'17</t>
    <phoneticPr fontId="1" type="noConversion"/>
  </si>
  <si>
    <t>13'31</t>
    <phoneticPr fontId="1" type="noConversion"/>
  </si>
  <si>
    <t>1'29</t>
    <phoneticPr fontId="1" type="noConversion"/>
  </si>
  <si>
    <t>9'52</t>
    <phoneticPr fontId="1" type="noConversion"/>
  </si>
  <si>
    <t>10'37</t>
    <phoneticPr fontId="1" type="noConversion"/>
  </si>
  <si>
    <t>併#25，Stephie訂單-11/11 400g, 有甜感，楓糖的香味，冷後更明顯。</t>
    <phoneticPr fontId="1" type="noConversion"/>
  </si>
  <si>
    <t>8'23</t>
    <phoneticPr fontId="1" type="noConversion"/>
  </si>
  <si>
    <t>Jenny 11/11 掛耳1組訂單，文玉10包，試喝3</t>
    <phoneticPr fontId="1" type="noConversion"/>
  </si>
  <si>
    <t>7'53</t>
    <phoneticPr fontId="1" type="noConversion"/>
  </si>
  <si>
    <t>9'33</t>
    <phoneticPr fontId="1" type="noConversion"/>
  </si>
  <si>
    <t>9'20</t>
    <phoneticPr fontId="1" type="noConversion"/>
  </si>
  <si>
    <t>10'23</t>
    <phoneticPr fontId="1" type="noConversion"/>
  </si>
  <si>
    <t>9'38</t>
    <phoneticPr fontId="1" type="noConversion"/>
  </si>
  <si>
    <t>10'38</t>
    <phoneticPr fontId="1" type="noConversion"/>
  </si>
  <si>
    <t>素玉、小芳(聖誕放送，joyce訂5掛耳)</t>
    <phoneticPr fontId="1" type="noConversion"/>
  </si>
  <si>
    <t>略帶草本香氣</t>
    <phoneticPr fontId="1" type="noConversion"/>
  </si>
  <si>
    <t>9'35</t>
    <phoneticPr fontId="1" type="noConversion"/>
  </si>
  <si>
    <t>交文玉120，試喝20，出joyce</t>
    <phoneticPr fontId="1" type="noConversion"/>
  </si>
  <si>
    <t>8'53</t>
    <phoneticPr fontId="1" type="noConversion"/>
  </si>
  <si>
    <t>9'44</t>
    <phoneticPr fontId="1" type="noConversion"/>
  </si>
  <si>
    <t>聖誕禮物</t>
    <phoneticPr fontId="1" type="noConversion"/>
  </si>
  <si>
    <t>11'48</t>
    <phoneticPr fontId="1" type="noConversion"/>
  </si>
  <si>
    <t>12'20</t>
    <phoneticPr fontId="1" type="noConversion"/>
  </si>
  <si>
    <t>joyce 掛耳5(11/23), 12/7 Tan 掛耳</t>
    <phoneticPr fontId="1" type="noConversion"/>
  </si>
  <si>
    <t>11'31</t>
    <phoneticPr fontId="1" type="noConversion"/>
  </si>
  <si>
    <t>12'18</t>
    <phoneticPr fontId="1" type="noConversion"/>
  </si>
  <si>
    <t>聖誕禮物，joy訂5掛耳</t>
    <phoneticPr fontId="1" type="noConversion"/>
  </si>
  <si>
    <t>1'40</t>
    <phoneticPr fontId="1" type="noConversion"/>
  </si>
  <si>
    <t>(10天)冷掉之後酸感較明顯，無明顯甜味、香氣</t>
    <phoneticPr fontId="1" type="noConversion"/>
  </si>
  <si>
    <t>1'42</t>
    <phoneticPr fontId="1" type="noConversion"/>
  </si>
  <si>
    <t>12'47</t>
    <phoneticPr fontId="1" type="noConversion"/>
  </si>
  <si>
    <t>13'07</t>
    <phoneticPr fontId="1" type="noConversion"/>
  </si>
  <si>
    <t>一爆開始前後</t>
  </si>
  <si>
    <t>8'32</t>
    <phoneticPr fontId="1" type="noConversion"/>
  </si>
  <si>
    <t>尾段有芒果甜感，養豆1周後覺得只剩下中焙的味道，此生豆不適合這個焙度，自用</t>
    <phoneticPr fontId="1" type="noConversion"/>
  </si>
  <si>
    <t>7'52</t>
    <phoneticPr fontId="1" type="noConversion"/>
  </si>
  <si>
    <t>8'33</t>
    <phoneticPr fontId="1" type="noConversion"/>
  </si>
  <si>
    <t>日晒極淺焙，自用</t>
    <phoneticPr fontId="1" type="noConversion"/>
  </si>
  <si>
    <t>11'58</t>
    <phoneticPr fontId="1" type="noConversion"/>
  </si>
  <si>
    <t>自用，剛沖好有種特別的香氣，中溫柑橘風味就很明顯，</t>
    <phoneticPr fontId="1" type="noConversion"/>
  </si>
  <si>
    <t>8'49</t>
    <phoneticPr fontId="1" type="noConversion"/>
  </si>
  <si>
    <t>10'22</t>
    <phoneticPr fontId="1" type="noConversion"/>
  </si>
  <si>
    <t>聖誕禮物，joy訂5掛耳, 有澀感(發展期ror太小，升溫不足)。</t>
    <phoneticPr fontId="1" type="noConversion"/>
  </si>
  <si>
    <t>12'09</t>
    <phoneticPr fontId="1" type="noConversion"/>
  </si>
  <si>
    <t>12'10</t>
    <phoneticPr fontId="1" type="noConversion"/>
  </si>
  <si>
    <t>12'46</t>
    <phoneticPr fontId="1" type="noConversion"/>
  </si>
  <si>
    <t>1'38</t>
    <phoneticPr fontId="1" type="noConversion"/>
  </si>
  <si>
    <t>10'47</t>
    <phoneticPr fontId="1" type="noConversion"/>
  </si>
  <si>
    <t>試喝包</t>
    <phoneticPr fontId="1" type="noConversion"/>
  </si>
  <si>
    <t>10'12</t>
    <phoneticPr fontId="1" type="noConversion"/>
  </si>
  <si>
    <t>11'23</t>
    <phoneticPr fontId="1" type="noConversion"/>
  </si>
  <si>
    <t>有不熟的感覺，是否應降低入豆溫，在脫水期小火慢烘？？</t>
    <phoneticPr fontId="1" type="noConversion"/>
  </si>
  <si>
    <t>1'50</t>
    <phoneticPr fontId="1" type="noConversion"/>
  </si>
  <si>
    <t>12'15</t>
    <phoneticPr fontId="1" type="noConversion"/>
  </si>
  <si>
    <t>14'42</t>
    <phoneticPr fontId="1" type="noConversion"/>
  </si>
  <si>
    <t>冷掉有烏梅味，tan(12/09 掛耳5)， 餘試喝包</t>
    <phoneticPr fontId="1" type="noConversion"/>
  </si>
  <si>
    <t>1'43</t>
    <phoneticPr fontId="1" type="noConversion"/>
  </si>
  <si>
    <t>13'45</t>
    <phoneticPr fontId="1" type="noConversion"/>
  </si>
  <si>
    <t>15'08</t>
    <phoneticPr fontId="1" type="noConversion"/>
  </si>
  <si>
    <t>香氣很足夠(Monica 12/09)</t>
    <phoneticPr fontId="1" type="noConversion"/>
  </si>
  <si>
    <t>13'26</t>
    <phoneticPr fontId="1" type="noConversion"/>
  </si>
  <si>
    <t>豆表感覺很香，但磨開之後沒有比#51來得香(Monica 12/09)</t>
    <phoneticPr fontId="1" type="noConversion"/>
  </si>
  <si>
    <t>11'52</t>
    <phoneticPr fontId="1" type="noConversion"/>
  </si>
  <si>
    <t>12'33</t>
    <phoneticPr fontId="1" type="noConversion"/>
  </si>
  <si>
    <t>自用</t>
    <phoneticPr fontId="1" type="noConversion"/>
  </si>
  <si>
    <t>13'43</t>
    <phoneticPr fontId="1" type="noConversion"/>
  </si>
  <si>
    <t>14'51</t>
    <phoneticPr fontId="1" type="noConversion"/>
  </si>
  <si>
    <t>全自動追#51，Monica 200g -出貨(12/13)</t>
    <phoneticPr fontId="1" type="noConversion"/>
  </si>
  <si>
    <t>1'46</t>
    <phoneticPr fontId="1" type="noConversion"/>
  </si>
  <si>
    <t>11'57</t>
    <phoneticPr fontId="1" type="noConversion"/>
  </si>
  <si>
    <t>13'19</t>
    <phoneticPr fontId="1" type="noConversion"/>
  </si>
  <si>
    <t>略帶澀感，有酸,自用. 1/4掛耳還不錯</t>
    <phoneticPr fontId="1" type="noConversion"/>
  </si>
  <si>
    <t>追#51, angel 自烘</t>
    <phoneticPr fontId="1" type="noConversion"/>
  </si>
  <si>
    <t>13'08</t>
    <phoneticPr fontId="1" type="noConversion"/>
  </si>
  <si>
    <t>15'07</t>
    <phoneticPr fontId="1" type="noConversion"/>
  </si>
  <si>
    <t>9'40</t>
    <phoneticPr fontId="1" type="noConversion"/>
  </si>
  <si>
    <t>10'25</t>
    <phoneticPr fontId="1" type="noConversion"/>
  </si>
  <si>
    <t>追#34, angel 自烘</t>
    <phoneticPr fontId="1" type="noConversion"/>
  </si>
  <si>
    <t>12'38</t>
    <phoneticPr fontId="1" type="noConversion"/>
  </si>
  <si>
    <t>14'05</t>
    <phoneticPr fontId="1" type="noConversion"/>
  </si>
  <si>
    <t>明慧自烘</t>
    <phoneticPr fontId="1" type="noConversion"/>
  </si>
  <si>
    <t>明慧自烘(較喜歡這個曲線)</t>
    <phoneticPr fontId="1" type="noConversion"/>
  </si>
  <si>
    <t>10'08</t>
    <phoneticPr fontId="1" type="noConversion"/>
  </si>
  <si>
    <t>香氣有不熟氣息，但味道沒有不熟，酸感不明顯，發展不足的感覺</t>
    <phoneticPr fontId="1" type="noConversion"/>
  </si>
  <si>
    <t>10'48</t>
    <phoneticPr fontId="1" type="noConversion"/>
  </si>
  <si>
    <t>body柔順，發酵的味道有出來，果汁感足，但發酵的味道可能不容易被人接受，joy訂5掛耳，自用</t>
    <phoneticPr fontId="1" type="noConversion"/>
  </si>
  <si>
    <t>13'38</t>
    <phoneticPr fontId="1" type="noConversion"/>
  </si>
  <si>
    <t>15'05</t>
    <phoneticPr fontId="1" type="noConversion"/>
  </si>
  <si>
    <t>追#51, Monica 400g 出貨，併#65(12/13)</t>
    <phoneticPr fontId="1" type="noConversion"/>
  </si>
  <si>
    <t>13'58</t>
    <phoneticPr fontId="1" type="noConversion"/>
  </si>
  <si>
    <t>追#51, Monica 400g 出貨，併#64(12/13)</t>
    <phoneticPr fontId="1" type="noConversion"/>
  </si>
  <si>
    <t>9'16</t>
    <phoneticPr fontId="1" type="noConversion"/>
  </si>
  <si>
    <t>12'39</t>
    <phoneticPr fontId="1" type="noConversion"/>
  </si>
  <si>
    <t>烘給哥哥，試9分1爆，沒有澀感，但這鍋發展期ror掉太低，不理想。</t>
    <phoneticPr fontId="1" type="noConversion"/>
  </si>
  <si>
    <t>烘給哥哥，曲線是標準，試著聞香下豆，但是第二段香氣不明顯，所以就一般般。也是沒有澀感，所以這個豆子脫水期可以不必拉太長。</t>
    <phoneticPr fontId="1" type="noConversion"/>
  </si>
  <si>
    <t>8'40</t>
    <phoneticPr fontId="1" type="noConversion"/>
  </si>
  <si>
    <t>給淑惠姐</t>
    <phoneticPr fontId="1" type="noConversion"/>
  </si>
  <si>
    <t>沖泡後有百香果的酸香氣息，掛耳11包，出joy1/27</t>
    <phoneticPr fontId="1" type="noConversion"/>
  </si>
  <si>
    <t>10'26</t>
    <phoneticPr fontId="1" type="noConversion"/>
  </si>
  <si>
    <t>完全冷後有肯亞常見的烏梅味，這一鍋酸質沒有很優(懷疑是沒有用濾紙造成裡面有渣渣，有點燥味), 試喝4，平日自用*5. 
3/5 自用掛耳很不錯，尾韻足，黑醋栗、洛神花的風味明顯(85度水沖煮)。</t>
    <phoneticPr fontId="1" type="noConversion"/>
  </si>
  <si>
    <t>陳東弘</t>
    <phoneticPr fontId="1" type="noConversion"/>
  </si>
  <si>
    <t>10'27</t>
    <phoneticPr fontId="1" type="noConversion"/>
  </si>
  <si>
    <t>11'34</t>
    <phoneticPr fontId="1" type="noConversion"/>
  </si>
  <si>
    <t>東弘</t>
    <phoneticPr fontId="1" type="noConversion"/>
  </si>
  <si>
    <t>11'47</t>
    <phoneticPr fontId="1" type="noConversion"/>
  </si>
  <si>
    <t>巴哈-陳東弘</t>
    <phoneticPr fontId="1" type="noConversion"/>
  </si>
  <si>
    <t>11'43</t>
    <phoneticPr fontId="1" type="noConversion"/>
  </si>
  <si>
    <t>10'39</t>
    <phoneticPr fontId="1" type="noConversion"/>
  </si>
  <si>
    <t>12'27</t>
    <phoneticPr fontId="1" type="noConversion"/>
  </si>
  <si>
    <t>蕭邦-陳東弘</t>
    <phoneticPr fontId="1" type="noConversion"/>
  </si>
  <si>
    <t>12'06</t>
    <phoneticPr fontId="1" type="noConversion"/>
  </si>
  <si>
    <t>1'47</t>
    <phoneticPr fontId="1" type="noConversion"/>
  </si>
  <si>
    <t>8'18</t>
    <phoneticPr fontId="1" type="noConversion"/>
  </si>
  <si>
    <t>9'42</t>
    <phoneticPr fontId="1" type="noConversion"/>
  </si>
  <si>
    <t>手動追松柏曲線-失敗，給淑惠姐</t>
    <phoneticPr fontId="1" type="noConversion"/>
  </si>
  <si>
    <t>7'27</t>
    <phoneticPr fontId="1" type="noConversion"/>
  </si>
  <si>
    <t>8'41</t>
    <phoneticPr fontId="1" type="noConversion"/>
  </si>
  <si>
    <t>全自動追松柏曲線-因為火力是100%所以沒法子追的很漂亮，蕙霞自用</t>
    <phoneticPr fontId="1" type="noConversion"/>
  </si>
  <si>
    <t>巴拿馬</t>
  </si>
  <si>
    <t>11'36</t>
    <phoneticPr fontId="1" type="noConversion"/>
  </si>
  <si>
    <t>教室巴拿馬未熟豆二烘, 苦-難喝</t>
    <phoneticPr fontId="1" type="noConversion"/>
  </si>
  <si>
    <t>13'46</t>
    <phoneticPr fontId="1" type="noConversion"/>
  </si>
  <si>
    <t>15'09</t>
    <phoneticPr fontId="1" type="noConversion"/>
  </si>
  <si>
    <t>angel代烘-發展期前追#51，延至220出豆</t>
    <phoneticPr fontId="1" type="noConversion"/>
  </si>
  <si>
    <t>13'57</t>
    <phoneticPr fontId="1" type="noConversion"/>
  </si>
  <si>
    <t>15'00</t>
    <phoneticPr fontId="1" type="noConversion"/>
  </si>
  <si>
    <t>angel代烘-發展期前追#51，聞香出豆</t>
    <phoneticPr fontId="1" type="noConversion"/>
  </si>
  <si>
    <t>angel代烘-發展期前追#34</t>
    <phoneticPr fontId="1" type="noConversion"/>
  </si>
  <si>
    <t>9'37</t>
    <phoneticPr fontId="1" type="noConversion"/>
  </si>
  <si>
    <t>11'02</t>
    <phoneticPr fontId="1" type="noConversion"/>
  </si>
  <si>
    <t>angel代烘-發展期前追#34,一爆後改半自動手動調整出豆溫</t>
    <phoneticPr fontId="1" type="noConversion"/>
  </si>
  <si>
    <t>10'09</t>
    <phoneticPr fontId="1" type="noConversion"/>
  </si>
  <si>
    <t>12'34</t>
    <phoneticPr fontId="1" type="noConversion"/>
  </si>
  <si>
    <t>蕙婷12/25</t>
    <phoneticPr fontId="1" type="noConversion"/>
  </si>
  <si>
    <t>9'59</t>
    <phoneticPr fontId="1" type="noConversion"/>
  </si>
  <si>
    <t>12'35</t>
    <phoneticPr fontId="1" type="noConversion"/>
  </si>
  <si>
    <t>薩爾瓦多</t>
  </si>
  <si>
    <t>11'50</t>
    <phoneticPr fontId="1" type="noConversion"/>
  </si>
  <si>
    <t>12'53</t>
    <phoneticPr fontId="1" type="noConversion"/>
  </si>
  <si>
    <t>教室入豆鍋爐沒轉的壞豆</t>
    <phoneticPr fontId="1" type="noConversion"/>
  </si>
  <si>
    <t>10'52</t>
    <phoneticPr fontId="1" type="noConversion"/>
  </si>
  <si>
    <t>12'31</t>
    <phoneticPr fontId="1" type="noConversion"/>
  </si>
  <si>
    <t>春節</t>
    <phoneticPr fontId="1" type="noConversion"/>
  </si>
  <si>
    <t>瓜地馬拉</t>
  </si>
  <si>
    <t>11'33</t>
    <phoneticPr fontId="1" type="noConversion"/>
  </si>
  <si>
    <t>教室沒烘帶回</t>
    <phoneticPr fontId="1" type="noConversion"/>
  </si>
  <si>
    <t>剛烘好有澀感，雅芬訂單1/18, 合併90,133,134, 出 400*2</t>
    <phoneticPr fontId="1" type="noConversion"/>
  </si>
  <si>
    <t>12'40</t>
    <phoneticPr fontId="1" type="noConversion"/>
  </si>
  <si>
    <t>比90鍋好，春節</t>
    <phoneticPr fontId="1" type="noConversion"/>
  </si>
  <si>
    <t>12'11</t>
    <phoneticPr fontId="1" type="noConversion"/>
  </si>
  <si>
    <t>蕙霞自烘，春節</t>
    <phoneticPr fontId="1" type="noConversion"/>
  </si>
  <si>
    <t>11'01</t>
    <phoneticPr fontId="1" type="noConversion"/>
  </si>
  <si>
    <t>12'28</t>
    <phoneticPr fontId="1" type="noConversion"/>
  </si>
  <si>
    <t>素玉試喝*4, 淑惠姐試喝*4, 蕙霞自用*6</t>
    <phoneticPr fontId="1" type="noConversion"/>
  </si>
  <si>
    <t>12'42</t>
    <phoneticPr fontId="1" type="noConversion"/>
  </si>
  <si>
    <t>香氣濃，一般人喜歡的中深焙咖啡</t>
    <phoneticPr fontId="1" type="noConversion"/>
  </si>
  <si>
    <t>13'01</t>
    <phoneticPr fontId="1" type="noConversion"/>
  </si>
  <si>
    <t>1'48</t>
    <phoneticPr fontId="1" type="noConversion"/>
  </si>
  <si>
    <t>10'53</t>
    <phoneticPr fontId="1" type="noConversion"/>
  </si>
  <si>
    <t>要烘淺一點,轉黃之後火力就維持75%不要動， 春節</t>
    <phoneticPr fontId="1" type="noConversion"/>
  </si>
  <si>
    <t>追#93，提早出豆，春節</t>
    <phoneticPr fontId="1" type="noConversion"/>
  </si>
  <si>
    <t>10'56</t>
    <phoneticPr fontId="1" type="noConversion"/>
  </si>
  <si>
    <t>12'04</t>
    <phoneticPr fontId="1" type="noConversion"/>
  </si>
  <si>
    <t>豆子易上色，出豆溫要抓更低。看排溼計頂不太準。春節</t>
    <phoneticPr fontId="1" type="noConversion"/>
  </si>
  <si>
    <t>10'07</t>
    <phoneticPr fontId="1" type="noConversion"/>
  </si>
  <si>
    <t>風味不如#96,給蕙婷</t>
    <phoneticPr fontId="1" type="noConversion"/>
  </si>
  <si>
    <t>10'03</t>
    <phoneticPr fontId="1" type="noConversion"/>
  </si>
  <si>
    <t>12'32</t>
    <phoneticPr fontId="1" type="noConversion"/>
  </si>
  <si>
    <t>素玉</t>
    <phoneticPr fontId="1" type="noConversion"/>
  </si>
  <si>
    <t>12'14</t>
    <phoneticPr fontId="1" type="noConversion"/>
  </si>
  <si>
    <t>12'44</t>
    <phoneticPr fontId="1" type="noConversion"/>
  </si>
  <si>
    <t>明慧自烘, 追#61</t>
    <phoneticPr fontId="1" type="noConversion"/>
  </si>
  <si>
    <t>11'55</t>
    <phoneticPr fontId="1" type="noConversion"/>
  </si>
  <si>
    <t>12'41</t>
    <phoneticPr fontId="1" type="noConversion"/>
  </si>
  <si>
    <t>11'54</t>
    <phoneticPr fontId="1" type="noConversion"/>
  </si>
  <si>
    <t>12'45</t>
    <phoneticPr fontId="1" type="noConversion"/>
  </si>
  <si>
    <t>明慧自烘, 追#61, 但提示出豆後，仍留鍋中至220才出豆</t>
    <phoneticPr fontId="1" type="noConversion"/>
  </si>
  <si>
    <t>11'56</t>
    <phoneticPr fontId="1" type="noConversion"/>
  </si>
  <si>
    <t>12'36</t>
    <phoneticPr fontId="1" type="noConversion"/>
  </si>
  <si>
    <t>angel自烘, 追#105 但提示出豆後，仍留鍋中至220才出豆</t>
    <phoneticPr fontId="1" type="noConversion"/>
  </si>
  <si>
    <t>angel自烘,  追#105 但提示出豆後，仍留鍋中至220才出豆</t>
    <phoneticPr fontId="1" type="noConversion"/>
  </si>
  <si>
    <t>12'23</t>
    <phoneticPr fontId="1" type="noConversion"/>
  </si>
  <si>
    <t>9'49</t>
    <phoneticPr fontId="1" type="noConversion"/>
  </si>
  <si>
    <t>11'16</t>
    <phoneticPr fontId="1" type="noConversion"/>
  </si>
  <si>
    <t>13'05</t>
    <phoneticPr fontId="1" type="noConversion"/>
  </si>
  <si>
    <t>1'45</t>
    <phoneticPr fontId="1" type="noConversion"/>
  </si>
  <si>
    <t>11'06</t>
    <phoneticPr fontId="1" type="noConversion"/>
  </si>
  <si>
    <t>12'16</t>
    <phoneticPr fontId="1" type="noConversion"/>
  </si>
  <si>
    <t>給dolores</t>
    <phoneticPr fontId="1" type="noConversion"/>
  </si>
  <si>
    <t>10'51</t>
    <phoneticPr fontId="1" type="noConversion"/>
  </si>
  <si>
    <t>13'02</t>
    <phoneticPr fontId="1" type="noConversion"/>
  </si>
  <si>
    <t>12'08</t>
    <phoneticPr fontId="1" type="noConversion"/>
  </si>
  <si>
    <t>哥倫比亞</t>
  </si>
  <si>
    <t>10'19</t>
    <phoneticPr fontId="1" type="noConversion"/>
  </si>
  <si>
    <t>11'12</t>
    <phoneticPr fontId="1" type="noConversion"/>
  </si>
  <si>
    <t>哥倫比亞-教室</t>
    <phoneticPr fontId="1" type="noConversion"/>
  </si>
  <si>
    <t>教室提供生豆, 風味強勁，但覺得不夠長</t>
    <phoneticPr fontId="1" type="noConversion"/>
  </si>
  <si>
    <t>12'26</t>
    <phoneticPr fontId="1" type="noConversion"/>
  </si>
  <si>
    <t>小郭春節禮盒，一般般，甜感大於酸，尾韻略短。(有點不上不下的焙度，無特色)</t>
    <phoneticPr fontId="1" type="noConversion"/>
  </si>
  <si>
    <t>小郭春節禮盒</t>
    <phoneticPr fontId="1" type="noConversion"/>
  </si>
  <si>
    <t>小郭春節禮盒，氣味濃郁，沖淡一些味道會比較開，而且酸感會更明顯。</t>
    <phoneticPr fontId="1" type="noConversion"/>
  </si>
  <si>
    <t>11'44</t>
    <phoneticPr fontId="1" type="noConversion"/>
  </si>
  <si>
    <t>PA-2002-002, Cuatro Camino, washed</t>
    <phoneticPr fontId="1" type="noConversion"/>
  </si>
  <si>
    <t>教室提供生豆</t>
    <phoneticPr fontId="1" type="noConversion"/>
  </si>
  <si>
    <t>11'03</t>
    <phoneticPr fontId="1" type="noConversion"/>
  </si>
  <si>
    <t>教室提供生豆,尾段酸感明亮，一點點瓜果香氣。</t>
    <phoneticPr fontId="1" type="noConversion"/>
  </si>
  <si>
    <t>10'55</t>
    <phoneticPr fontId="1" type="noConversion"/>
  </si>
  <si>
    <t>沒有不熟，香氣略弱，出雅芬1/18訂單</t>
    <phoneticPr fontId="1" type="noConversion"/>
  </si>
  <si>
    <t>10'30</t>
    <phoneticPr fontId="1" type="noConversion"/>
  </si>
  <si>
    <t>11'28</t>
    <phoneticPr fontId="1" type="noConversion"/>
  </si>
  <si>
    <t>高溫甜感2，略帶黑醋栗香氣，中溫有柔和酸出現，尾韻略短，無瑕疪風味，給老爸50克</t>
    <phoneticPr fontId="1" type="noConversion"/>
  </si>
  <si>
    <t>入口甜感佳，微帶燥感，典璋8盒</t>
    <phoneticPr fontId="1" type="noConversion"/>
  </si>
  <si>
    <t>10'20</t>
    <phoneticPr fontId="1" type="noConversion"/>
  </si>
  <si>
    <t>12'07</t>
    <phoneticPr fontId="1" type="noConversion"/>
  </si>
  <si>
    <t>預計出掛耳*10給joy，回娘家</t>
    <phoneticPr fontId="1" type="noConversion"/>
  </si>
  <si>
    <t>10'49</t>
    <phoneticPr fontId="1" type="noConversion"/>
  </si>
  <si>
    <t>11'30</t>
    <phoneticPr fontId="1" type="noConversion"/>
  </si>
  <si>
    <t>因調整風管，所以壓差亂跑，造成一爆點十分不明顯，抓定溫出豆，感覺上發展期不夠。自用掛耳, BODY厚實，低溫好喝。</t>
    <phoneticPr fontId="1" type="noConversion"/>
  </si>
  <si>
    <t>瓜地馬拉-教室</t>
    <phoneticPr fontId="1" type="noConversion"/>
  </si>
  <si>
    <t>教室訓練豆, 黑糖的香甜，自用裸包</t>
    <phoneticPr fontId="1" type="noConversion"/>
  </si>
  <si>
    <t>15'03</t>
    <phoneticPr fontId="1" type="noConversion"/>
  </si>
  <si>
    <t>雅芬訂單1/18, 合併130,131,132出400*1,200*3</t>
    <phoneticPr fontId="1" type="noConversion"/>
  </si>
  <si>
    <t>11'46</t>
    <phoneticPr fontId="1" type="noConversion"/>
  </si>
  <si>
    <t>雅芬訂單1/18, 合併90,133,134, 出 400*2</t>
    <phoneticPr fontId="1" type="noConversion"/>
  </si>
  <si>
    <t>雅芬訂單1/18, 合併90,133,134, 出 400*2</t>
  </si>
  <si>
    <t>11'04</t>
    <phoneticPr fontId="1" type="noConversion"/>
  </si>
  <si>
    <t>典璋8-2盒，給老爸，志儒試喝</t>
    <phoneticPr fontId="1" type="noConversion"/>
  </si>
  <si>
    <t>典璋8-2盒</t>
    <phoneticPr fontId="1" type="noConversion"/>
  </si>
  <si>
    <t>12'17</t>
    <phoneticPr fontId="1" type="noConversion"/>
  </si>
  <si>
    <t>典璋8盒</t>
    <phoneticPr fontId="1" type="noConversion"/>
  </si>
  <si>
    <t>10'33</t>
    <phoneticPr fontId="1" type="noConversion"/>
  </si>
  <si>
    <t>10'58</t>
    <phoneticPr fontId="1" type="noConversion"/>
  </si>
  <si>
    <t>掛耳5 joy 1/27, 典璋8-2盒</t>
    <phoneticPr fontId="1" type="noConversion"/>
  </si>
  <si>
    <t>鳳梨的香氣很明顯, 帶有苦味。低溫呈現的風味是微酸的，body有點弱，從烘焙曲線來看，是很漂亮的淺焙數據，看來起可以試試的是改變焙度或是沖煮方式。典璋8盒。</t>
    <phoneticPr fontId="1" type="noConversion"/>
  </si>
  <si>
    <t>出小郭掛耳10包，回娘家</t>
    <phoneticPr fontId="1" type="noConversion"/>
  </si>
  <si>
    <t>10'34</t>
    <phoneticPr fontId="1" type="noConversion"/>
  </si>
  <si>
    <t>要烘淺一點，中焙跟耶加雪菲-百香果發酵的氣味很雷同，自用掛耳。粉水包1:20會好喝許多</t>
    <phoneticPr fontId="1" type="noConversion"/>
  </si>
  <si>
    <t>11'09</t>
    <phoneticPr fontId="1" type="noConversion"/>
  </si>
  <si>
    <t>很淡的莓果風味，低溫body飽滿，酸感柔和，尾韻有莓果氣息，出小郭耳10包，回娘家</t>
    <phoneticPr fontId="1" type="noConversion"/>
  </si>
  <si>
    <t>11'35</t>
    <phoneticPr fontId="1" type="noConversion"/>
  </si>
  <si>
    <t>12'25</t>
    <phoneticPr fontId="1" type="noConversion"/>
  </si>
  <si>
    <t>sara 1/30訂單200g, 標準品，高溫有點小白花香氣，body厚實，酸甜平衡,出小郭掛耳8盒</t>
    <phoneticPr fontId="1" type="noConversion"/>
  </si>
  <si>
    <t>11'59</t>
    <phoneticPr fontId="1" type="noConversion"/>
  </si>
  <si>
    <t>sara 1/30訂單400g, 標準品，酸質柔和</t>
    <phoneticPr fontId="1" type="noConversion"/>
  </si>
  <si>
    <t>11'38</t>
    <phoneticPr fontId="1" type="noConversion"/>
  </si>
  <si>
    <t>12'22</t>
    <phoneticPr fontId="1" type="noConversion"/>
  </si>
  <si>
    <t>追#144，出小郭掛耳8盒</t>
    <phoneticPr fontId="1" type="noConversion"/>
  </si>
  <si>
    <t>11'37</t>
    <phoneticPr fontId="1" type="noConversion"/>
  </si>
  <si>
    <t>一般般，這鍋有達成設定的淺焙目標，入豆溫採190度，初期火力沒有很強，所以不會造成豆表烘比較深的情況，RD值只有15，整體而言風味會較集中，但感覺不出甜瓜的風味。生豆建議焙度是淺中到中，下次要在216左右出豆。裸包自用</t>
    <phoneticPr fontId="1" type="noConversion"/>
  </si>
  <si>
    <t>12'55</t>
    <phoneticPr fontId="1" type="noConversion"/>
  </si>
  <si>
    <t>乾香迷人，沖煮好後香氣雅淡，body/尾韻略弱，甜2酸1，中低溫很明顯的葡萄紅酒風味，可推薦給不喜歡酸的朋友。小芳聚會</t>
    <phoneticPr fontId="1" type="noConversion"/>
  </si>
  <si>
    <t>11'15</t>
    <phoneticPr fontId="1" type="noConversion"/>
  </si>
  <si>
    <t>蕙婷2/16，不酸好喝，還帶有香氣</t>
    <phoneticPr fontId="1" type="noConversion"/>
  </si>
  <si>
    <t>10'41</t>
    <phoneticPr fontId="1" type="noConversion"/>
  </si>
  <si>
    <t>12'52</t>
    <phoneticPr fontId="1" type="noConversion"/>
  </si>
  <si>
    <t>蕙婷2/16</t>
    <phoneticPr fontId="1" type="noConversion"/>
  </si>
  <si>
    <t>12'48</t>
    <phoneticPr fontId="1" type="noConversion"/>
  </si>
  <si>
    <t>12'05</t>
    <phoneticPr fontId="1" type="noConversion"/>
  </si>
  <si>
    <t>掛耳訂單2/14, 典璋8-2盒</t>
    <phoneticPr fontId="1" type="noConversion"/>
  </si>
  <si>
    <t>10'24</t>
    <phoneticPr fontId="1" type="noConversion"/>
  </si>
  <si>
    <t>11'49</t>
    <phoneticPr fontId="1" type="noConversion"/>
  </si>
  <si>
    <t>掛耳訂單2/14, 典璋8-2盒, 裸包自用。酸1甜1，風味有點平。</t>
    <phoneticPr fontId="1" type="noConversion"/>
  </si>
  <si>
    <t>志儒訂單</t>
    <phoneticPr fontId="1" type="noConversion"/>
  </si>
  <si>
    <t>11'11</t>
    <phoneticPr fontId="1" type="noConversion"/>
  </si>
  <si>
    <t>12'21</t>
    <phoneticPr fontId="1" type="noConversion"/>
  </si>
  <si>
    <t>志儒訂單, 甜2酸1苦1，低溫比較好喝</t>
    <phoneticPr fontId="1" type="noConversion"/>
  </si>
  <si>
    <t>9'46</t>
    <phoneticPr fontId="1" type="noConversion"/>
  </si>
  <si>
    <t>11'41</t>
    <phoneticPr fontId="1" type="noConversion"/>
  </si>
  <si>
    <t>練習，90度淬有苦味，沒有突出的酸，感覺沒特色的一鍋，冷掉有肯亞常見的烏梅風味, 給老爸</t>
    <phoneticPr fontId="1" type="noConversion"/>
  </si>
  <si>
    <t>12'37</t>
    <phoneticPr fontId="1" type="noConversion"/>
  </si>
  <si>
    <t>典璋200*4訂單,檸檬皮紅糖香氣，屬於不酸的咖啡，body偏厚及尾韻有巧克力風味。</t>
    <phoneticPr fontId="1" type="noConversion"/>
  </si>
  <si>
    <t>典璋200*4訂單, 有一絲絲白花香氣跟藝妓種的柑橘調性尾韻，完全不酸，不過帶點檸檬皮苦味跟奶油香氣。</t>
    <phoneticPr fontId="1" type="noConversion"/>
  </si>
  <si>
    <t>11'22</t>
    <phoneticPr fontId="1" type="noConversion"/>
  </si>
  <si>
    <t>典璋200*4訂單</t>
    <phoneticPr fontId="1" type="noConversion"/>
  </si>
  <si>
    <t>9'30</t>
    <phoneticPr fontId="1" type="noConversion"/>
  </si>
  <si>
    <t>10'14</t>
    <phoneticPr fontId="1" type="noConversion"/>
  </si>
  <si>
    <t>葉品彣 2/18 200*5訂單</t>
    <phoneticPr fontId="1" type="noConversion"/>
  </si>
  <si>
    <t>葉品彣 2/18 200*5訂單, 酸甜平衡的一鍋，很舒服的酸甜，相較格林藝妓而言少了一點花香。</t>
    <phoneticPr fontId="1" type="noConversion"/>
  </si>
  <si>
    <t>葉品彣 2/18 200*5訂單,甜2酸1，明亮清透的風味，乾香有淡淡花香味。</t>
    <phoneticPr fontId="1" type="noConversion"/>
  </si>
  <si>
    <t>10'06</t>
    <phoneticPr fontId="1" type="noConversion"/>
  </si>
  <si>
    <t>11'26</t>
    <phoneticPr fontId="1" type="noConversion"/>
  </si>
  <si>
    <t>葉品彣 2/18 200*5訂單, 粉水比要1:15，香氣不夠飽滿，不確定是不是掛耳存放不良？</t>
    <phoneticPr fontId="1" type="noConversion"/>
  </si>
  <si>
    <t>9'53</t>
    <phoneticPr fontId="1" type="noConversion"/>
  </si>
  <si>
    <t>葉品彣 2/18 200*5訂單, 有紅酒的香氣，酸2甜2是喜歡強烈味道人的選項之一</t>
    <phoneticPr fontId="1" type="noConversion"/>
  </si>
  <si>
    <t>自用裸包，沒有瑕疵，但風味不明顯，不酸有甜感略帶檸檬甜後的口感。家自用。養豆1個月之後香氣十分迷人。大姐4/10-試喝5包</t>
    <phoneticPr fontId="1" type="noConversion"/>
  </si>
  <si>
    <t>出雪瑩姐2/25-200g豆*4，出大姊3/14-5包，家自用</t>
    <phoneticPr fontId="1" type="noConversion"/>
  </si>
  <si>
    <t>出雪瑩姐2/25-200g豆*4，家自用。</t>
    <phoneticPr fontId="1" type="noConversion"/>
  </si>
  <si>
    <t>出雪瑩姐2/25-200g豆*4</t>
    <phoneticPr fontId="1" type="noConversion"/>
  </si>
  <si>
    <t>10'11</t>
    <phoneticPr fontId="1" type="noConversion"/>
  </si>
  <si>
    <t>11'39</t>
    <phoneticPr fontId="1" type="noConversion"/>
  </si>
  <si>
    <t>7'46</t>
    <phoneticPr fontId="1" type="noConversion"/>
  </si>
  <si>
    <t>8'28</t>
    <phoneticPr fontId="1" type="noConversion"/>
  </si>
  <si>
    <t>小芳2/26-200*4</t>
    <phoneticPr fontId="1" type="noConversion"/>
  </si>
  <si>
    <t>13'11</t>
    <phoneticPr fontId="1" type="noConversion"/>
  </si>
  <si>
    <t>8'15</t>
    <phoneticPr fontId="1" type="noConversion"/>
  </si>
  <si>
    <t>Kelly, Celing，裸包自用, 有焦糖的甜感。</t>
    <phoneticPr fontId="1" type="noConversion"/>
  </si>
  <si>
    <t>11'07</t>
    <phoneticPr fontId="1" type="noConversion"/>
  </si>
  <si>
    <t>Celing，很甜</t>
    <phoneticPr fontId="1" type="noConversion"/>
  </si>
  <si>
    <t>Kelly,甜感十足，有微微香氣,出大姊3/14-5包</t>
    <phoneticPr fontId="1" type="noConversion"/>
  </si>
  <si>
    <t>11'42</t>
    <phoneticPr fontId="1" type="noConversion"/>
  </si>
  <si>
    <t>Kelly,自用義式</t>
    <phoneticPr fontId="1" type="noConversion"/>
  </si>
  <si>
    <t>9'11</t>
    <phoneticPr fontId="1" type="noConversion"/>
  </si>
  <si>
    <t>Celing</t>
    <phoneticPr fontId="1" type="noConversion"/>
  </si>
  <si>
    <t>Kelly，自用義式</t>
    <phoneticPr fontId="1" type="noConversion"/>
  </si>
  <si>
    <t>9'23</t>
    <phoneticPr fontId="1" type="noConversion"/>
  </si>
  <si>
    <t>Kelly, Joy，試喝*4，此焙度比較合適奶咖</t>
    <phoneticPr fontId="1" type="noConversion"/>
  </si>
  <si>
    <t>Cris自烘</t>
    <phoneticPr fontId="1" type="noConversion"/>
  </si>
  <si>
    <t>東弘自備生豆，自烘無記錄1</t>
    <phoneticPr fontId="1" type="noConversion"/>
  </si>
  <si>
    <t>東弘自備生豆，自烘無記錄2</t>
    <phoneticPr fontId="1" type="noConversion"/>
  </si>
  <si>
    <t>東弘自備生豆，自烘無記錄3</t>
    <phoneticPr fontId="1" type="noConversion"/>
  </si>
  <si>
    <t>東弘自備生豆，自烘無記錄4</t>
    <phoneticPr fontId="1" type="noConversion"/>
  </si>
  <si>
    <t>東弘自備生豆，自烘無記錄5</t>
    <phoneticPr fontId="1" type="noConversion"/>
  </si>
  <si>
    <t>東弘自備生豆，自烘無記錄6</t>
    <phoneticPr fontId="1" type="noConversion"/>
  </si>
  <si>
    <t>東弘自備生豆，自烘無記錄7</t>
    <phoneticPr fontId="1" type="noConversion"/>
  </si>
  <si>
    <t>東弘自備生豆，自烘無記錄8</t>
    <phoneticPr fontId="1" type="noConversion"/>
  </si>
  <si>
    <t>東弘自備生豆，自烘無記錄9</t>
    <phoneticPr fontId="1" type="noConversion"/>
  </si>
  <si>
    <t>東弘自備生豆，自烘無記錄10</t>
  </si>
  <si>
    <t>7'00</t>
    <phoneticPr fontId="1" type="noConversion"/>
  </si>
  <si>
    <t>10'13</t>
    <phoneticPr fontId="1" type="noConversion"/>
  </si>
  <si>
    <t>第二次爆裂初始</t>
  </si>
  <si>
    <t>脫水期跳電，自用義式</t>
    <phoneticPr fontId="1" type="noConversion"/>
  </si>
  <si>
    <t>9'09</t>
    <phoneticPr fontId="1" type="noConversion"/>
  </si>
  <si>
    <t>自用義式</t>
    <phoneticPr fontId="1" type="noConversion"/>
  </si>
  <si>
    <t>10'43</t>
    <phoneticPr fontId="1" type="noConversion"/>
  </si>
  <si>
    <t>13'35</t>
    <phoneticPr fontId="1" type="noConversion"/>
  </si>
  <si>
    <t>第二次爆裂進入密集前</t>
  </si>
  <si>
    <t>木質調的氣味，手沖有微苦的可可風味</t>
    <phoneticPr fontId="1" type="noConversion"/>
  </si>
  <si>
    <t>10'28</t>
    <phoneticPr fontId="1" type="noConversion"/>
  </si>
  <si>
    <t>14'20</t>
    <phoneticPr fontId="1" type="noConversion"/>
  </si>
  <si>
    <t>二爆密集到二爆結束前</t>
  </si>
  <si>
    <t>14'53</t>
    <phoneticPr fontId="1" type="noConversion"/>
  </si>
  <si>
    <t>養豆出油,自用義式</t>
    <phoneticPr fontId="1" type="noConversion"/>
  </si>
  <si>
    <t>很強的玫瑰花香, 有甜感，酸質柔和，有生津尾韻。自用裸包*10+4包試喝</t>
    <phoneticPr fontId="1" type="noConversion"/>
  </si>
  <si>
    <t>白色系花香的雅淡香氣，在甜甜的口感中帶著些許回甘的酸味，手沖合宜的一鍋。家自用。</t>
    <phoneticPr fontId="1" type="noConversion"/>
  </si>
  <si>
    <t>7'40</t>
    <phoneticPr fontId="1" type="noConversion"/>
  </si>
  <si>
    <t>8'34</t>
    <phoneticPr fontId="1" type="noConversion"/>
  </si>
  <si>
    <t>手沖酸與甜都很濃烈，義式 BODY 不夠純厚，家自用。</t>
    <phoneticPr fontId="1" type="noConversion"/>
  </si>
  <si>
    <t>出 Joy 200 克 3/27 訂單，有一種不常見的香氣(可樂？)，紅糖尾韻，北京</t>
    <phoneticPr fontId="1" type="noConversion"/>
  </si>
  <si>
    <t>香甜感十足，joy 4/11 4包, monica 5/4 400*5 訂單</t>
    <phoneticPr fontId="1" type="noConversion"/>
  </si>
  <si>
    <t>冰滴好喝、有鳳梨香氣，大姐4/110-10包，joy4/11-4包，4/13 大哥400*7包</t>
    <phoneticPr fontId="1" type="noConversion"/>
  </si>
  <si>
    <t>明慧自烘，甜感足有水果香氣</t>
    <phoneticPr fontId="1" type="noConversion"/>
  </si>
  <si>
    <t>12'02</t>
    <phoneticPr fontId="1" type="noConversion"/>
  </si>
  <si>
    <t>angel自烘</t>
    <phoneticPr fontId="1" type="noConversion"/>
  </si>
  <si>
    <t>10'17</t>
    <phoneticPr fontId="1" type="noConversion"/>
  </si>
  <si>
    <t>瑪莉藝妓</t>
    <phoneticPr fontId="1" type="noConversion"/>
  </si>
  <si>
    <t>13'16</t>
    <phoneticPr fontId="1" type="noConversion"/>
  </si>
  <si>
    <t>巴西黃波旁</t>
    <phoneticPr fontId="1" type="noConversion"/>
  </si>
  <si>
    <t>明慧自烘, 追#207</t>
    <phoneticPr fontId="1" type="noConversion"/>
  </si>
  <si>
    <t>10'40</t>
    <phoneticPr fontId="1" type="noConversion"/>
  </si>
  <si>
    <t>Joy 4/2 200*4 訂單，裸包自用*10，跟寶貝藝妓的風味相似。</t>
    <phoneticPr fontId="1" type="noConversion"/>
  </si>
  <si>
    <t>Joy 4/2 200*4 訂單，自用義式，自用裸包</t>
    <phoneticPr fontId="1" type="noConversion"/>
  </si>
  <si>
    <t>9'45</t>
    <phoneticPr fontId="1" type="noConversion"/>
  </si>
  <si>
    <t>Joy 4/2 200*4 訂單，大姐4/10-10包，自用</t>
    <phoneticPr fontId="1" type="noConversion"/>
  </si>
  <si>
    <t>Joy 4/2 200*4 訂單，4/13 大哥400*7包</t>
    <phoneticPr fontId="1" type="noConversion"/>
  </si>
  <si>
    <t>Joy 4/10 3包掛耳，4/11 joy 4包</t>
    <phoneticPr fontId="1" type="noConversion"/>
  </si>
  <si>
    <t>4/13 大哥400*7包</t>
    <phoneticPr fontId="1" type="noConversion"/>
  </si>
  <si>
    <t>9'28</t>
    <phoneticPr fontId="1" type="noConversion"/>
  </si>
  <si>
    <t>joy lo 5/2 200*2</t>
    <phoneticPr fontId="1" type="noConversion"/>
  </si>
  <si>
    <t>Celing 5/1 400*4</t>
    <phoneticPr fontId="1" type="noConversion"/>
  </si>
  <si>
    <t>12'50</t>
    <phoneticPr fontId="1" type="noConversion"/>
  </si>
  <si>
    <t>初入口是令人感到明亮的酸感</t>
    <phoneticPr fontId="1" type="noConversion"/>
  </si>
  <si>
    <t>joy lo 5/2 200*2</t>
  </si>
  <si>
    <t>志儒訂單200*4</t>
    <phoneticPr fontId="1" type="noConversion"/>
  </si>
  <si>
    <t>10'16</t>
    <phoneticPr fontId="1" type="noConversion"/>
  </si>
  <si>
    <t>11'32</t>
    <phoneticPr fontId="1" type="noConversion"/>
  </si>
  <si>
    <t>monica 400*4</t>
    <phoneticPr fontId="1" type="noConversion"/>
  </si>
  <si>
    <t>志儒訂單200*4，贈江姐100g，裸包自用8包，甜感足、蜜桃香氣微妙(不常見)</t>
    <phoneticPr fontId="1" type="noConversion"/>
  </si>
  <si>
    <t>13'15</t>
    <phoneticPr fontId="1" type="noConversion"/>
  </si>
  <si>
    <t>江姐200*4</t>
    <phoneticPr fontId="1" type="noConversion"/>
  </si>
  <si>
    <t>8'08</t>
    <phoneticPr fontId="1" type="noConversion"/>
  </si>
  <si>
    <t>10'44</t>
    <phoneticPr fontId="1" type="noConversion"/>
  </si>
  <si>
    <t>11'19</t>
    <phoneticPr fontId="1" type="noConversion"/>
  </si>
  <si>
    <t>Celing 5/1 400*4，舒服的甜感，不酸</t>
    <phoneticPr fontId="1" type="noConversion"/>
  </si>
  <si>
    <t>Celing 5/1 400*4，香氣弱焙度要淺一些，有野莓風味，風味強勁，不酸。適合奶咖。</t>
    <phoneticPr fontId="1" type="noConversion"/>
  </si>
  <si>
    <t>Annie 200*4 5/2訂單(濾掛?)</t>
    <phoneticPr fontId="1" type="noConversion"/>
  </si>
  <si>
    <t>同學自烘</t>
    <phoneticPr fontId="1" type="noConversion"/>
  </si>
  <si>
    <t>9'54</t>
    <phoneticPr fontId="1" type="noConversion"/>
  </si>
  <si>
    <t>又香又甜，自用鍋次，娜5/18掛耳5-2訂單，香港伴手10包</t>
    <phoneticPr fontId="1" type="noConversion"/>
  </si>
  <si>
    <t>Annie 200*4 5/2訂單(濾掛?)，自用5，娜5/18掛耳5-1訂單</t>
    <phoneticPr fontId="1" type="noConversion"/>
  </si>
  <si>
    <t>哲瑋訂單200g</t>
    <phoneticPr fontId="1" type="noConversion"/>
  </si>
  <si>
    <t>10'35</t>
    <phoneticPr fontId="1" type="noConversion"/>
  </si>
  <si>
    <t>12'24</t>
    <phoneticPr fontId="1" type="noConversion"/>
  </si>
  <si>
    <t>大姐訂單10掛耳</t>
    <phoneticPr fontId="1" type="noConversion"/>
  </si>
  <si>
    <t>Annie 200*4 5/2訂單(2份)(濾掛?)，追#246</t>
    <phoneticPr fontId="1" type="noConversion"/>
  </si>
  <si>
    <t>10'36</t>
    <phoneticPr fontId="1" type="noConversion"/>
  </si>
  <si>
    <t>娜5/18掛耳5-5訂單</t>
    <phoneticPr fontId="1" type="noConversion"/>
  </si>
  <si>
    <t>8'59</t>
    <phoneticPr fontId="1" type="noConversion"/>
  </si>
  <si>
    <t>蕙婷400*4</t>
    <phoneticPr fontId="1" type="noConversion"/>
  </si>
  <si>
    <t>9'08</t>
    <phoneticPr fontId="1" type="noConversion"/>
  </si>
  <si>
    <t>宜蘭5/27-200*4，香港伴手10包，自用裸包</t>
    <phoneticPr fontId="1" type="noConversion"/>
  </si>
  <si>
    <t>8'30</t>
    <phoneticPr fontId="1" type="noConversion"/>
  </si>
  <si>
    <t>娜5/18掛耳5-3訂單，香港伴手10包,裝潢禮20包</t>
    <phoneticPr fontId="1" type="noConversion"/>
  </si>
  <si>
    <t>8'19</t>
    <phoneticPr fontId="1" type="noConversion"/>
  </si>
  <si>
    <t>10'00</t>
    <phoneticPr fontId="1" type="noConversion"/>
  </si>
  <si>
    <t>宜蘭5/27-200*4。香氣足, 香港伴手10包，100克熟豆小包</t>
    <phoneticPr fontId="1" type="noConversion"/>
  </si>
  <si>
    <t>宜蘭5/27-200*4, 自用裸包</t>
    <phoneticPr fontId="1" type="noConversion"/>
  </si>
  <si>
    <t>宜蘭5/27-200*4，香港伴手10包，5包掛耳(預存)</t>
    <phoneticPr fontId="1" type="noConversion"/>
  </si>
  <si>
    <t>9'22</t>
    <phoneticPr fontId="1" type="noConversion"/>
  </si>
  <si>
    <t>娜5/18掛耳5-4訂單，自用掛耳10</t>
    <phoneticPr fontId="1" type="noConversion"/>
  </si>
  <si>
    <t>9'10</t>
    <phoneticPr fontId="1" type="noConversion"/>
  </si>
  <si>
    <t>9'55</t>
    <phoneticPr fontId="1" type="noConversion"/>
  </si>
  <si>
    <t>巴西</t>
    <phoneticPr fontId="1" type="noConversion"/>
  </si>
  <si>
    <t>明慧自烘，喜拉朵</t>
    <phoneticPr fontId="1" type="noConversion"/>
  </si>
  <si>
    <t>衣索比亞</t>
    <phoneticPr fontId="1" type="noConversion"/>
  </si>
  <si>
    <t>明慧自烘，日晒寶貝</t>
    <phoneticPr fontId="1" type="noConversion"/>
  </si>
  <si>
    <t>哥斯大黎加</t>
    <phoneticPr fontId="1" type="noConversion"/>
  </si>
  <si>
    <t>apple自烘，十里桃花</t>
    <phoneticPr fontId="1" type="noConversion"/>
  </si>
  <si>
    <t>raisin-honey</t>
    <phoneticPr fontId="1" type="noConversion"/>
  </si>
  <si>
    <t>9'12</t>
    <phoneticPr fontId="1" type="noConversion"/>
  </si>
  <si>
    <t>10'15</t>
    <phoneticPr fontId="1" type="noConversion"/>
  </si>
  <si>
    <t>明慧自烘，莫札特</t>
    <phoneticPr fontId="1" type="noConversion"/>
  </si>
  <si>
    <t>二姐代烘250g</t>
    <phoneticPr fontId="1" type="noConversion"/>
  </si>
  <si>
    <t>8'04</t>
    <phoneticPr fontId="1" type="noConversion"/>
  </si>
  <si>
    <t>8'35</t>
    <phoneticPr fontId="1" type="noConversion"/>
  </si>
  <si>
    <t>11'24</t>
    <phoneticPr fontId="1" type="noConversion"/>
  </si>
  <si>
    <t>8'02</t>
    <phoneticPr fontId="1" type="noConversion"/>
  </si>
  <si>
    <t>6/26美伶掛耳10禮物</t>
    <phoneticPr fontId="1" type="noConversion"/>
  </si>
  <si>
    <t>8'45</t>
    <phoneticPr fontId="1" type="noConversion"/>
  </si>
  <si>
    <t>6/25大哥試喝150g，卡拉五包</t>
  </si>
  <si>
    <t>大哥6/24，400*3訂單，追#217</t>
    <phoneticPr fontId="1" type="noConversion"/>
  </si>
  <si>
    <t>8'56</t>
    <phoneticPr fontId="1" type="noConversion"/>
  </si>
  <si>
    <t>大哥6/24，400*3訂單</t>
  </si>
  <si>
    <t>11'00</t>
    <phoneticPr fontId="1" type="noConversion"/>
  </si>
  <si>
    <t>自用裸包。</t>
    <phoneticPr fontId="1" type="noConversion"/>
  </si>
  <si>
    <t>玉珍*8</t>
    <phoneticPr fontId="1" type="noConversion"/>
  </si>
  <si>
    <t>9'47</t>
    <phoneticPr fontId="1" type="noConversion"/>
  </si>
  <si>
    <t>掛耳5訂單，自用裸包</t>
    <phoneticPr fontId="1" type="noConversion"/>
  </si>
  <si>
    <t>9'21</t>
    <phoneticPr fontId="1" type="noConversion"/>
  </si>
  <si>
    <t>月光酒釀</t>
    <phoneticPr fontId="1" type="noConversion"/>
  </si>
  <si>
    <t>8'42</t>
    <phoneticPr fontId="1" type="noConversion"/>
  </si>
  <si>
    <t>9'01</t>
    <phoneticPr fontId="1" type="noConversion"/>
  </si>
  <si>
    <t>典璋同學</t>
    <phoneticPr fontId="1" type="noConversion"/>
  </si>
  <si>
    <t>8'37</t>
    <phoneticPr fontId="1" type="noConversion"/>
  </si>
  <si>
    <t>9'15</t>
    <phoneticPr fontId="1" type="noConversion"/>
  </si>
  <si>
    <t>高雄訂單</t>
    <phoneticPr fontId="1" type="noConversion"/>
  </si>
  <si>
    <t>8'06</t>
    <phoneticPr fontId="1" type="noConversion"/>
  </si>
  <si>
    <t>志儒</t>
    <phoneticPr fontId="1" type="noConversion"/>
  </si>
  <si>
    <t>8'27</t>
    <phoneticPr fontId="1" type="noConversion"/>
  </si>
  <si>
    <t>9'32</t>
    <phoneticPr fontId="1" type="noConversion"/>
  </si>
  <si>
    <t>8'39</t>
    <phoneticPr fontId="1" type="noConversion"/>
  </si>
  <si>
    <t>出蕙婷8/18, 200*4</t>
    <phoneticPr fontId="1" type="noConversion"/>
  </si>
  <si>
    <t>出 Johan 400*2</t>
    <phoneticPr fontId="1" type="noConversion"/>
  </si>
  <si>
    <t>出蕙婷8/18, 200*4，中秋禮</t>
    <phoneticPr fontId="1" type="noConversion"/>
  </si>
  <si>
    <t>11'51</t>
    <phoneticPr fontId="1" type="noConversion"/>
  </si>
  <si>
    <t>卡拉五包，台中同事</t>
    <phoneticPr fontId="1" type="noConversion"/>
  </si>
  <si>
    <t>中秋禮</t>
    <phoneticPr fontId="1" type="noConversion"/>
  </si>
  <si>
    <t>自用裸包</t>
    <phoneticPr fontId="1" type="noConversion"/>
  </si>
  <si>
    <t>文玉</t>
    <phoneticPr fontId="1" type="noConversion"/>
  </si>
  <si>
    <t>有明顯的桂花香，中秋禮</t>
    <phoneticPr fontId="1" type="noConversion"/>
  </si>
  <si>
    <t>8'52</t>
    <phoneticPr fontId="1" type="noConversion"/>
  </si>
  <si>
    <t>10'31</t>
    <phoneticPr fontId="1" type="noConversion"/>
  </si>
  <si>
    <t>雅芬9/2,200g*4+掛耳400g*2</t>
    <phoneticPr fontId="1" type="noConversion"/>
  </si>
  <si>
    <t>10'04</t>
    <phoneticPr fontId="1" type="noConversion"/>
  </si>
  <si>
    <t>10'29</t>
    <phoneticPr fontId="1" type="noConversion"/>
  </si>
  <si>
    <t>9'13</t>
    <phoneticPr fontId="1" type="noConversion"/>
  </si>
  <si>
    <t>8'55</t>
    <phoneticPr fontId="1" type="noConversion"/>
  </si>
  <si>
    <t>10'05</t>
    <phoneticPr fontId="1" type="noConversion"/>
  </si>
  <si>
    <t>追#279，出大哥9/2，Lucy200g*4+400g*2</t>
    <phoneticPr fontId="1" type="noConversion"/>
  </si>
  <si>
    <t>9'06</t>
    <phoneticPr fontId="1" type="noConversion"/>
  </si>
  <si>
    <t>8'46</t>
    <phoneticPr fontId="1" type="noConversion"/>
  </si>
  <si>
    <t>9'51</t>
    <phoneticPr fontId="1" type="noConversion"/>
  </si>
  <si>
    <t>贈雅芬</t>
    <phoneticPr fontId="1" type="noConversion"/>
  </si>
  <si>
    <t>贈大哥</t>
    <phoneticPr fontId="1" type="noConversion"/>
  </si>
  <si>
    <t>monica 400*2</t>
    <phoneticPr fontId="1" type="noConversion"/>
  </si>
  <si>
    <t>7'03</t>
    <phoneticPr fontId="1" type="noConversion"/>
  </si>
  <si>
    <t>自用義式，自用裸包</t>
    <phoneticPr fontId="1" type="noConversion"/>
  </si>
  <si>
    <t>monica 同事 9/13 200g*2</t>
    <phoneticPr fontId="1" type="noConversion"/>
  </si>
  <si>
    <t>12'30</t>
    <phoneticPr fontId="1" type="noConversion"/>
  </si>
  <si>
    <t>monica 同事 9/13 200g*2, 餘自用</t>
    <phoneticPr fontId="1" type="noConversion"/>
  </si>
  <si>
    <t>12'56</t>
    <phoneticPr fontId="1" type="noConversion"/>
  </si>
  <si>
    <t>8'09</t>
    <phoneticPr fontId="1" type="noConversion"/>
  </si>
  <si>
    <t>老爸</t>
    <phoneticPr fontId="1" type="noConversion"/>
  </si>
  <si>
    <t>斷電3次，自義式</t>
    <phoneticPr fontId="1" type="noConversion"/>
  </si>
  <si>
    <t>9'02</t>
    <phoneticPr fontId="1" type="noConversion"/>
  </si>
  <si>
    <t>香味足，台中同事</t>
    <phoneticPr fontId="1" type="noConversion"/>
  </si>
  <si>
    <t>12'19</t>
    <phoneticPr fontId="1" type="noConversion"/>
  </si>
  <si>
    <t>Celing 400*9 +1</t>
    <phoneticPr fontId="1" type="noConversion"/>
  </si>
  <si>
    <t>9'41</t>
    <phoneticPr fontId="1" type="noConversion"/>
  </si>
  <si>
    <t>1'51</t>
    <phoneticPr fontId="1" type="noConversion"/>
  </si>
  <si>
    <t>9'14</t>
    <phoneticPr fontId="1" type="noConversion"/>
  </si>
  <si>
    <t>大姐掛耳10*2, Joy,Joan 掛耳</t>
    <phoneticPr fontId="1" type="noConversion"/>
  </si>
  <si>
    <t>9'17</t>
    <phoneticPr fontId="1" type="noConversion"/>
  </si>
  <si>
    <t>大姐掛耳10*2Joy,Joan 掛耳</t>
    <phoneticPr fontId="1" type="noConversion"/>
  </si>
  <si>
    <t>anson 200g*1</t>
    <phoneticPr fontId="1" type="noConversion"/>
  </si>
  <si>
    <t>自用，cartier</t>
    <phoneticPr fontId="1" type="noConversion"/>
  </si>
  <si>
    <t>7'25</t>
    <phoneticPr fontId="1" type="noConversion"/>
  </si>
  <si>
    <t>ng，自用</t>
    <phoneticPr fontId="1" type="noConversion"/>
  </si>
  <si>
    <t>大哥，101店</t>
    <phoneticPr fontId="1" type="noConversion"/>
  </si>
  <si>
    <t>9'31</t>
    <phoneticPr fontId="1" type="noConversion"/>
  </si>
  <si>
    <t>大哥，蕙婷</t>
    <phoneticPr fontId="1" type="noConversion"/>
  </si>
  <si>
    <t>9'03</t>
    <phoneticPr fontId="1" type="noConversion"/>
  </si>
  <si>
    <t>大哥</t>
    <phoneticPr fontId="1" type="noConversion"/>
  </si>
  <si>
    <t>9'48</t>
    <phoneticPr fontId="1" type="noConversion"/>
  </si>
  <si>
    <t>9'24</t>
    <phoneticPr fontId="1" type="noConversion"/>
  </si>
  <si>
    <t>9'05</t>
    <phoneticPr fontId="1" type="noConversion"/>
  </si>
  <si>
    <t>11'53</t>
    <phoneticPr fontId="1" type="noConversion"/>
  </si>
  <si>
    <t>tan*5，沒有一爆聲, 自用</t>
    <phoneticPr fontId="1" type="noConversion"/>
  </si>
  <si>
    <t>tan*5，自用</t>
    <phoneticPr fontId="1" type="noConversion"/>
  </si>
  <si>
    <t>贈志儒掛耳*2包，搭patios掛耳訂單2包，簡-試喝，大姐12/7-4包</t>
    <phoneticPr fontId="1" type="noConversion"/>
  </si>
  <si>
    <t>明幸*4掛耳, 明幸12/4，掛耳3盒,12/7-大姐12/7-4包</t>
    <phoneticPr fontId="1" type="noConversion"/>
  </si>
  <si>
    <t>7'29</t>
    <phoneticPr fontId="1" type="noConversion"/>
  </si>
  <si>
    <t>7'59</t>
    <phoneticPr fontId="1" type="noConversion"/>
  </si>
  <si>
    <t>kris自烘</t>
    <phoneticPr fontId="1" type="noConversion"/>
  </si>
  <si>
    <t>掛耳訂單10包，明幸*4掛耳</t>
    <phoneticPr fontId="1" type="noConversion"/>
  </si>
  <si>
    <t>中國雲南</t>
    <phoneticPr fontId="1" type="noConversion"/>
  </si>
  <si>
    <t>雲南保山</t>
    <phoneticPr fontId="1" type="noConversion"/>
  </si>
  <si>
    <t>二姐雲南豆，明幸12/13-5盒,Anita同事耶誕禮</t>
    <phoneticPr fontId="1" type="noConversion"/>
  </si>
  <si>
    <t>9'50</t>
    <phoneticPr fontId="1" type="noConversion"/>
  </si>
  <si>
    <t>熱鍋自用，明幸*4掛耳，酸,明幸12/4，掛耳3盒,簡試喝</t>
    <phoneticPr fontId="1" type="noConversion"/>
  </si>
  <si>
    <t>志儒訂單200g*4(11/11)</t>
    <phoneticPr fontId="1" type="noConversion"/>
  </si>
  <si>
    <t>Monic朋友12/1，200g*4,明幸12/4，掛耳3盒, 典璋10包</t>
    <phoneticPr fontId="1" type="noConversion"/>
  </si>
  <si>
    <t>Monic朋友12/1，200g*4,明幸12/4，掛耳3盒，明幸12/13-5盒,Anita同事耶誕禮</t>
    <phoneticPr fontId="1" type="noConversion"/>
  </si>
  <si>
    <t>明幸12/4，掛耳3盒</t>
    <phoneticPr fontId="1" type="noConversion"/>
  </si>
  <si>
    <t>入豆溫設定有誤，Monic朋友12/1，200g*4</t>
    <phoneticPr fontId="1" type="noConversion"/>
  </si>
  <si>
    <t>Monic朋友12/1，200g*4</t>
    <phoneticPr fontId="1" type="noConversion"/>
  </si>
  <si>
    <t>蕙婷 12/1 200g*4</t>
    <phoneticPr fontId="1" type="noConversion"/>
  </si>
  <si>
    <t>yiling訂單200g, 明幸12/13-5盒,Anita同事耶誕禮</t>
    <phoneticPr fontId="1" type="noConversion"/>
  </si>
  <si>
    <t>江姐400g*2</t>
    <phoneticPr fontId="1" type="noConversion"/>
  </si>
  <si>
    <t>9'29</t>
    <phoneticPr fontId="1" type="noConversion"/>
  </si>
  <si>
    <t>禮盒濾掛</t>
    <phoneticPr fontId="1" type="noConversion"/>
  </si>
  <si>
    <t>老爸200g，禮盒濾掛</t>
    <phoneticPr fontId="1" type="noConversion"/>
  </si>
  <si>
    <t>ANGEL+ 朋友自烘 10鍋</t>
    <phoneticPr fontId="1" type="noConversion"/>
  </si>
  <si>
    <t>簡12/4訂單200g*2,老爸</t>
    <phoneticPr fontId="1" type="noConversion"/>
  </si>
  <si>
    <t>簡12/4訂單200g*2，自用</t>
    <phoneticPr fontId="1" type="noConversion"/>
  </si>
  <si>
    <t>明幸12/13-5盒，Anita同事耶誕禮</t>
    <phoneticPr fontId="1" type="noConversion"/>
  </si>
  <si>
    <t>周年慶20盒</t>
    <phoneticPr fontId="1" type="noConversion"/>
  </si>
  <si>
    <t>9'00</t>
    <phoneticPr fontId="1" type="noConversion"/>
  </si>
  <si>
    <t>典璋12/16-10包,Tina12/30-25包，禮盒濾掛</t>
    <phoneticPr fontId="1" type="noConversion"/>
  </si>
  <si>
    <t>cindy400*2</t>
    <phoneticPr fontId="1" type="noConversion"/>
  </si>
  <si>
    <t>13'25</t>
    <phoneticPr fontId="1" type="noConversion"/>
  </si>
  <si>
    <t>周年慶20盒</t>
  </si>
  <si>
    <t>Tina12/7訂單贈100g，周年慶20盒</t>
    <phoneticPr fontId="1" type="noConversion"/>
  </si>
  <si>
    <t>典璋12/16-10包，周年慶20盒</t>
    <phoneticPr fontId="1" type="noConversion"/>
  </si>
  <si>
    <t>Tina12/7_訂單，典璋12/16-10包，裸包自用</t>
    <phoneticPr fontId="1" type="noConversion"/>
  </si>
  <si>
    <t>Tina12/7_訂單，自用裸包</t>
    <phoneticPr fontId="1" type="noConversion"/>
  </si>
  <si>
    <t>Tina12/7_訂單，典璋12/16-10包</t>
    <phoneticPr fontId="1" type="noConversion"/>
  </si>
  <si>
    <t>9'04</t>
    <phoneticPr fontId="1" type="noConversion"/>
  </si>
  <si>
    <t>Tina12/7_訂單</t>
    <phoneticPr fontId="1" type="noConversion"/>
  </si>
  <si>
    <t>Tina12/7_訂單，禮盒濾掛</t>
    <phoneticPr fontId="1" type="noConversion"/>
  </si>
  <si>
    <t>Tina12/7_訂單，老爸</t>
    <phoneticPr fontId="1" type="noConversion"/>
  </si>
  <si>
    <t>Tina12/7_訂單，周年慶20盒</t>
    <phoneticPr fontId="1" type="noConversion"/>
  </si>
  <si>
    <t>sara訂單</t>
    <phoneticPr fontId="1" type="noConversion"/>
  </si>
  <si>
    <t>8'07</t>
    <phoneticPr fontId="1" type="noConversion"/>
  </si>
  <si>
    <t>酒釀櫻桃風味明顯，可留自用義式</t>
    <phoneticPr fontId="1" type="noConversion"/>
  </si>
  <si>
    <t>修奕訂單</t>
    <phoneticPr fontId="1" type="noConversion"/>
  </si>
  <si>
    <t>奕玲訂單</t>
    <phoneticPr fontId="1" type="noConversion"/>
  </si>
  <si>
    <t>10'10</t>
    <phoneticPr fontId="1" type="noConversion"/>
  </si>
  <si>
    <t>8'36</t>
    <phoneticPr fontId="1" type="noConversion"/>
  </si>
  <si>
    <t>修奕訂單200,蕙婷200g,Tina12/30-25包,裸包自用</t>
    <phoneticPr fontId="1" type="noConversion"/>
  </si>
  <si>
    <t>8'51</t>
    <phoneticPr fontId="1" type="noConversion"/>
  </si>
  <si>
    <t>修奕、奕玲各200克訂單</t>
    <phoneticPr fontId="1" type="noConversion"/>
  </si>
  <si>
    <t>奕玲訂單200g，贈各100克給sara，修奕</t>
    <phoneticPr fontId="1" type="noConversion"/>
  </si>
  <si>
    <t>修奕訂單200,蕙婷200g</t>
    <phoneticPr fontId="1" type="noConversion"/>
  </si>
  <si>
    <t>9'39</t>
    <phoneticPr fontId="1" type="noConversion"/>
  </si>
  <si>
    <t>蕙婷45盒訂單</t>
    <phoneticPr fontId="1" type="noConversion"/>
  </si>
  <si>
    <t>蕙婷45盒訂單，追445</t>
    <phoneticPr fontId="1" type="noConversion"/>
  </si>
  <si>
    <t>蕙婷45盒訂單，追448</t>
    <phoneticPr fontId="1" type="noConversion"/>
  </si>
  <si>
    <t>蕙婷45盒訂單，追431</t>
    <phoneticPr fontId="1" type="noConversion"/>
  </si>
  <si>
    <t>蕙婷45盒訂單，追431，自用裸包</t>
    <phoneticPr fontId="1" type="noConversion"/>
  </si>
  <si>
    <t>蕙婷45盒訂單，追452</t>
    <phoneticPr fontId="1" type="noConversion"/>
  </si>
  <si>
    <t>蕙婷45盒訂單，追455</t>
    <phoneticPr fontId="1" type="noConversion"/>
  </si>
  <si>
    <t>蕙婷45盒訂單，追459</t>
    <phoneticPr fontId="1" type="noConversion"/>
  </si>
  <si>
    <t>蕙婷45盒訂單，追464</t>
    <phoneticPr fontId="1" type="noConversion"/>
  </si>
  <si>
    <t>蕙婷45盒訂單，追466</t>
    <phoneticPr fontId="1" type="noConversion"/>
  </si>
  <si>
    <t>小芳伴手</t>
    <phoneticPr fontId="1" type="noConversion"/>
  </si>
  <si>
    <t>tina12/30-25包，自用裸包</t>
    <phoneticPr fontId="1" type="noConversion"/>
  </si>
  <si>
    <t>小芳伴手1/4，裸包自用</t>
    <phoneticPr fontId="1" type="noConversion"/>
  </si>
  <si>
    <t>tina12/30-25包，裸包自用</t>
    <phoneticPr fontId="1" type="noConversion"/>
  </si>
  <si>
    <t>大哥12/27訂單</t>
    <phoneticPr fontId="1" type="noConversion"/>
  </si>
  <si>
    <t>贈大哥，joy訂單</t>
    <phoneticPr fontId="1" type="noConversion"/>
  </si>
  <si>
    <t>志儒(粉)</t>
    <phoneticPr fontId="1" type="noConversion"/>
  </si>
  <si>
    <t>訂單預備</t>
    <phoneticPr fontId="1" type="noConversion"/>
  </si>
  <si>
    <t>11'29</t>
    <phoneticPr fontId="1" type="noConversion"/>
  </si>
  <si>
    <t>蕙婷1/1訂單</t>
    <phoneticPr fontId="1" type="noConversion"/>
  </si>
  <si>
    <t>蕙婷1/1訂單，polpres</t>
    <phoneticPr fontId="1" type="noConversion"/>
  </si>
  <si>
    <t>Johan 200gx2 日出桂花</t>
  </si>
  <si>
    <t>8'31</t>
    <phoneticPr fontId="1" type="noConversion"/>
  </si>
  <si>
    <t>8'58</t>
    <phoneticPr fontId="1" type="noConversion"/>
  </si>
  <si>
    <t>monica 1/20 訂單</t>
    <phoneticPr fontId="1" type="noConversion"/>
  </si>
  <si>
    <t>8'14</t>
    <phoneticPr fontId="1" type="noConversion"/>
  </si>
  <si>
    <t>cindy 1/20 訂單 400*2</t>
    <phoneticPr fontId="1" type="noConversion"/>
  </si>
  <si>
    <t>小郭2/18訂單</t>
    <phoneticPr fontId="1" type="noConversion"/>
  </si>
  <si>
    <t>志儒2/1</t>
    <phoneticPr fontId="1" type="noConversion"/>
  </si>
  <si>
    <t>yiling 1/23, 200g*6</t>
    <phoneticPr fontId="1" type="noConversion"/>
  </si>
  <si>
    <t>8'44</t>
    <phoneticPr fontId="1" type="noConversion"/>
  </si>
  <si>
    <t>Johan 200g</t>
    <phoneticPr fontId="1" type="noConversion"/>
  </si>
  <si>
    <t>小郭10包，大姐同事5包，200g豆送小郭</t>
  </si>
  <si>
    <t>10'59</t>
    <phoneticPr fontId="1" type="noConversion"/>
  </si>
  <si>
    <t>vera 400g</t>
  </si>
  <si>
    <t>大姐2/10訂單2盒</t>
    <phoneticPr fontId="1" type="noConversion"/>
  </si>
  <si>
    <t>大姐同事5包，小郭10包</t>
  </si>
  <si>
    <t>小郭10包</t>
  </si>
  <si>
    <t>郭200g</t>
  </si>
  <si>
    <t>斷電二烘，200g小郭</t>
  </si>
  <si>
    <t>雅芬</t>
  </si>
  <si>
    <t>1'36</t>
  </si>
  <si>
    <t>9'55</t>
  </si>
  <si>
    <t>11'24</t>
  </si>
  <si>
    <t>幸福時潮2館3/2出貨</t>
    <phoneticPr fontId="1" type="noConversion"/>
  </si>
  <si>
    <t>1'38</t>
  </si>
  <si>
    <t>9'51</t>
  </si>
  <si>
    <t>10'59</t>
  </si>
  <si>
    <t>蕙婷</t>
  </si>
  <si>
    <t>1'34</t>
  </si>
  <si>
    <t>9'57</t>
  </si>
  <si>
    <t>11'12</t>
  </si>
  <si>
    <t>蕙婷+朋友</t>
  </si>
  <si>
    <t>1'28</t>
  </si>
  <si>
    <t>9'21</t>
  </si>
  <si>
    <t>10'39</t>
  </si>
  <si>
    <t>簡家偉200</t>
  </si>
  <si>
    <t>1'30</t>
  </si>
  <si>
    <t>9'27</t>
  </si>
  <si>
    <t>10'56</t>
  </si>
  <si>
    <t>1'29</t>
  </si>
  <si>
    <t>9'19</t>
  </si>
  <si>
    <t>10'47</t>
  </si>
  <si>
    <t>9'35</t>
  </si>
  <si>
    <t>10'26</t>
  </si>
  <si>
    <t>雅芬200g</t>
  </si>
  <si>
    <t>1'32</t>
  </si>
  <si>
    <t>9'28</t>
  </si>
  <si>
    <t>10'21</t>
  </si>
  <si>
    <t>幸福時潮2館3/2出貨, 仁友公司用</t>
    <phoneticPr fontId="1" type="noConversion"/>
  </si>
  <si>
    <t>1'33</t>
  </si>
  <si>
    <t>9'43</t>
  </si>
  <si>
    <t>10'37</t>
  </si>
  <si>
    <t>9'39</t>
  </si>
  <si>
    <t>10'25</t>
  </si>
  <si>
    <t>簡家偉200g</t>
  </si>
  <si>
    <t>蕙婷辦公室用</t>
    <phoneticPr fontId="1" type="noConversion"/>
  </si>
  <si>
    <t>cindy&amp;大哥</t>
    <phoneticPr fontId="1" type="noConversion"/>
  </si>
  <si>
    <t>大哥&amp;michael</t>
    <phoneticPr fontId="1" type="noConversion"/>
  </si>
  <si>
    <t>大哥200g</t>
    <phoneticPr fontId="1" type="noConversion"/>
  </si>
  <si>
    <t>大哥+10包濾掛</t>
    <phoneticPr fontId="1" type="noConversion"/>
  </si>
  <si>
    <t>璋-10包</t>
    <phoneticPr fontId="1" type="noConversion"/>
  </si>
  <si>
    <t>Cindy</t>
    <phoneticPr fontId="1" type="noConversion"/>
  </si>
  <si>
    <t>13'14</t>
    <phoneticPr fontId="1" type="noConversion"/>
  </si>
  <si>
    <t>娜200g</t>
    <phoneticPr fontId="1" type="noConversion"/>
  </si>
  <si>
    <t>娜5</t>
    <phoneticPr fontId="1" type="noConversion"/>
  </si>
  <si>
    <t>janny5，sammer10</t>
    <phoneticPr fontId="1" type="noConversion"/>
  </si>
  <si>
    <t>micky</t>
    <phoneticPr fontId="1" type="noConversion"/>
  </si>
  <si>
    <t>娜5，sammer5</t>
    <phoneticPr fontId="1" type="noConversion"/>
  </si>
  <si>
    <t>jenny5，sammer5</t>
    <phoneticPr fontId="1" type="noConversion"/>
  </si>
  <si>
    <t>蕙婷</t>
    <phoneticPr fontId="1" type="noConversion"/>
  </si>
  <si>
    <t>志儒+cora</t>
    <phoneticPr fontId="1" type="noConversion"/>
  </si>
  <si>
    <t>cora+嘉緯</t>
    <phoneticPr fontId="1" type="noConversion"/>
  </si>
  <si>
    <t>cora</t>
    <phoneticPr fontId="1" type="noConversion"/>
  </si>
  <si>
    <t>志緯200g</t>
    <phoneticPr fontId="1" type="noConversion"/>
  </si>
  <si>
    <t>CORA</t>
    <phoneticPr fontId="1" type="noConversion"/>
  </si>
  <si>
    <t>哥哥</t>
    <phoneticPr fontId="1" type="noConversion"/>
  </si>
  <si>
    <t>carolyu</t>
    <phoneticPr fontId="1" type="noConversion"/>
  </si>
  <si>
    <t>cindy</t>
    <phoneticPr fontId="1" type="noConversion"/>
  </si>
  <si>
    <t>何-200g, 200自用</t>
    <phoneticPr fontId="1" type="noConversion"/>
  </si>
  <si>
    <t>何</t>
    <phoneticPr fontId="1" type="noConversion"/>
  </si>
  <si>
    <t>Annie</t>
    <phoneticPr fontId="1" type="noConversion"/>
  </si>
  <si>
    <t>1'41</t>
  </si>
  <si>
    <t>10'05</t>
  </si>
  <si>
    <t>11'23</t>
  </si>
  <si>
    <t>1'31</t>
  </si>
  <si>
    <t>9'34</t>
  </si>
  <si>
    <t>11'32</t>
  </si>
  <si>
    <t>10'54</t>
  </si>
  <si>
    <t>8'58</t>
  </si>
  <si>
    <t>9'59</t>
  </si>
  <si>
    <t>7'58</t>
  </si>
  <si>
    <t>9'24</t>
  </si>
  <si>
    <t>1'27</t>
  </si>
  <si>
    <t>9'05</t>
  </si>
  <si>
    <t>10'16</t>
  </si>
  <si>
    <t>1'37</t>
  </si>
  <si>
    <t>8'53</t>
  </si>
  <si>
    <t>9'22</t>
  </si>
  <si>
    <t>10'50</t>
  </si>
  <si>
    <t>10'49</t>
  </si>
  <si>
    <t>9'23</t>
  </si>
  <si>
    <t>10'31</t>
  </si>
  <si>
    <t>9'20</t>
  </si>
  <si>
    <t>10'35</t>
  </si>
  <si>
    <t>1'35</t>
  </si>
  <si>
    <t>9'37</t>
  </si>
  <si>
    <t>10'24</t>
  </si>
  <si>
    <t>9'11</t>
  </si>
  <si>
    <t>10'17</t>
  </si>
  <si>
    <t>10'01</t>
  </si>
  <si>
    <t>10'36</t>
  </si>
  <si>
    <t>9'52</t>
  </si>
  <si>
    <t>10'52</t>
  </si>
  <si>
    <t>Normal</t>
    <phoneticPr fontId="1" type="noConversion"/>
  </si>
  <si>
    <t>FSSF</t>
    <phoneticPr fontId="1" type="noConversion"/>
  </si>
  <si>
    <t>SSFF</t>
    <phoneticPr fontId="1" type="noConversion"/>
  </si>
  <si>
    <t>Custom</t>
    <phoneticPr fontId="1" type="noConversion"/>
  </si>
  <si>
    <t>高層次</t>
    <phoneticPr fontId="1" type="noConversion"/>
  </si>
  <si>
    <t>主要是提高接觸熱的比例</t>
    <phoneticPr fontId="1" type="noConversion"/>
  </si>
  <si>
    <t>Time(m)</t>
    <phoneticPr fontId="1" type="noConversion"/>
  </si>
  <si>
    <t>BT</t>
    <phoneticPr fontId="1" type="noConversion"/>
  </si>
  <si>
    <t>ROR</t>
    <phoneticPr fontId="1" type="noConversion"/>
  </si>
  <si>
    <t>小風門 (壓差 4 pa)</t>
    <phoneticPr fontId="1" type="noConversion"/>
  </si>
  <si>
    <t>依轉速</t>
    <phoneticPr fontId="1" type="noConversion"/>
  </si>
  <si>
    <t>快烘(10分:一風一火，FC後加風降火)</t>
    <phoneticPr fontId="1" type="noConversion"/>
  </si>
  <si>
    <t>均勻度</t>
    <phoneticPr fontId="1" type="noConversion"/>
  </si>
  <si>
    <t>提高熱風比</t>
    <phoneticPr fontId="1" type="noConversion"/>
  </si>
  <si>
    <t>大風門 (10 pa)</t>
    <phoneticPr fontId="1" type="noConversion"/>
  </si>
  <si>
    <t>高轉速</t>
    <phoneticPr fontId="1" type="noConversion"/>
  </si>
  <si>
    <t>慢烘</t>
    <phoneticPr fontId="1" type="noConversion"/>
  </si>
  <si>
    <t>北歐快烘</t>
    <phoneticPr fontId="1" type="noConversion"/>
  </si>
  <si>
    <t>9~12分半，大風大火</t>
    <phoneticPr fontId="1" type="noConversion"/>
  </si>
  <si>
    <t>11'30"</t>
    <phoneticPr fontId="1" type="noConversion"/>
  </si>
  <si>
    <t>粉色89~105</t>
    <phoneticPr fontId="1" type="noConversion"/>
  </si>
  <si>
    <t>表粉差 20 以上</t>
    <phoneticPr fontId="1" type="noConversion"/>
  </si>
  <si>
    <t>高品質，高價位，新產季才適合北歐快烘</t>
    <phoneticPr fontId="1" type="noConversion"/>
  </si>
  <si>
    <t>不強調脫水，會造成熟豆保存不穩定</t>
    <phoneticPr fontId="1" type="noConversion"/>
  </si>
  <si>
    <t>豆量450g,火100%,風100%,轉速100%,入豆210</t>
    <phoneticPr fontId="1" type="noConversion"/>
  </si>
  <si>
    <t>溫層</t>
    <phoneticPr fontId="1" type="noConversion"/>
  </si>
  <si>
    <t>壓差</t>
    <phoneticPr fontId="1" type="noConversion"/>
  </si>
  <si>
    <t>基礎火力</t>
    <phoneticPr fontId="1" type="noConversion"/>
  </si>
  <si>
    <t>環境溫 28 度</t>
    <phoneticPr fontId="1" type="noConversion"/>
  </si>
  <si>
    <t>8~9</t>
    <phoneticPr fontId="1" type="noConversion"/>
  </si>
  <si>
    <t>7~8</t>
    <phoneticPr fontId="1" type="noConversion"/>
  </si>
  <si>
    <t>7~9</t>
    <phoneticPr fontId="1" type="noConversion"/>
  </si>
  <si>
    <t>起始火力</t>
    <phoneticPr fontId="1" type="noConversion"/>
  </si>
  <si>
    <t>風門</t>
    <phoneticPr fontId="1" type="noConversion"/>
  </si>
  <si>
    <t>ROR_max</t>
    <phoneticPr fontId="1" type="noConversion"/>
  </si>
  <si>
    <t>火力操作</t>
    <phoneticPr fontId="1" type="noConversion"/>
  </si>
  <si>
    <t>轉速</t>
    <phoneticPr fontId="1" type="noConversion"/>
  </si>
  <si>
    <t>25~30</t>
    <phoneticPr fontId="1" type="noConversion"/>
  </si>
  <si>
    <t>16~18</t>
    <phoneticPr fontId="1" type="noConversion"/>
  </si>
  <si>
    <t>升到100度，補火到80%可在5.5分脫水結束，補火70%可在6分結束脫水</t>
    <phoneticPr fontId="1" type="noConversion"/>
  </si>
  <si>
    <t>風門的操作可在水結束前後開大(50~500)約1分鐘後調回(25~30)</t>
    <phoneticPr fontId="1" type="noConversion"/>
  </si>
  <si>
    <t>轉速低，未能留住大部份熱風能量-&gt; 出風溫高，ror max 變低</t>
    <phoneticPr fontId="1" type="noConversion"/>
  </si>
  <si>
    <t>20~22</t>
    <phoneticPr fontId="1" type="noConversion"/>
  </si>
  <si>
    <t>100度後可小補至75~80%，在5分鐘可結束脫水</t>
    <phoneticPr fontId="1" type="noConversion"/>
  </si>
  <si>
    <t>12~14</t>
    <phoneticPr fontId="1" type="noConversion"/>
  </si>
  <si>
    <t>多次補火，維持 ror14，6分半脫水結束</t>
    <phoneticPr fontId="1" type="noConversion"/>
  </si>
  <si>
    <t>30~50</t>
    <phoneticPr fontId="1" type="noConversion"/>
  </si>
  <si>
    <t>19~20</t>
    <phoneticPr fontId="1" type="noConversion"/>
  </si>
  <si>
    <t>5分結束脫水</t>
    <phoneticPr fontId="1" type="noConversion"/>
  </si>
  <si>
    <t>20~24</t>
    <phoneticPr fontId="1" type="noConversion"/>
  </si>
  <si>
    <t>4~5分內脫水結束</t>
    <phoneticPr fontId="1" type="noConversion"/>
  </si>
  <si>
    <t>18~20</t>
    <phoneticPr fontId="1" type="noConversion"/>
  </si>
  <si>
    <t>95rpm，發展期 火75%，風55%，ror 均值在 9~12</t>
    <phoneticPr fontId="1" type="noConversion"/>
  </si>
  <si>
    <t>95rpm，發展期 火70%，風55%，ror 均值在 7.5</t>
    <phoneticPr fontId="1" type="noConversion"/>
  </si>
  <si>
    <t>95rpm，發展期 火65%，風55%，ror 均值在 7.5~10</t>
    <phoneticPr fontId="1" type="noConversion"/>
  </si>
  <si>
    <t>95rpm，發展期 火60%，風55%，ror 均值在 6</t>
    <phoneticPr fontId="1" type="noConversion"/>
  </si>
  <si>
    <t>推測  95rpm，發展期 火55%，風55%，ror 均值在 5</t>
    <phoneticPr fontId="1" type="noConversion"/>
  </si>
  <si>
    <t>中焙, 95@75%F,115@80%F,130@85%F,170@60%F,FC@45%F-ror8~9,35%F-ror5~6,SC@20%F-ror0~-2</t>
    <phoneticPr fontId="1" type="noConversion"/>
  </si>
  <si>
    <t>淺焙一爆後出豆，日晒至少要升溫6度，水洗要7度。</t>
    <phoneticPr fontId="1" type="noConversion"/>
  </si>
  <si>
    <t>編號</t>
    <phoneticPr fontId="1" type="noConversion"/>
  </si>
  <si>
    <t>階段</t>
    <phoneticPr fontId="1" type="noConversion"/>
  </si>
  <si>
    <t>說明</t>
    <phoneticPr fontId="1" type="noConversion"/>
  </si>
  <si>
    <t>烘豆時壓差不能小於 3 pa, 這代表沒進風會燒豆子</t>
    <phoneticPr fontId="1" type="noConversion"/>
  </si>
  <si>
    <t>梅納</t>
    <phoneticPr fontId="1" type="noConversion"/>
  </si>
  <si>
    <t>T2 到 FC 的階段，主要因為豆表轉玻璃化，導熱變慢，所以為避免豆子內外的焙度差異過大，應降低能量供給。主要還是以降火為主，因為依舊欲維持爐內高氣壓以加快豆心反應速率，所以風少動。若豆子香氣跨度大不集中(就是 RD 值大)，則延長這個時段的時間。
對風味影響主要是BODY，不要小於2分鐘，
反應時間短：酸感明亮、body弱。
反應時間長：酸感柔和、body強。</t>
    <phoneticPr fontId="1" type="noConversion"/>
  </si>
  <si>
    <t>脫水</t>
    <phoneticPr fontId="1" type="noConversion"/>
  </si>
  <si>
    <t>T1 - T2 的階段，主要是脫水速率的控制，這個時期的反應是跟水有關的，若這個時間長代表庶糖水解 (降低甜感) 綠原酸水解產生咖啡酸(提升酸感)。時間太短，豆心水被鎖住，草/澀味留存。操作以加火(增加水跑出來的能量)/加風(排溼)為方向。階段所需時長要靠杯測結果調整。
脫水期短：香氣明顯、但可能會酸澀。
脫水期長：香氣易散失、可能會有苦紙感。</t>
    <phoneticPr fontId="1" type="noConversion"/>
  </si>
  <si>
    <t>發展期</t>
    <phoneticPr fontId="1" type="noConversion"/>
  </si>
  <si>
    <t>DTR 20~25%, 沒有 crash/flick 的發展期，有機會磨掉酸而留下甜感。 - scott rao
時間短：香氣不足、含水率高、酸感尖銳、強。
發展期長：低含水率、RD值小、酸感柔和、味道平淡一致。
ror 目標 5，這樣發展期就可以做到2分鐘，升溫10度，假如200度一爆，210度左右可出豆，medium(一爆密集)。</t>
    <phoneticPr fontId="1" type="noConversion"/>
  </si>
  <si>
    <t>火力</t>
    <phoneticPr fontId="1" type="noConversion"/>
  </si>
  <si>
    <t>作用：升溫、控制 ROR、調整節奏，反應時間約1~3秒</t>
    <phoneticPr fontId="1" type="noConversion"/>
  </si>
  <si>
    <t>作用：ROR剎車、脫水(帶走水氣)、抽銀皮，反應時間約1秒。</t>
    <phoneticPr fontId="1" type="noConversion"/>
  </si>
  <si>
    <t>鍋爐轉速</t>
    <phoneticPr fontId="1" type="noConversion"/>
  </si>
  <si>
    <t>快：粹、茶感(就是 body 薄)。慢：RD值會大、層次豐富。</t>
    <phoneticPr fontId="1" type="noConversion"/>
  </si>
  <si>
    <t>烘焙時長</t>
    <phoneticPr fontId="1" type="noConversion"/>
  </si>
  <si>
    <t>脫水:梅納:發展 = 3:2:1，即6分：4分：2分</t>
    <phoneticPr fontId="1" type="noConversion"/>
  </si>
  <si>
    <t>T0-T1</t>
    <phoneticPr fontId="1" type="noConversion"/>
  </si>
  <si>
    <t>大約在 100~130度附近，主要操作手法是溫和的提供熱能，讓豆表至豆心都能軟化，造成豆子膨脹、易於脫水。風門小可營造爐子高溼，豆心內水氣排出慢的情況，希望達到以豆心內水蒸氣撐大豆子結構的目的。</t>
    <phoneticPr fontId="1" type="noConversion"/>
  </si>
  <si>
    <t>杯測</t>
    <phoneticPr fontId="1" type="noConversion"/>
  </si>
  <si>
    <t>粉水1:18.18，11g:200 ml或是8.25g:150 ml， 92~94度水，4分後破渣
高(71)：香氣
中(38)：風味
低(21)：口感與瑕疪</t>
    <phoneticPr fontId="1" type="noConversion"/>
  </si>
  <si>
    <t>ror手法相同，出豆溫相同時，若入豆溫高其總烘時會變少，則豆表的指數會較高，依經驗淺中出豆 210-&gt;60，100-&gt;50，190-&gt;45</t>
    <phoneticPr fontId="1" type="noConversion"/>
  </si>
  <si>
    <t>淺</t>
    <phoneticPr fontId="1" type="noConversion"/>
  </si>
  <si>
    <t>中</t>
    <phoneticPr fontId="1" type="noConversion"/>
  </si>
  <si>
    <t>深</t>
    <phoneticPr fontId="1" type="noConversion"/>
  </si>
  <si>
    <t>用途</t>
    <phoneticPr fontId="1" type="noConversion"/>
  </si>
  <si>
    <t>熟豆重</t>
    <phoneticPr fontId="1" type="noConversion"/>
  </si>
  <si>
    <t>生豆</t>
    <phoneticPr fontId="1" type="noConversion"/>
  </si>
  <si>
    <t>1磅</t>
    <phoneticPr fontId="1" type="noConversion"/>
  </si>
  <si>
    <t>0.5磅</t>
    <phoneticPr fontId="1" type="noConversion"/>
  </si>
  <si>
    <t>0.25磅</t>
    <phoneticPr fontId="1" type="noConversion"/>
  </si>
  <si>
    <t>測試1份</t>
    <phoneticPr fontId="1" type="noConversion"/>
  </si>
  <si>
    <t>測試2份</t>
  </si>
  <si>
    <t>測試3份</t>
  </si>
  <si>
    <t>測試4份</t>
  </si>
  <si>
    <t>1磅+20g</t>
    <phoneticPr fontId="1" type="noConversion"/>
  </si>
  <si>
    <t>半磅+20g</t>
    <phoneticPr fontId="1" type="noConversion"/>
  </si>
  <si>
    <r>
      <t>1.</t>
    </r>
    <r>
      <rPr>
        <b/>
        <sz val="10"/>
        <color rgb="FF333333"/>
        <rFont val="Arial"/>
        <family val="2"/>
      </rPr>
      <t>研磨 :</t>
    </r>
    <r>
      <rPr>
        <sz val="10"/>
        <color rgb="FF333333"/>
        <rFont val="Arial"/>
        <family val="2"/>
      </rPr>
      <t> 個別研磨，並於15分鐘內完成注水，進行乾香品測。</t>
    </r>
  </si>
  <si>
    <r>
      <t>2.</t>
    </r>
    <r>
      <rPr>
        <b/>
        <sz val="10"/>
        <color rgb="FF333333"/>
        <rFont val="Arial"/>
        <family val="2"/>
      </rPr>
      <t>注水 :</t>
    </r>
    <r>
      <rPr>
        <sz val="10"/>
        <color rgb="FF333333"/>
        <rFont val="Arial"/>
        <family val="2"/>
      </rPr>
      <t> 注入熱水，確定咖啡粉均勻浸泡，進行濕香品測。</t>
    </r>
  </si>
  <si>
    <r>
      <t>3.</t>
    </r>
    <r>
      <rPr>
        <b/>
        <sz val="10"/>
        <color rgb="FF333333"/>
        <rFont val="Arial"/>
        <family val="2"/>
      </rPr>
      <t>破渣 :</t>
    </r>
    <r>
      <rPr>
        <sz val="10"/>
        <color rgb="FF333333"/>
        <rFont val="Arial"/>
        <family val="2"/>
      </rPr>
      <t> 浸泡3～5分鐘，過程中勿攪拌與晃動，再使用湯匙進行破渣，可以鼻腔靠近聞香，確認香味表現後，輕輕攪動表面三下，分開咖啡渣。</t>
    </r>
  </si>
  <si>
    <r>
      <t>4.</t>
    </r>
    <r>
      <rPr>
        <b/>
        <sz val="10"/>
        <color rgb="FF333333"/>
        <rFont val="Arial"/>
        <family val="2"/>
      </rPr>
      <t>撈渣 :</t>
    </r>
    <r>
      <rPr>
        <sz val="10"/>
        <color rgb="FF333333"/>
        <rFont val="Arial"/>
        <family val="2"/>
      </rPr>
      <t> 破渣後表面還浮有帶有油脂的咖啡渣，用兩支杯測匙輕輕撈除。</t>
    </r>
  </si>
  <si>
    <r>
      <t>5.</t>
    </r>
    <r>
      <rPr>
        <b/>
        <sz val="10"/>
        <color rgb="FF333333"/>
        <rFont val="Arial"/>
        <family val="2"/>
      </rPr>
      <t>三階段啜吸 :</t>
    </r>
    <r>
      <rPr>
        <sz val="10"/>
        <color rgb="FF333333"/>
        <rFont val="Arial"/>
        <family val="2"/>
      </rPr>
      <t> 用啜吸的方式品測，啜吸的用意是為了讓咖啡液形成霧狀散發在口腔內，以鼻腔後側去感測，待溫度下降至71℃，進行高溫啜吸；待溫度下降至38℃，進行中溫啜吸；待溫度下降至21℃，進行低溫啜吸。</t>
    </r>
  </si>
  <si>
    <r>
      <t>香氣 − Fragrance(Dry)/Aroma(Wet)</t>
    </r>
    <r>
      <rPr>
        <sz val="10"/>
        <color rgb="FF333333"/>
        <rFont val="Arial"/>
        <family val="2"/>
      </rPr>
      <t>：包括乾、濕香器兩個部分。</t>
    </r>
  </si>
  <si>
    <r>
      <t>啜吸風味 − Flavor</t>
    </r>
    <r>
      <rPr>
        <sz val="10"/>
        <color rgb="FF333333"/>
        <rFont val="Arial"/>
        <family val="2"/>
      </rPr>
      <t>：當咖啡液降到71℃開始啜吸，包括風味描述與鼻後嗅覺。</t>
    </r>
  </si>
  <si>
    <r>
      <t>餘韻 − Aftertaste</t>
    </r>
    <r>
      <rPr>
        <sz val="10"/>
        <color rgb="FF333333"/>
        <rFont val="Arial"/>
        <family val="2"/>
      </rPr>
      <t>：啜吸後在口腔擴散的餘味返回鼻腔，所產生的風味、香氣或觸感，例如甜感、花香或巧克力，屬於良好的餘韻，而沒有餘韻、過短或產生不好的草腥味，則分數較低。</t>
    </r>
  </si>
  <si>
    <r>
      <t>酸質 − Acidity</t>
    </r>
    <r>
      <rPr>
        <sz val="10"/>
        <color rgb="FF333333"/>
        <rFont val="Arial"/>
        <family val="2"/>
      </rPr>
      <t>：明亮的酸質可以測出如柑橘、檸檬或莓果的多樣性，屬於優良的酸質；過於強烈的酸質、除了令人反感就像醋酸一樣尖銳，還可能引起不適。</t>
    </r>
  </si>
  <si>
    <r>
      <t>醇厚度 − Body</t>
    </r>
    <r>
      <rPr>
        <sz val="10"/>
        <color rgb="FF333333"/>
        <rFont val="Arial"/>
        <family val="2"/>
      </rPr>
      <t>：咖啡再口腔感受到的口感表現，像是觸感、滑順感、厚實度、稠感等，例如牛奶與茶的比較，牛奶的油脂的滑順感就比茶高出很多。</t>
    </r>
  </si>
  <si>
    <r>
      <t>一致性 − Uniformity</t>
    </r>
    <r>
      <rPr>
        <sz val="10"/>
        <color rgb="FF333333"/>
        <rFont val="Arial"/>
        <family val="2"/>
      </rPr>
      <t>：SCA 的杯測是每個樣品需準備5杯以確保穩定性和客觀性，所以五杯樣品如果有差異將會依杯數失去分數。</t>
    </r>
  </si>
  <si>
    <r>
      <t>平衡度 − Balance</t>
    </r>
    <r>
      <rPr>
        <sz val="10"/>
        <color rgb="FF333333"/>
        <rFont val="Arial"/>
        <family val="2"/>
      </rPr>
      <t>：指在各個評分項目之間的均衡程度，假設在這之中有任何依項目過強或過弱，影響到整體平衡就會影響評分。</t>
    </r>
  </si>
  <si>
    <r>
      <t>乾淨度 − Clean cup</t>
    </r>
    <r>
      <rPr>
        <sz val="10"/>
        <color rgb="FF333333"/>
        <rFont val="Arial"/>
        <family val="2"/>
      </rPr>
      <t>：從啜吸到餘韻之間都沒有雜味和污損的缺陷味道，缺點像是腐敗、土味、藥碘味、橡膠、澀感等等不好的味道與觸覺，都表示不夠乾淨。</t>
    </r>
  </si>
  <si>
    <r>
      <t>甜度 − Sweetness</t>
    </r>
    <r>
      <rPr>
        <sz val="10"/>
        <color rgb="FF333333"/>
        <rFont val="Arial"/>
        <family val="2"/>
      </rPr>
      <t>：啜吸後感受甜感的程度，例如蜂蜜、焦糖感等，只有沒有摻雜未熟豆，挑選剛成熟的咖啡果實處理成的生豆，才能得到較佳的甜度。</t>
    </r>
  </si>
  <si>
    <r>
      <t>綜合評價 − Overall</t>
    </r>
    <r>
      <rPr>
        <sz val="10"/>
        <color rgb="FF333333"/>
        <rFont val="Arial"/>
        <family val="2"/>
      </rPr>
      <t>：是杯測者對於咖啡較為主觀的整體評估，也會反映杯測師個人的喜好。</t>
    </r>
  </si>
  <si>
    <r>
      <t>缺陷定義</t>
    </r>
    <r>
      <rPr>
        <sz val="10"/>
        <color rgb="FF333333"/>
        <rFont val="Arial"/>
        <family val="2"/>
      </rPr>
      <t>：分為兩種，輕微等級−Taint和嚴重等級−Fault，區分的差異在於入口後的刺激程度，如果很不舒服且無法下嚥就屬於嚴重瑕疵；如果沒有到那麼強烈，就屬於輕微瑕疵。</t>
    </r>
  </si>
  <si>
    <t>薩爾瓦多(El Salvador)咖啡的風味通常帶有堅果、巧克力及焦糖，淺烘焙的時候會帶有柑橘及水果風味，還有奶油一般的滑順口感，深烘焙的時候可以喝到溫和且醇厚的口感，還有強烈而甜美的香氣，非常推薦大家品嘗看看喔。</t>
  </si>
  <si>
    <t>哥斯大黎加的咖啡種類繁多，但其最主要的特色就是輕盈活潑的酸度，滑順的Body及甜美的花香聞名於世。 你可能經常聽到塔拉珠，因為該產區的咖啡豆就常出現令人驚奇的風味，而西谷(West Valley)產區的咖啡豆雖然比較少見，但經常出現卓越杯(COE)冠軍，是帶有太妃糖甜感及柔滑花香的咖啡豆，中央谷(Central Valley)由於明顯的雨季與旱季，以至於這個產區的咖啡豆更著重在處理法上的發展，因此生產的咖啡具有較溫和的酸度、較重的Body與甜感。</t>
  </si>
  <si>
    <t>尼加拉瓜咖啡風味跟周圍中南美洲國家相似，但更為平衡。大多數的尼加拉瓜咖啡具有厚實的Body、酸度適中，伴隨著清爽的水果風味與愉悅的口感。香氣則是具有焦糖、柑橘和巧克力元素所組成</t>
  </si>
  <si>
    <t>瓜地馬拉咖啡同時擁有熱帶雨林、火山地質、高原縱谷、加上來自太平洋溫暖的雨水，造就瓜地馬拉多變的微型氣候，也使的瓜地馬拉咖啡風味風情萬種，調性多元豐富，在瓜地馬拉的咖啡裡，你可以品嘗到纖細、優雅、甜美的果香，也可有醇厚、濃郁、巧克力與太妃糖的香氣，非常值得品嘗。</t>
    <phoneticPr fontId="1" type="noConversion"/>
  </si>
  <si>
    <t>巴拿馬的咖啡豆以酸甜平衡、溫柔細緻、香氣豐富聞名，其中具有濃郁柑橘風味與明亮花香氣的藝妓咖啡更為出名，</t>
  </si>
  <si>
    <t>英文</t>
    <phoneticPr fontId="1" type="noConversion"/>
  </si>
  <si>
    <t>處理法英文</t>
    <phoneticPr fontId="1" type="noConversion"/>
  </si>
  <si>
    <t>SCAA</t>
  </si>
  <si>
    <t>Agtron</t>
  </si>
  <si>
    <t>Agtron</t>
    <phoneticPr fontId="1" type="noConversion"/>
  </si>
  <si>
    <t>失重</t>
  </si>
  <si>
    <t>溫度</t>
  </si>
  <si>
    <t>出豆時機</t>
    <phoneticPr fontId="1" type="noConversion"/>
  </si>
  <si>
    <t>Brazli</t>
    <phoneticPr fontId="1" type="noConversion"/>
  </si>
  <si>
    <t>bra</t>
    <phoneticPr fontId="1" type="noConversion"/>
  </si>
  <si>
    <t>日晒</t>
    <phoneticPr fontId="1" type="noConversion"/>
  </si>
  <si>
    <t>Light</t>
  </si>
  <si>
    <t>極淺</t>
  </si>
  <si>
    <t>極端淺</t>
    <phoneticPr fontId="1" type="noConversion"/>
  </si>
  <si>
    <t>8~12</t>
    <phoneticPr fontId="1" type="noConversion"/>
  </si>
  <si>
    <t>200-204</t>
  </si>
  <si>
    <t>哥倫比亞</t>
    <phoneticPr fontId="1" type="noConversion"/>
  </si>
  <si>
    <t>Colombia</t>
    <phoneticPr fontId="1" type="noConversion"/>
  </si>
  <si>
    <t>col</t>
    <phoneticPr fontId="1" type="noConversion"/>
  </si>
  <si>
    <t>水洗</t>
    <phoneticPr fontId="1" type="noConversion"/>
  </si>
  <si>
    <t>Cinamon</t>
  </si>
  <si>
    <t>肉桂</t>
  </si>
  <si>
    <t>極淺</t>
    <phoneticPr fontId="1" type="noConversion"/>
  </si>
  <si>
    <t>11~14</t>
    <phoneticPr fontId="1" type="noConversion"/>
  </si>
  <si>
    <t>205-209</t>
  </si>
  <si>
    <t>Costa Rica</t>
    <phoneticPr fontId="1" type="noConversion"/>
  </si>
  <si>
    <t>cri</t>
    <phoneticPr fontId="1" type="noConversion"/>
  </si>
  <si>
    <t>半水洗</t>
    <phoneticPr fontId="1" type="noConversion"/>
  </si>
  <si>
    <t>Medium</t>
  </si>
  <si>
    <t>中</t>
  </si>
  <si>
    <t>13~15</t>
    <phoneticPr fontId="1" type="noConversion"/>
  </si>
  <si>
    <t>210-214</t>
  </si>
  <si>
    <t>古巴</t>
    <phoneticPr fontId="1" type="noConversion"/>
  </si>
  <si>
    <t>Cuba</t>
    <phoneticPr fontId="1" type="noConversion"/>
  </si>
  <si>
    <t>cub</t>
    <phoneticPr fontId="1" type="noConversion"/>
  </si>
  <si>
    <t>蜜處理</t>
    <phoneticPr fontId="1" type="noConversion"/>
  </si>
  <si>
    <t>High</t>
  </si>
  <si>
    <t>中深</t>
  </si>
  <si>
    <t>中淺</t>
    <phoneticPr fontId="1" type="noConversion"/>
  </si>
  <si>
    <t>14~16</t>
    <phoneticPr fontId="1" type="noConversion"/>
  </si>
  <si>
    <t>215-219</t>
  </si>
  <si>
    <t>Ethiopia</t>
    <phoneticPr fontId="1" type="noConversion"/>
  </si>
  <si>
    <t>eth</t>
    <phoneticPr fontId="1" type="noConversion"/>
  </si>
  <si>
    <t>黑蜜處理</t>
    <phoneticPr fontId="1" type="noConversion"/>
  </si>
  <si>
    <t>black-honey</t>
    <phoneticPr fontId="1" type="noConversion"/>
  </si>
  <si>
    <t>City</t>
  </si>
  <si>
    <t>城市</t>
  </si>
  <si>
    <t>220-224</t>
  </si>
  <si>
    <t>瓜地馬拉</t>
    <phoneticPr fontId="1" type="noConversion"/>
  </si>
  <si>
    <t>Guatemala</t>
    <phoneticPr fontId="1" type="noConversion"/>
  </si>
  <si>
    <t>gtm</t>
    <phoneticPr fontId="1" type="noConversion"/>
  </si>
  <si>
    <t>紅蜜處理</t>
    <phoneticPr fontId="1" type="noConversion"/>
  </si>
  <si>
    <t>red-honey</t>
    <phoneticPr fontId="1" type="noConversion"/>
  </si>
  <si>
    <t>Full City</t>
  </si>
  <si>
    <t>全都會</t>
  </si>
  <si>
    <t>17~19</t>
    <phoneticPr fontId="1" type="noConversion"/>
  </si>
  <si>
    <t>225-229</t>
  </si>
  <si>
    <t>宏都拉斯</t>
    <phoneticPr fontId="1" type="noConversion"/>
  </si>
  <si>
    <t>Honduras</t>
    <phoneticPr fontId="1" type="noConversion"/>
  </si>
  <si>
    <t>hnd</t>
    <phoneticPr fontId="1" type="noConversion"/>
  </si>
  <si>
    <t>黃蜜處理</t>
    <phoneticPr fontId="1" type="noConversion"/>
  </si>
  <si>
    <t>yellow-honey</t>
    <phoneticPr fontId="1" type="noConversion"/>
  </si>
  <si>
    <t>French</t>
  </si>
  <si>
    <t>法式</t>
  </si>
  <si>
    <t>深</t>
  </si>
  <si>
    <t>19~21</t>
    <phoneticPr fontId="1" type="noConversion"/>
  </si>
  <si>
    <t>230-234</t>
  </si>
  <si>
    <t>印度</t>
    <phoneticPr fontId="1" type="noConversion"/>
  </si>
  <si>
    <t>India</t>
    <phoneticPr fontId="1" type="noConversion"/>
  </si>
  <si>
    <t>ind</t>
    <phoneticPr fontId="1" type="noConversion"/>
  </si>
  <si>
    <t>白蜜處理</t>
    <phoneticPr fontId="1" type="noConversion"/>
  </si>
  <si>
    <t>white-honey</t>
    <phoneticPr fontId="1" type="noConversion"/>
  </si>
  <si>
    <t>Italian</t>
  </si>
  <si>
    <t>義式</t>
  </si>
  <si>
    <t>極深</t>
  </si>
  <si>
    <t>21~23</t>
    <phoneticPr fontId="1" type="noConversion"/>
  </si>
  <si>
    <t>235-239</t>
  </si>
  <si>
    <t>二爆結束至豆表轉黑出油</t>
  </si>
  <si>
    <t>印尼</t>
    <phoneticPr fontId="1" type="noConversion"/>
  </si>
  <si>
    <t>Indonisia</t>
    <phoneticPr fontId="1" type="noConversion"/>
  </si>
  <si>
    <t>idn</t>
    <phoneticPr fontId="1" type="noConversion"/>
  </si>
  <si>
    <t>葡萄乾蜜處理</t>
    <phoneticPr fontId="1" type="noConversion"/>
  </si>
  <si>
    <t>牙買加</t>
    <phoneticPr fontId="1" type="noConversion"/>
  </si>
  <si>
    <t>Jamaica</t>
    <phoneticPr fontId="1" type="noConversion"/>
  </si>
  <si>
    <t>jam</t>
    <phoneticPr fontId="1" type="noConversion"/>
  </si>
  <si>
    <t>低溫厭氧發酵</t>
    <phoneticPr fontId="1" type="noConversion"/>
  </si>
  <si>
    <t>Anaerobic Fermentation</t>
    <phoneticPr fontId="1" type="noConversion"/>
  </si>
  <si>
    <t>肯亞</t>
    <phoneticPr fontId="1" type="noConversion"/>
  </si>
  <si>
    <t>Kenya</t>
    <phoneticPr fontId="1" type="noConversion"/>
  </si>
  <si>
    <t>ken</t>
    <phoneticPr fontId="1" type="noConversion"/>
  </si>
  <si>
    <t>二氧化碳浸漬日晒</t>
    <phoneticPr fontId="1" type="noConversion"/>
  </si>
  <si>
    <t>Carbonic Natural</t>
    <phoneticPr fontId="1" type="noConversion"/>
  </si>
  <si>
    <t>尼加拉瓜</t>
    <phoneticPr fontId="1" type="noConversion"/>
  </si>
  <si>
    <t>Nicaragua</t>
    <phoneticPr fontId="1" type="noConversion"/>
  </si>
  <si>
    <t>nic</t>
    <phoneticPr fontId="1" type="noConversion"/>
  </si>
  <si>
    <t>酒香日晒</t>
    <phoneticPr fontId="1" type="noConversion"/>
  </si>
  <si>
    <t>Alcoholic Natural</t>
    <phoneticPr fontId="1" type="noConversion"/>
  </si>
  <si>
    <t>巴拿馬</t>
    <phoneticPr fontId="1" type="noConversion"/>
  </si>
  <si>
    <t>Panama</t>
    <phoneticPr fontId="1" type="noConversion"/>
  </si>
  <si>
    <t>pan</t>
    <phoneticPr fontId="1" type="noConversion"/>
  </si>
  <si>
    <t>厭氧水洗</t>
    <phoneticPr fontId="1" type="noConversion"/>
  </si>
  <si>
    <t>Anaerobic Washed</t>
    <phoneticPr fontId="1" type="noConversion"/>
  </si>
  <si>
    <t>盧安達</t>
    <phoneticPr fontId="1" type="noConversion"/>
  </si>
  <si>
    <t>Rwanda</t>
    <phoneticPr fontId="1" type="noConversion"/>
  </si>
  <si>
    <t>rwa</t>
    <phoneticPr fontId="1" type="noConversion"/>
  </si>
  <si>
    <t>厭氧日晒</t>
    <phoneticPr fontId="1" type="noConversion"/>
  </si>
  <si>
    <t>Anaerobic Natural</t>
    <phoneticPr fontId="1" type="noConversion"/>
  </si>
  <si>
    <t>坦尚尼亞</t>
    <phoneticPr fontId="1" type="noConversion"/>
  </si>
  <si>
    <t>Tanzania</t>
    <phoneticPr fontId="1" type="noConversion"/>
  </si>
  <si>
    <t>tza</t>
    <phoneticPr fontId="1" type="noConversion"/>
  </si>
  <si>
    <t>白葡萄蜜處理</t>
    <phoneticPr fontId="1" type="noConversion"/>
  </si>
  <si>
    <t>Honey Purple Pop</t>
    <phoneticPr fontId="1" type="noConversion"/>
  </si>
  <si>
    <t>越南</t>
    <phoneticPr fontId="1" type="noConversion"/>
  </si>
  <si>
    <t>Vietnam</t>
    <phoneticPr fontId="1" type="noConversion"/>
  </si>
  <si>
    <t>vnm</t>
    <phoneticPr fontId="1" type="noConversion"/>
  </si>
  <si>
    <t>冰雪日曬處理</t>
    <phoneticPr fontId="1" type="noConversion"/>
  </si>
  <si>
    <t>Ice Fermentation Natural</t>
    <phoneticPr fontId="1" type="noConversion"/>
  </si>
  <si>
    <t>秘魯</t>
    <phoneticPr fontId="1" type="noConversion"/>
  </si>
  <si>
    <t>Peru</t>
    <phoneticPr fontId="1" type="noConversion"/>
  </si>
  <si>
    <t>per</t>
    <phoneticPr fontId="1" type="noConversion"/>
  </si>
  <si>
    <t>乳酸發酵日曬處理</t>
    <phoneticPr fontId="1" type="noConversion"/>
  </si>
  <si>
    <t>Lactic Natural</t>
    <phoneticPr fontId="1" type="noConversion"/>
  </si>
  <si>
    <t>薩爾瓦多</t>
    <phoneticPr fontId="1" type="noConversion"/>
  </si>
  <si>
    <t>Salvador</t>
    <phoneticPr fontId="1" type="noConversion"/>
  </si>
  <si>
    <t>slv</t>
    <phoneticPr fontId="1" type="noConversion"/>
  </si>
  <si>
    <t>特殊處理</t>
    <phoneticPr fontId="1" type="noConversion"/>
  </si>
  <si>
    <t>Special</t>
    <phoneticPr fontId="1" type="noConversion"/>
  </si>
  <si>
    <t>墨西哥</t>
    <phoneticPr fontId="1" type="noConversion"/>
  </si>
  <si>
    <t>Mexico</t>
    <phoneticPr fontId="1" type="noConversion"/>
  </si>
  <si>
    <t>mex</t>
    <phoneticPr fontId="1" type="noConversion"/>
  </si>
  <si>
    <t>年份</t>
    <phoneticPr fontId="1" type="noConversion"/>
  </si>
  <si>
    <t>批次</t>
    <phoneticPr fontId="1" type="noConversion"/>
  </si>
  <si>
    <t>等級</t>
    <phoneticPr fontId="1" type="noConversion"/>
  </si>
  <si>
    <t>含水率</t>
    <phoneticPr fontId="1" type="noConversion"/>
  </si>
  <si>
    <t>密度</t>
    <phoneticPr fontId="1" type="noConversion"/>
  </si>
  <si>
    <t>水活性</t>
    <phoneticPr fontId="1" type="noConversion"/>
  </si>
  <si>
    <t>產區</t>
    <phoneticPr fontId="1" type="noConversion"/>
  </si>
  <si>
    <t>處理廠</t>
    <phoneticPr fontId="1" type="noConversion"/>
  </si>
  <si>
    <t>豆種</t>
    <phoneticPr fontId="1" type="noConversion"/>
  </si>
  <si>
    <t>豆商</t>
    <phoneticPr fontId="1" type="noConversion"/>
  </si>
  <si>
    <t>成本</t>
    <phoneticPr fontId="1" type="noConversion"/>
  </si>
  <si>
    <t>零售</t>
    <phoneticPr fontId="1" type="noConversion"/>
  </si>
  <si>
    <t>存量g</t>
    <phoneticPr fontId="1" type="noConversion"/>
  </si>
  <si>
    <t>風味描述</t>
    <phoneticPr fontId="1" type="noConversion"/>
  </si>
  <si>
    <t>11.2</t>
    <phoneticPr fontId="1" type="noConversion"/>
  </si>
  <si>
    <t>841</t>
    <phoneticPr fontId="1" type="noConversion"/>
  </si>
  <si>
    <t>0.57</t>
    <phoneticPr fontId="1" type="noConversion"/>
  </si>
  <si>
    <t>水洗</t>
  </si>
  <si>
    <t xml:space="preserve">希諾特加 </t>
  </si>
  <si>
    <t>阿爾蒂普拉諾莊園</t>
    <phoneticPr fontId="1" type="noConversion"/>
  </si>
  <si>
    <t>爪哇長豆</t>
    <phoneticPr fontId="1" type="noConversion"/>
  </si>
  <si>
    <t>圓石</t>
    <phoneticPr fontId="1" type="noConversion"/>
  </si>
  <si>
    <t>橘皮、葡萄柚帶有些許蜂蜜乾香氣。啜飲鮮榨橙汁、紅茶風味為主調，中間浮現香草植物及檸檬皮香氣，餘韻伴隨著榛果可可，口感滑順。</t>
    <phoneticPr fontId="1" type="noConversion"/>
  </si>
  <si>
    <t>22.nic.washed.altiplanos.java</t>
    <phoneticPr fontId="1" type="noConversion"/>
  </si>
  <si>
    <t>葡萄乾蜜處理</t>
  </si>
  <si>
    <t>Tarrazu</t>
    <phoneticPr fontId="1" type="noConversion"/>
  </si>
  <si>
    <t>卡內特 音樂家系列 莫札特</t>
    <phoneticPr fontId="1" type="noConversion"/>
  </si>
  <si>
    <t>黑金</t>
    <phoneticPr fontId="1" type="noConversion"/>
  </si>
  <si>
    <t>多元水果甜香與葡萄酒韻的完美調合是其特色，蘋果、葡萄、草莓，杏桃的滋味多樣展現，中段的蜜糖和太妃糖甜感來的非常明顯，加上獨特的葡萄酒香尾韻收尾</t>
    <phoneticPr fontId="1" type="noConversion"/>
  </si>
  <si>
    <t>23.cri.raisin.mozart</t>
    <phoneticPr fontId="1" type="noConversion"/>
  </si>
  <si>
    <t>23/01</t>
    <phoneticPr fontId="1" type="noConversion"/>
  </si>
  <si>
    <t>G1</t>
    <phoneticPr fontId="1" type="noConversion"/>
  </si>
  <si>
    <t>11.1</t>
    <phoneticPr fontId="1" type="noConversion"/>
  </si>
  <si>
    <t>837</t>
    <phoneticPr fontId="1" type="noConversion"/>
  </si>
  <si>
    <t>0.6</t>
    <phoneticPr fontId="1" type="noConversion"/>
  </si>
  <si>
    <t>西達摩/西達馬</t>
    <phoneticPr fontId="1" type="noConversion"/>
  </si>
  <si>
    <t>茉莉雅</t>
    <phoneticPr fontId="1" type="noConversion"/>
  </si>
  <si>
    <t>Heirloom</t>
    <phoneticPr fontId="1" type="noConversion"/>
  </si>
  <si>
    <t>清新鮮明的檸檬皮、佛手柑、水蜜桃及白花香氣。入口即可感受到檸檬皮、蜂蜜柚子茶香甜風味，伴隨著橙花、水蜜桃香氣，結尾帶有蜂蜜及佛手柑餘韻，甜美細緻。</t>
    <phoneticPr fontId="1" type="noConversion"/>
  </si>
  <si>
    <t>23.eth.washed.sidamo.morea</t>
    <phoneticPr fontId="1" type="noConversion"/>
  </si>
  <si>
    <t>lot37</t>
    <phoneticPr fontId="1" type="noConversion"/>
  </si>
  <si>
    <t>紅蜜處理</t>
  </si>
  <si>
    <t>古吉 罕貝拉</t>
    <phoneticPr fontId="1" type="noConversion"/>
  </si>
  <si>
    <t>月見野櫻花</t>
    <phoneticPr fontId="1" type="noConversion"/>
  </si>
  <si>
    <t>喜糖</t>
    <phoneticPr fontId="1" type="noConversion"/>
  </si>
  <si>
    <t>莓果、荔枝、桃子香氣，啤酒花,百香果香氣，蜜漬野櫻花果,柑橘酸質、蘋果、莓果，風味極為複雜多層次感,尾韻莓果汁感。</t>
    <phoneticPr fontId="1" type="noConversion"/>
  </si>
  <si>
    <t>22.eth.red-honey.guji.wild-sakura</t>
    <phoneticPr fontId="1" type="noConversion"/>
  </si>
  <si>
    <t>26/01</t>
    <phoneticPr fontId="1" type="noConversion"/>
  </si>
  <si>
    <t>AB</t>
    <phoneticPr fontId="1" type="noConversion"/>
  </si>
  <si>
    <t>10.3</t>
    <phoneticPr fontId="1" type="noConversion"/>
  </si>
  <si>
    <t>854</t>
    <phoneticPr fontId="1" type="noConversion"/>
  </si>
  <si>
    <t>0.52</t>
    <phoneticPr fontId="1" type="noConversion"/>
  </si>
  <si>
    <t>麒麟雅加</t>
    <phoneticPr fontId="1" type="noConversion"/>
  </si>
  <si>
    <t>紅絲絨/夜裡花</t>
    <phoneticPr fontId="1" type="noConversion"/>
  </si>
  <si>
    <t>SL28, SL34</t>
    <phoneticPr fontId="1" type="noConversion"/>
  </si>
  <si>
    <t>研磨開為蔓越莓、洛神及橘皮香氣。入口時以酸甜飽滿的蔓越莓汁、小紅莓糖漿為主軸，伴隨著洛神花及柑橘香氣，餘韻為綿延的紅色莓果與洛神花茶，口感如絲絨般柔滑細緻。</t>
    <phoneticPr fontId="1" type="noConversion"/>
  </si>
  <si>
    <t>23.ken.washed.yerihar</t>
    <phoneticPr fontId="1" type="noConversion"/>
  </si>
  <si>
    <t>23/02</t>
    <phoneticPr fontId="1" type="noConversion"/>
  </si>
  <si>
    <t>AA</t>
    <phoneticPr fontId="1" type="noConversion"/>
  </si>
  <si>
    <t>0.53</t>
    <phoneticPr fontId="1" type="noConversion"/>
  </si>
  <si>
    <t>東非大裂谷產區</t>
    <phoneticPr fontId="1" type="noConversion"/>
  </si>
  <si>
    <t>烏克栗栗/黑莓皇后</t>
    <phoneticPr fontId="1" type="noConversion"/>
  </si>
  <si>
    <t>SL28, SL34, 少許Ruiru以及Batian</t>
    <phoneticPr fontId="1" type="noConversion"/>
  </si>
  <si>
    <t>乾香可感受到黑莓、黑醋栗與花香氣息。入口時以濃郁黑莓、黑醋栗軟糖為風味主軸，伴隨著仙楂、橙皮及橙花香氣，結尾延續著深色莓果與黑醋栗餘韻,酸甜多汁, 強勁飽滿。</t>
    <phoneticPr fontId="1" type="noConversion"/>
  </si>
  <si>
    <t>23.ken.washed.uklili</t>
    <phoneticPr fontId="1" type="noConversion"/>
  </si>
  <si>
    <t>SHB</t>
    <phoneticPr fontId="1" type="noConversion"/>
  </si>
  <si>
    <t>9.5</t>
    <phoneticPr fontId="1" type="noConversion"/>
  </si>
  <si>
    <t>839</t>
    <phoneticPr fontId="1" type="noConversion"/>
  </si>
  <si>
    <t>安提瓜 (Antiqua)</t>
    <phoneticPr fontId="1" type="noConversion"/>
  </si>
  <si>
    <t>拉米妮塔 花神</t>
    <phoneticPr fontId="1" type="noConversion"/>
  </si>
  <si>
    <t>Peaberry</t>
    <phoneticPr fontId="1" type="noConversion"/>
  </si>
  <si>
    <t>萬友</t>
    <phoneticPr fontId="1" type="noConversion"/>
  </si>
  <si>
    <t>建議中焙：花神丸豆同樣以花香主體風味，巧克力般的餘韻，焦糖甜感強，整體口感乾淨且明亮</t>
    <phoneticPr fontId="1" type="noConversion"/>
  </si>
  <si>
    <t>23.gtm.washed.laminita.la-flor</t>
    <phoneticPr fontId="1" type="noConversion"/>
  </si>
  <si>
    <t>10.4</t>
    <phoneticPr fontId="1" type="noConversion"/>
  </si>
  <si>
    <t>0.5</t>
    <phoneticPr fontId="1" type="noConversion"/>
  </si>
  <si>
    <t>桃子甜心/桃可可</t>
    <phoneticPr fontId="1" type="noConversion"/>
  </si>
  <si>
    <t>乾香為草莓夾心、水蜜桃與芒果香氣。啜吸時以香甜的草莓果醬、信州水蜜桃汁為主調，夾帶著紅心芭樂、佛手柑與細緻雞蛋花香氣，質地滑
順，甜美多汁。</t>
    <phoneticPr fontId="1" type="noConversion"/>
  </si>
  <si>
    <t>23.eth.washed.sidamo.twakok</t>
    <phoneticPr fontId="1" type="noConversion"/>
  </si>
  <si>
    <t>02</t>
    <phoneticPr fontId="1" type="noConversion"/>
  </si>
  <si>
    <t>747</t>
    <phoneticPr fontId="1" type="noConversion"/>
  </si>
  <si>
    <t>0.51</t>
    <phoneticPr fontId="1" type="noConversion"/>
  </si>
  <si>
    <t>日晒</t>
  </si>
  <si>
    <t>吉瑪 利姆</t>
    <phoneticPr fontId="1" type="noConversion"/>
  </si>
  <si>
    <t>果美村</t>
    <phoneticPr fontId="1" type="noConversion"/>
  </si>
  <si>
    <t>寶貝藝妓</t>
    <phoneticPr fontId="1" type="noConversion"/>
  </si>
  <si>
    <t>豆超</t>
    <phoneticPr fontId="1" type="noConversion"/>
  </si>
  <si>
    <t>芒果、芒果乾、檸檬糖、熱帶水果、咖啡熟果、葡萄、白色花香、甜奶油</t>
    <phoneticPr fontId="1" type="noConversion"/>
  </si>
  <si>
    <t>23.eth.natural.jimma.limu.gummay</t>
    <phoneticPr fontId="1" type="noConversion"/>
  </si>
  <si>
    <t>G1</t>
  </si>
  <si>
    <t>870</t>
    <phoneticPr fontId="1" type="noConversion"/>
  </si>
  <si>
    <t>0.55</t>
    <phoneticPr fontId="1" type="noConversion"/>
  </si>
  <si>
    <t>古吉 罕貝拉</t>
  </si>
  <si>
    <t>花蝶</t>
  </si>
  <si>
    <t>甜美的水蜜桃、橙花、柚子及佛手柑香氣。啜飲時以細緻的佛手柑、橙花、荔枝為主調，隨後浮現水蜜桃、檸檬皮、蜂蜜香氣，餘韻為綿長的烏龍茶花韻，風味優雅細緻。</t>
    <phoneticPr fontId="1" type="noConversion"/>
  </si>
  <si>
    <t>22.eth.natural.guji.wate</t>
    <phoneticPr fontId="1" type="noConversion"/>
  </si>
  <si>
    <t>班奇 馬吉</t>
    <phoneticPr fontId="1" type="noConversion"/>
  </si>
  <si>
    <t>格林藝妓森林</t>
    <phoneticPr fontId="1" type="noConversion"/>
  </si>
  <si>
    <t>Gori Geisha Forest</t>
    <phoneticPr fontId="1" type="noConversion"/>
  </si>
  <si>
    <t>野薑花香氣,檸檬,柑橘,百花蜜甜感,香草,迷迭香，微微莓果調,中低溫伯爵茶，彿手柑,細緻的柑橘調,尾韻甘甜</t>
    <phoneticPr fontId="1" type="noConversion"/>
  </si>
  <si>
    <t>23.eth.natural.bench.maji.gori.geisha</t>
    <phoneticPr fontId="1" type="noConversion"/>
  </si>
  <si>
    <t>771</t>
    <phoneticPr fontId="1" type="noConversion"/>
  </si>
  <si>
    <t>0.54</t>
    <phoneticPr fontId="1" type="noConversion"/>
  </si>
  <si>
    <t>希諾特加</t>
    <phoneticPr fontId="1" type="noConversion"/>
  </si>
  <si>
    <t>暮光女神</t>
    <phoneticPr fontId="1" type="noConversion"/>
  </si>
  <si>
    <t>卡杜拉</t>
    <phoneticPr fontId="1" type="noConversion"/>
  </si>
  <si>
    <t>酒香、紫色花香、焦糖甜感、綜合莓果、 奶油般滑順口感</t>
    <phoneticPr fontId="1" type="noConversion"/>
  </si>
  <si>
    <t>23.nic.natural.la-venus</t>
    <phoneticPr fontId="1" type="noConversion"/>
  </si>
  <si>
    <t>10.1</t>
    <phoneticPr fontId="1" type="noConversion"/>
  </si>
  <si>
    <t>765</t>
    <phoneticPr fontId="1" type="noConversion"/>
  </si>
  <si>
    <t>西達摩</t>
    <phoneticPr fontId="1" type="noConversion"/>
  </si>
  <si>
    <t>花貝果娜</t>
    <phoneticPr fontId="1" type="noConversion"/>
  </si>
  <si>
    <t>研磨開為藍莓醬、葡萄汁、佛手柑及紫羅蘭香氣。一入口為香甜濃郁的藍莓果醬、葡萄汁及佛手柑風味，伴隨著草莓軟糖及紫羅蘭花香並延續至餘韻，風味甜美扎實，層次多變。</t>
    <phoneticPr fontId="1" type="noConversion"/>
  </si>
  <si>
    <t>23.eth.natural.sidama.arbegona</t>
    <phoneticPr fontId="1" type="noConversion"/>
  </si>
  <si>
    <t>10.8</t>
    <phoneticPr fontId="1" type="noConversion"/>
  </si>
  <si>
    <t>850</t>
    <phoneticPr fontId="1" type="noConversion"/>
  </si>
  <si>
    <t>古吉</t>
    <phoneticPr fontId="1" type="noConversion"/>
  </si>
  <si>
    <t>水風鈐</t>
    <phoneticPr fontId="1" type="noConversion"/>
  </si>
  <si>
    <t>Heirloom</t>
  </si>
  <si>
    <t>香甜撲鼻的檸檬皮、柚子、佛手柑與白花香氣，延續至啜吸，同樣以檸檬皮、柚子與白桃風味為主軸，夾帶著佛手柑及梔子花香，結尾帶有蜂蜜香氣及細緻花香餘韻，甜感豐富，層次多變。</t>
    <phoneticPr fontId="1" type="noConversion"/>
  </si>
  <si>
    <t>23.eth.washed.guji.bishala</t>
    <phoneticPr fontId="1" type="noConversion"/>
  </si>
  <si>
    <t>10.7</t>
    <phoneticPr fontId="1" type="noConversion"/>
  </si>
  <si>
    <t>758</t>
    <phoneticPr fontId="1" type="noConversion"/>
  </si>
  <si>
    <t>0.49</t>
    <phoneticPr fontId="1" type="noConversion"/>
  </si>
  <si>
    <t>露西</t>
    <phoneticPr fontId="1" type="noConversion"/>
  </si>
  <si>
    <t>Geisha</t>
    <phoneticPr fontId="1" type="noConversion"/>
  </si>
  <si>
    <t>接骨木花、茉莉花、橙花、白玫瑰
百合花、蘋果、野莓果醬、檸檬、百香果</t>
    <phoneticPr fontId="1" type="noConversion"/>
  </si>
  <si>
    <t>23.eth.washed.bench.maji.lucy</t>
    <phoneticPr fontId="1" type="noConversion"/>
  </si>
  <si>
    <t>9.8</t>
    <phoneticPr fontId="1" type="noConversion"/>
  </si>
  <si>
    <t>835</t>
    <phoneticPr fontId="1" type="noConversion"/>
  </si>
  <si>
    <t>西達摩 龐貝</t>
    <phoneticPr fontId="1" type="noConversion"/>
  </si>
  <si>
    <t>艾菈</t>
    <phoneticPr fontId="1" type="noConversion"/>
  </si>
  <si>
    <t>淺焙
莓果、柑橘、烏龍茶、花香、楓糖、蜂蜜、
果汁口感，酸甜感均衡，Body飽滿圓潤</t>
    <phoneticPr fontId="1" type="noConversion"/>
  </si>
  <si>
    <t>23.eth.natural.sidamo.bombe.ayla</t>
    <phoneticPr fontId="1" type="noConversion"/>
  </si>
  <si>
    <t>Ethiopia Sidamo Bombe Ayla Natural G1</t>
    <phoneticPr fontId="1" type="noConversion"/>
  </si>
  <si>
    <t>825</t>
    <phoneticPr fontId="1" type="noConversion"/>
  </si>
  <si>
    <t>二氧化碳浸漬日晒</t>
  </si>
  <si>
    <t>艾朵</t>
    <phoneticPr fontId="1" type="noConversion"/>
  </si>
  <si>
    <t>淺焙
黑莓、熱帶水果、淡酒釀、可可、橙花，酸質飽滿滑順</t>
    <phoneticPr fontId="1" type="noConversion"/>
  </si>
  <si>
    <t>23.eth.carbonic.natural.guji.adola</t>
    <phoneticPr fontId="1" type="noConversion"/>
  </si>
  <si>
    <t xml:space="preserve">Ethiopia Guji Adola Carbonic Natural G1 </t>
    <phoneticPr fontId="1" type="noConversion"/>
  </si>
  <si>
    <t>古吉 夏奇索</t>
    <phoneticPr fontId="1" type="noConversion"/>
  </si>
  <si>
    <t>瓦力</t>
    <phoneticPr fontId="1" type="noConversion"/>
  </si>
  <si>
    <t>淺焙
花香、萊姆、香料、香草、茶感、綠茶、奶油，</t>
    <phoneticPr fontId="1" type="noConversion"/>
  </si>
  <si>
    <t>23.eth.washed.guji.shakiso.walabu</t>
    <phoneticPr fontId="1" type="noConversion"/>
  </si>
  <si>
    <t>Ethiopia Guji Shakiso Haro Walabu Washed G1</t>
    <phoneticPr fontId="1" type="noConversion"/>
  </si>
  <si>
    <t>9.2</t>
    <phoneticPr fontId="1" type="noConversion"/>
  </si>
  <si>
    <t>8.8</t>
    <phoneticPr fontId="1" type="noConversion"/>
  </si>
  <si>
    <t>酒香日晒</t>
  </si>
  <si>
    <t>艾德</t>
    <phoneticPr fontId="1" type="noConversion"/>
  </si>
  <si>
    <t>淺焙
熱帶水果、莓果、葡萄、柑橙、柚香，酸質飽滿.
酒香日曬處理後的咖啡豆，散發濃郁熱帶水果風情，莓果、葡萄香氣，柑橙與柚香風味為主體，餘韻帶有烏龍茶花韻，花果風味甜美飽滿，酸質細緻綿長。</t>
    <phoneticPr fontId="1" type="noConversion"/>
  </si>
  <si>
    <t>23.eth.alcoholic.natural.guji.edera</t>
    <phoneticPr fontId="1" type="noConversion"/>
  </si>
  <si>
    <t xml:space="preserve">Ethiopia Guji Edera Alcoholic Natural G1 </t>
    <phoneticPr fontId="1" type="noConversion"/>
  </si>
  <si>
    <t>10.2</t>
    <phoneticPr fontId="1" type="noConversion"/>
  </si>
  <si>
    <t>843</t>
    <phoneticPr fontId="1" type="noConversion"/>
  </si>
  <si>
    <t>蔻薩村 格蕾娜</t>
    <phoneticPr fontId="1" type="noConversion"/>
  </si>
  <si>
    <t>淺焙
茉莉花、柑橘、橙皮、蜜蘋果、茶香、甜香料、紅糖，細緻的清甜口感，整體body均衡柔和</t>
    <phoneticPr fontId="1" type="noConversion"/>
  </si>
  <si>
    <t>23.eth.washed.guji.kersa.gelana.geisha</t>
    <phoneticPr fontId="1" type="noConversion"/>
  </si>
  <si>
    <t>Ethiopia Guji Kersa Gelana Geisha Washed G1</t>
    <phoneticPr fontId="1" type="noConversion"/>
  </si>
  <si>
    <t>846</t>
    <phoneticPr fontId="1" type="noConversion"/>
  </si>
  <si>
    <t>古吉 南希寶</t>
    <phoneticPr fontId="1" type="noConversion"/>
  </si>
  <si>
    <t>神燈系列 南希寶 莓姬</t>
    <phoneticPr fontId="1" type="noConversion"/>
  </si>
  <si>
    <t>淺-淺中焙
芒果、草莓、藍莓、鳳梨、百香果、淡淡酒香味</t>
    <phoneticPr fontId="1" type="noConversion"/>
  </si>
  <si>
    <t>23.eth.natural.guji.nensebo.queen.berry</t>
    <phoneticPr fontId="1" type="noConversion"/>
  </si>
  <si>
    <t>Ethiopia Coffee Lamp Series Nensebo Queen Berry Natural G1</t>
    <phoneticPr fontId="1" type="noConversion"/>
  </si>
  <si>
    <t>10</t>
    <phoneticPr fontId="1" type="noConversion"/>
  </si>
  <si>
    <t>847</t>
    <phoneticPr fontId="1" type="noConversion"/>
  </si>
  <si>
    <t>西爾希</t>
    <phoneticPr fontId="1" type="noConversion"/>
  </si>
  <si>
    <t>戈拉寇娜處理廠</t>
    <phoneticPr fontId="1" type="noConversion"/>
  </si>
  <si>
    <r>
      <rPr>
        <sz val="10"/>
        <color rgb="FF000000"/>
        <rFont val="新細明體"/>
        <family val="2"/>
        <charset val="136"/>
      </rPr>
      <t xml:space="preserve">淺焙
</t>
    </r>
    <r>
      <rPr>
        <sz val="10"/>
        <color rgb="FF000000"/>
        <rFont val="微軟正黑體"/>
        <family val="2"/>
        <charset val="136"/>
      </rPr>
      <t>橙橘、青蘋果、綠茶、茉莉花、佛手柑、滑順</t>
    </r>
    <r>
      <rPr>
        <sz val="10"/>
        <color rgb="FF000000"/>
        <rFont val="Segoe UI"/>
        <family val="2"/>
      </rPr>
      <t>Body</t>
    </r>
    <r>
      <rPr>
        <sz val="10"/>
        <color rgb="FF000000"/>
        <rFont val="微軟正黑體"/>
        <family val="2"/>
        <charset val="136"/>
      </rPr>
      <t>、乾淨酸質</t>
    </r>
    <phoneticPr fontId="1" type="noConversion"/>
  </si>
  <si>
    <t>22.eth.washed.arsi.gora.kone</t>
    <phoneticPr fontId="1" type="noConversion"/>
  </si>
  <si>
    <t>Ethiopia West Arsi Gora Kone Washed G1</t>
    <phoneticPr fontId="1" type="noConversion"/>
  </si>
  <si>
    <t>10.5</t>
    <phoneticPr fontId="1" type="noConversion"/>
  </si>
  <si>
    <t>844</t>
    <phoneticPr fontId="1" type="noConversion"/>
  </si>
  <si>
    <t>安朵拉</t>
    <phoneticPr fontId="1" type="noConversion"/>
  </si>
  <si>
    <t>淺-淺中
莓果醬、蜜桃、橙橘、果乾、酸質明亮、口感綿密細緻</t>
    <phoneticPr fontId="1" type="noConversion"/>
  </si>
  <si>
    <t>22.eth.natural.guji.adola</t>
    <phoneticPr fontId="1" type="noConversion"/>
  </si>
  <si>
    <t>Ethiopia Oromia Guji Adola Natural G1</t>
    <phoneticPr fontId="1" type="noConversion"/>
  </si>
  <si>
    <t>PB</t>
    <phoneticPr fontId="1" type="noConversion"/>
  </si>
  <si>
    <t>830</t>
    <phoneticPr fontId="1" type="noConversion"/>
  </si>
  <si>
    <t>奇雅沐谷</t>
    <phoneticPr fontId="1" type="noConversion"/>
  </si>
  <si>
    <t>SL28 / Ruiru 11 / Batian</t>
    <phoneticPr fontId="1" type="noConversion"/>
  </si>
  <si>
    <r>
      <rPr>
        <sz val="10"/>
        <color rgb="FF000000"/>
        <rFont val="新細明體"/>
        <family val="2"/>
        <charset val="136"/>
      </rPr>
      <t xml:space="preserve">淺中-中
</t>
    </r>
    <r>
      <rPr>
        <sz val="10"/>
        <color rgb="FF000000"/>
        <rFont val="微軟正黑體"/>
        <family val="2"/>
        <charset val="136"/>
      </rPr>
      <t>烏梅、柑橘、花香、甜香料、香草、奶油，酸質飽和</t>
    </r>
    <phoneticPr fontId="1" type="noConversion"/>
  </si>
  <si>
    <t>23.ken.washed.kirnyaga.kiamugumo</t>
    <phoneticPr fontId="1" type="noConversion"/>
  </si>
  <si>
    <t>Kenya Kirinyaga Kiamugumo PB Washed</t>
    <phoneticPr fontId="1" type="noConversion"/>
  </si>
  <si>
    <t>AA TOP</t>
    <phoneticPr fontId="1" type="noConversion"/>
  </si>
  <si>
    <t>涅里</t>
    <phoneticPr fontId="1" type="noConversion"/>
  </si>
  <si>
    <t>加泰希</t>
    <phoneticPr fontId="1" type="noConversion"/>
  </si>
  <si>
    <t>SL28 / SL34 / Ruiru 11 / Batian</t>
    <phoneticPr fontId="1" type="noConversion"/>
  </si>
  <si>
    <t>淺中-中
紫蘇梅、黑莓、烏龍茶、茶感、花香、番茄酸香，酸質飽滿</t>
    <phoneticPr fontId="1" type="noConversion"/>
  </si>
  <si>
    <t>23.ken.washed.nyeri.gathaithi</t>
    <phoneticPr fontId="1" type="noConversion"/>
  </si>
  <si>
    <t>Kenya Nyeri Gathaithi AA TOP Washed</t>
  </si>
  <si>
    <t>833</t>
    <phoneticPr fontId="1" type="noConversion"/>
  </si>
  <si>
    <t>恩布</t>
    <phoneticPr fontId="1" type="noConversion"/>
  </si>
  <si>
    <t>吉查羅利</t>
    <phoneticPr fontId="1" type="noConversion"/>
  </si>
  <si>
    <t>淺中-中
紅莓、柑橙、水果汁、香草、奶油、甜感飽滿，酸質明亮</t>
    <phoneticPr fontId="1" type="noConversion"/>
  </si>
  <si>
    <t>23.ken.washed.embu.gicherori</t>
    <phoneticPr fontId="1" type="noConversion"/>
  </si>
  <si>
    <t>Kenya Embu Gicherori PB Washed</t>
  </si>
  <si>
    <t>穆拉雅</t>
    <phoneticPr fontId="1" type="noConversion"/>
  </si>
  <si>
    <t>卡甘達</t>
    <phoneticPr fontId="1" type="noConversion"/>
  </si>
  <si>
    <t>SL28、SL34</t>
    <phoneticPr fontId="1" type="noConversion"/>
  </si>
  <si>
    <t>淺中-中
橙皮、黑醋栗、奶油、紅糖，酸質圓潤，口感飽滿</t>
    <phoneticPr fontId="1" type="noConversion"/>
  </si>
  <si>
    <t>22.ken.washed.muraga.kaganda</t>
    <phoneticPr fontId="1" type="noConversion"/>
  </si>
  <si>
    <t>Kenya Muranga Kaganda PB Washed</t>
  </si>
  <si>
    <t>11</t>
    <phoneticPr fontId="1" type="noConversion"/>
  </si>
  <si>
    <t>840</t>
    <phoneticPr fontId="1" type="noConversion"/>
  </si>
  <si>
    <t>卡谷悠</t>
    <phoneticPr fontId="1" type="noConversion"/>
  </si>
  <si>
    <t>SL28 / SL34 / Batian</t>
    <phoneticPr fontId="1" type="noConversion"/>
  </si>
  <si>
    <t>淺中-中
葡萄柚、酸橙、覆盆子、蘋果、無花果，奶油滑順口感</t>
    <phoneticPr fontId="1" type="noConversion"/>
  </si>
  <si>
    <t>22.ken.washed.kirinyaga.kaguyu</t>
    <phoneticPr fontId="1" type="noConversion"/>
  </si>
  <si>
    <t>Kenya Kirinyaga Kaguyu AA  TOP Washed</t>
  </si>
  <si>
    <t>11.3</t>
    <phoneticPr fontId="1" type="noConversion"/>
  </si>
  <si>
    <t>829</t>
    <phoneticPr fontId="1" type="noConversion"/>
  </si>
  <si>
    <t>卡娜沐伊</t>
    <phoneticPr fontId="1" type="noConversion"/>
  </si>
  <si>
    <t>Ruiru 11 / SL-28 / Batian</t>
    <phoneticPr fontId="1" type="noConversion"/>
  </si>
  <si>
    <t>淺中-中
葡萄柚、草本、葡萄乾、紅糖，柔和酸質</t>
    <phoneticPr fontId="1" type="noConversion"/>
  </si>
  <si>
    <t>22.ken.washed.kirinyaga.kainamui</t>
    <phoneticPr fontId="1" type="noConversion"/>
  </si>
  <si>
    <t>Kenya Kirinyaga Kainamui AA TOP Washed</t>
  </si>
  <si>
    <t xml:space="preserve">卡拉蒂那處理廠 </t>
    <phoneticPr fontId="1" type="noConversion"/>
  </si>
  <si>
    <t>Ruiru 11 / SL28 / Batian</t>
    <phoneticPr fontId="1" type="noConversion"/>
  </si>
  <si>
    <t>淺中-中
烏梅、深紅莓果、甘蔗、葡萄乾、奶油、焙茶</t>
    <phoneticPr fontId="1" type="noConversion"/>
  </si>
  <si>
    <t>22.ken.washed.nyeri.karatina</t>
    <phoneticPr fontId="1" type="noConversion"/>
  </si>
  <si>
    <t>Kenya Nyeri Karatina AA TOP Washed</t>
  </si>
  <si>
    <t>奇查芬尼處理廠</t>
    <phoneticPr fontId="1" type="noConversion"/>
  </si>
  <si>
    <t>SL 28 / SL34 / Ruiru 11 / Batian</t>
    <phoneticPr fontId="1" type="noConversion"/>
  </si>
  <si>
    <t>淺中-中
李子、紅葡萄、香草、酸橙、番茄、葡萄柚</t>
    <phoneticPr fontId="1" type="noConversion"/>
  </si>
  <si>
    <t>22.ken.washed.nyeri.gichathaini</t>
    <phoneticPr fontId="1" type="noConversion"/>
  </si>
  <si>
    <t>Kenya Nyeri Gichathaini AA TOP Washed</t>
  </si>
  <si>
    <t>Excelso</t>
    <phoneticPr fontId="1" type="noConversion"/>
  </si>
  <si>
    <t>9.9</t>
    <phoneticPr fontId="1" type="noConversion"/>
  </si>
  <si>
    <t>半水洗</t>
  </si>
  <si>
    <t>Huila, Pitalito</t>
    <phoneticPr fontId="1" type="noConversion"/>
  </si>
  <si>
    <t>薇拉 粉紅佳人</t>
    <phoneticPr fontId="1" type="noConversion"/>
  </si>
  <si>
    <t>Pink Bourbon</t>
    <phoneticPr fontId="1" type="noConversion"/>
  </si>
  <si>
    <t>淺-淺中
柑橘、烏梅、奶油、堅果、可可、蔗糖，酸甜均衡飽滿</t>
    <phoneticPr fontId="1" type="noConversion"/>
  </si>
  <si>
    <t>23.col.semi-washed.huila.pink.bourbon</t>
    <phoneticPr fontId="1" type="noConversion"/>
  </si>
  <si>
    <t>Colombia Huila Pitalito Pink Bourbon Semi Washed</t>
  </si>
  <si>
    <t>Specialty</t>
    <phoneticPr fontId="1" type="noConversion"/>
  </si>
  <si>
    <t>厭氧水洗</t>
  </si>
  <si>
    <t>Hulia / Bruselas/ La Lumbrera</t>
    <phoneticPr fontId="1" type="noConversion"/>
  </si>
  <si>
    <t>薇拉 祕密花園 JAVA 厭氧水洗</t>
    <phoneticPr fontId="1" type="noConversion"/>
  </si>
  <si>
    <t>Java</t>
    <phoneticPr fontId="1" type="noConversion"/>
  </si>
  <si>
    <t>淺-淺中
檸檬草、甜香料、葡萄柚、金桔，甜度飽滿，酸質柔順綿長</t>
    <phoneticPr fontId="1" type="noConversion"/>
  </si>
  <si>
    <t>23.col.anaerobic.washed.huila.java</t>
    <phoneticPr fontId="1" type="noConversion"/>
  </si>
  <si>
    <t>Colombia Hulia JAVA Anaerobic Washed</t>
  </si>
  <si>
    <t>10.9</t>
    <phoneticPr fontId="1" type="noConversion"/>
  </si>
  <si>
    <t>白葡萄蜜處理</t>
  </si>
  <si>
    <t>Genova, Quindio</t>
    <phoneticPr fontId="1" type="noConversion"/>
  </si>
  <si>
    <t>蘇利亞莊園 粉紅波旁 白玉葡萄 蜜處理</t>
    <phoneticPr fontId="1" type="noConversion"/>
  </si>
  <si>
    <t>Pink Borubon</t>
    <phoneticPr fontId="1" type="noConversion"/>
  </si>
  <si>
    <t>淺-淺中
白葡萄、葡萄軟糖、香瓜、水果甜香，酸質滑順</t>
    <phoneticPr fontId="1" type="noConversion"/>
  </si>
  <si>
    <t>23.col.special.zulia.pink.bourbon</t>
    <phoneticPr fontId="1" type="noConversion"/>
  </si>
  <si>
    <t>Colombia La Zulia Pink Bourbon Purple Pop Honey</t>
  </si>
  <si>
    <t>冰雪日曬處理</t>
  </si>
  <si>
    <t>San Agustin, Huila</t>
    <phoneticPr fontId="1" type="noConversion"/>
  </si>
  <si>
    <t>納維斯塔莊園</t>
    <phoneticPr fontId="1" type="noConversion"/>
  </si>
  <si>
    <t>淺
黑可可、荔枝、百香果、波羅蜜、酒釀、發酵水果</t>
    <phoneticPr fontId="1" type="noConversion"/>
  </si>
  <si>
    <t>22.col.ice.natural.san.agustin</t>
    <phoneticPr fontId="1" type="noConversion"/>
  </si>
  <si>
    <t>Colombia Buenavista Caturra Ice Fermentation Natural</t>
  </si>
  <si>
    <t>860</t>
    <phoneticPr fontId="1" type="noConversion"/>
  </si>
  <si>
    <t xml:space="preserve"> 聖圖阿里歐 塔比</t>
    <phoneticPr fontId="1" type="noConversion"/>
  </si>
  <si>
    <t>Tabi</t>
    <phoneticPr fontId="1" type="noConversion"/>
  </si>
  <si>
    <r>
      <t>淺-淺中
百香果、鳳梨、菠蘿蜜、荔枝、紅</t>
    </r>
    <r>
      <rPr>
        <sz val="12"/>
        <color theme="1"/>
        <rFont val="Microsoft JhengHei UI"/>
        <family val="2"/>
        <charset val="134"/>
      </rPr>
      <t>⽑</t>
    </r>
    <r>
      <rPr>
        <sz val="12"/>
        <color theme="1"/>
        <rFont val="Microsoft JhengHei UI"/>
        <family val="2"/>
        <charset val="136"/>
      </rPr>
      <t>丹、可可、葡萄酒酸質</t>
    </r>
    <phoneticPr fontId="1" type="noConversion"/>
  </si>
  <si>
    <t>22.col.carbonic.natural.santuario.edwin</t>
    <phoneticPr fontId="1" type="noConversion"/>
  </si>
  <si>
    <t>Colombia Santuario Campo Hermoso Tabi Natural CM Edwin Noreña  哥倫比亞 聖圖阿里歐 塔比 二氧化碳浸漬日曬 愛德華 諾藍- 6號領航家</t>
  </si>
  <si>
    <t>818</t>
    <phoneticPr fontId="1" type="noConversion"/>
  </si>
  <si>
    <t>乳酸發酵日曬處理</t>
  </si>
  <si>
    <t>Tolima</t>
    <phoneticPr fontId="1" type="noConversion"/>
  </si>
  <si>
    <t>卡里斯奧莊園</t>
    <phoneticPr fontId="1" type="noConversion"/>
  </si>
  <si>
    <t>San Bernardo、YellowBourbon、Castillo</t>
    <phoneticPr fontId="1" type="noConversion"/>
  </si>
  <si>
    <t>淺
乳酸、奶香、熱帶水果、滑順飽滿的酸質</t>
    <phoneticPr fontId="1" type="noConversion"/>
  </si>
  <si>
    <t>22.col.lactic.natural.carriscal</t>
    <phoneticPr fontId="1" type="noConversion"/>
  </si>
  <si>
    <t>哥倫比亞 卡里斯奧莊園 黃波旁 乳酸發酵日曬處理 Colombia El Carriscal Yellow Bourbon Lactic Natural</t>
    <phoneticPr fontId="1" type="noConversion"/>
  </si>
  <si>
    <t>11.5</t>
    <phoneticPr fontId="1" type="noConversion"/>
  </si>
  <si>
    <t>波奎特</t>
    <phoneticPr fontId="1" type="noConversion"/>
  </si>
  <si>
    <t>百合花</t>
    <phoneticPr fontId="1" type="noConversion"/>
  </si>
  <si>
    <t>Caturra</t>
    <phoneticPr fontId="1" type="noConversion"/>
  </si>
  <si>
    <t>淺中-中
入口甘甜度及油脂感佳，檸檬萊姆香、甜瓜茶感，帶有東方熟茶的尾韻</t>
    <phoneticPr fontId="1" type="noConversion"/>
  </si>
  <si>
    <t>22.pan.washed.violet.rose</t>
    <phoneticPr fontId="1" type="noConversion"/>
  </si>
  <si>
    <t>Panama Violet Rose Washed</t>
  </si>
  <si>
    <t>NY2</t>
    <phoneticPr fontId="1" type="noConversion"/>
  </si>
  <si>
    <t>9.7</t>
    <phoneticPr fontId="1" type="noConversion"/>
  </si>
  <si>
    <t>巴烏莊園 維多莉亞農場</t>
    <phoneticPr fontId="1" type="noConversion"/>
  </si>
  <si>
    <t xml:space="preserve">Yellow Catuai </t>
    <phoneticPr fontId="1" type="noConversion"/>
  </si>
  <si>
    <t>中深
莓果、堅果、香草、可可、奶油，酸質乾淨</t>
    <phoneticPr fontId="1" type="noConversion"/>
  </si>
  <si>
    <t>23.bri.natural.victoria.yellow.catuai</t>
    <phoneticPr fontId="1" type="noConversion"/>
  </si>
  <si>
    <t>Brazil Fazenda Bau Vitória Yellow Catuai 90 hour Natural Fermented</t>
  </si>
  <si>
    <t>Red Catuai</t>
    <phoneticPr fontId="1" type="noConversion"/>
  </si>
  <si>
    <t>中深
葡萄、奶油、香草、可可、堅果、蔗糖，酸質飽和</t>
    <phoneticPr fontId="1" type="noConversion"/>
  </si>
  <si>
    <t>23.bri.natural.victoria.red.catuai</t>
    <phoneticPr fontId="1" type="noConversion"/>
  </si>
  <si>
    <t>Brazil Fazenda Bau Vitória Red Catuai 90 hour Natural Fermented</t>
  </si>
  <si>
    <t>10.6</t>
    <phoneticPr fontId="1" type="noConversion"/>
  </si>
  <si>
    <t>849</t>
    <phoneticPr fontId="1" type="noConversion"/>
  </si>
  <si>
    <t>耶加雪菲</t>
    <phoneticPr fontId="1" type="noConversion"/>
  </si>
  <si>
    <t>阿若默</t>
    <phoneticPr fontId="1" type="noConversion"/>
  </si>
  <si>
    <t>Ergos</t>
    <phoneticPr fontId="1" type="noConversion"/>
  </si>
  <si>
    <t>小白花香、檸檬酸、芒果香、桃子、梨子、紅烏龍尾韻、蘋果</t>
    <phoneticPr fontId="1" type="noConversion"/>
  </si>
  <si>
    <t>23.eth.washed.yirgacheffe.aramo</t>
    <phoneticPr fontId="1" type="noConversion"/>
  </si>
  <si>
    <t>878</t>
    <phoneticPr fontId="1" type="noConversion"/>
  </si>
  <si>
    <t>蜜處理</t>
  </si>
  <si>
    <t>薇微特南果</t>
    <phoneticPr fontId="1" type="noConversion"/>
  </si>
  <si>
    <t>聖安東尼奧莊園</t>
    <phoneticPr fontId="1" type="noConversion"/>
  </si>
  <si>
    <t>波旁,鐵皮卡</t>
    <phoneticPr fontId="1" type="noConversion"/>
  </si>
  <si>
    <t>百香果、甘草、李子、楓糖</t>
    <phoneticPr fontId="1" type="noConversion"/>
  </si>
  <si>
    <t>23.gtm.honey.huehuetenango.sanantonio</t>
    <phoneticPr fontId="1" type="noConversion"/>
  </si>
  <si>
    <t>0.58</t>
    <phoneticPr fontId="1" type="noConversion"/>
  </si>
  <si>
    <t>西達馬</t>
    <phoneticPr fontId="1" type="noConversion"/>
  </si>
  <si>
    <t>朵望丘合作社</t>
    <phoneticPr fontId="1" type="noConversion"/>
  </si>
  <si>
    <t>74110</t>
    <phoneticPr fontId="1" type="noConversion"/>
  </si>
  <si>
    <t>研磨開可感受到草莓果醬、藍莓及葡萄香氣。入口以藍莓果醬、水蜜桃軟糖及草莓為
風味主軸，伴隨著細緻荔枝及雞蛋花香氣，餘韻帶有茉莉氣息，強勁扎實，甜美飽
滿。</t>
    <phoneticPr fontId="1" type="noConversion"/>
  </si>
  <si>
    <t>23.eth.natural.sidama.duwancho</t>
    <phoneticPr fontId="1" type="noConversion"/>
  </si>
  <si>
    <t>Ethiopia Sidama Duwancho Cooperative Single Variety 74110 G1 – Natural</t>
    <phoneticPr fontId="1" type="noConversion"/>
  </si>
  <si>
    <t>12</t>
    <phoneticPr fontId="1" type="noConversion"/>
  </si>
  <si>
    <t>744</t>
    <phoneticPr fontId="1" type="noConversion"/>
  </si>
  <si>
    <t>0.68</t>
    <phoneticPr fontId="1" type="noConversion"/>
  </si>
  <si>
    <t>特殊處理</t>
  </si>
  <si>
    <t>百香果特殊發酵 厭氧日曬處理 G1</t>
    <phoneticPr fontId="1" type="noConversion"/>
  </si>
  <si>
    <t>濃郁的百香果醬、芒果汁與莓果香氣。啜吸時以鮮切百香果、百香果醬風味為主軸，
伴隨著芒果、草莓及微醺酒香，結尾帶有葡萄乾香氣，風味強勁厚實。偏酸</t>
    <phoneticPr fontId="1" type="noConversion"/>
  </si>
  <si>
    <t>23.eth.fruit.natural.yirgacheffe</t>
    <phoneticPr fontId="1" type="noConversion"/>
  </si>
  <si>
    <t>Ethiopia Yirgacheffe Passion Fruit Anaerobic Natural G1</t>
    <phoneticPr fontId="1" type="noConversion"/>
  </si>
  <si>
    <t>822</t>
    <phoneticPr fontId="1" type="noConversion"/>
  </si>
  <si>
    <t>0.62</t>
    <phoneticPr fontId="1" type="noConversion"/>
  </si>
  <si>
    <t>薇拉省</t>
    <phoneticPr fontId="1" type="noConversion"/>
  </si>
  <si>
    <t>蒙大布蘭蔻莊園</t>
    <phoneticPr fontId="1" type="noConversion"/>
  </si>
  <si>
    <t>紫卡杜拉</t>
    <phoneticPr fontId="1" type="noConversion"/>
  </si>
  <si>
    <t>乾香為鳳梨優格、芒果及水蜜桃香氣。入口同樣以鳳梨優格、愛文芒果乾為主軸，隨
後浮現完熟木瓜及熱帶水果果昔風味，風味濃郁鮮明</t>
    <phoneticPr fontId="1" type="noConversion"/>
  </si>
  <si>
    <t>23.col.fruitwashed.huila.finca.moteblanco</t>
    <phoneticPr fontId="1" type="noConversion"/>
  </si>
  <si>
    <t>Colombia Huila Finca Monteblanco Rodrigo Sanchez Purple Caturra Pineapple Washed</t>
    <phoneticPr fontId="1" type="noConversion"/>
  </si>
  <si>
    <t>11.7</t>
    <phoneticPr fontId="1" type="noConversion"/>
  </si>
  <si>
    <t>816</t>
    <phoneticPr fontId="1" type="noConversion"/>
  </si>
  <si>
    <t>0.65</t>
    <phoneticPr fontId="1" type="noConversion"/>
  </si>
  <si>
    <t>昆迪瑪卡</t>
    <phoneticPr fontId="1" type="noConversion"/>
  </si>
  <si>
    <t xml:space="preserve">緹比莉塔 </t>
    <phoneticPr fontId="1" type="noConversion"/>
  </si>
  <si>
    <t>卡斯提優</t>
    <phoneticPr fontId="1" type="noConversion"/>
  </si>
  <si>
    <t>研磨開為酒香﹑葡萄汁、葡萄乾及可可香氣。入口即可感受到香甜貴腐酒、葡萄汁及
黑櫻桃風味，伴隨著脆梅、梅酒及山竹香氣，強勁扎實，口感飽滿。</t>
    <phoneticPr fontId="1" type="noConversion"/>
  </si>
  <si>
    <t>23.col.natural.cundinamarca.tibirita.castillo</t>
    <phoneticPr fontId="1" type="noConversion"/>
  </si>
  <si>
    <t>Colombia Cundinamarca Tibirita Castillo Natural</t>
    <phoneticPr fontId="1" type="noConversion"/>
  </si>
  <si>
    <t>815</t>
    <phoneticPr fontId="1" type="noConversion"/>
  </si>
  <si>
    <t>吉馬莉姆</t>
    <phoneticPr fontId="1" type="noConversion"/>
  </si>
  <si>
    <t>橙花、蜂蜜、藍莓、葡萄、野莓,酸值柔和,甜度高且BODY乾淨厚實</t>
    <phoneticPr fontId="1" type="noConversion"/>
  </si>
  <si>
    <t>23.eth.washed.jimalimu.gummay</t>
    <phoneticPr fontId="1" type="noConversion"/>
  </si>
  <si>
    <t>拉斯瑪格麗塔斯</t>
    <phoneticPr fontId="1" type="noConversion"/>
  </si>
  <si>
    <t>Pache</t>
  </si>
  <si>
    <t>勁香團</t>
    <phoneticPr fontId="1" type="noConversion"/>
  </si>
  <si>
    <t>風味：黑莓、可樂、紅醋栗、紅糖、蘋果、葡萄皮、百香果、波羅、李子</t>
    <phoneticPr fontId="1" type="noConversion"/>
  </si>
  <si>
    <t>23.mex.natural.las.margatias.pache</t>
    <phoneticPr fontId="1" type="noConversion"/>
  </si>
  <si>
    <t>秘魯</t>
  </si>
  <si>
    <t>Cultivar</t>
    <phoneticPr fontId="1" type="noConversion"/>
  </si>
  <si>
    <t>聖特蕾莎莊園</t>
    <phoneticPr fontId="1" type="noConversion"/>
  </si>
  <si>
    <t>Typica</t>
    <phoneticPr fontId="1" type="noConversion"/>
  </si>
  <si>
    <t>風味：茉莉花、檸檬、荔枝、桃子、香柑
入口以上揚的白花、茉莉花香為主，中段呈現水蜜桃調，尾段是扎實的Body和綿長餘韻，並且帶有特殊的甜薑汁尾韻。酸值適中，甜感優秀，CP值很高的一隻藝伎，相當好喝。本隻豆因糖化反應良好，習慣烘至淺焙的節奏，豆表已經到達淺中焙，但風味仍以淺焙呈現為主。</t>
    <phoneticPr fontId="1" type="noConversion"/>
  </si>
  <si>
    <t>23.per.natural.santa.teresa.geisha</t>
    <phoneticPr fontId="1" type="noConversion"/>
  </si>
  <si>
    <t>花蝶</t>
    <phoneticPr fontId="1" type="noConversion"/>
  </si>
  <si>
    <t>明慧自備</t>
    <phoneticPr fontId="1" type="noConversion"/>
  </si>
  <si>
    <t>23.eth.washed.guji.wate</t>
    <phoneticPr fontId="1" type="noConversion"/>
  </si>
  <si>
    <t>巴哈</t>
    <phoneticPr fontId="1" type="noConversion"/>
  </si>
  <si>
    <t>陳東弘自備</t>
    <phoneticPr fontId="1" type="noConversion"/>
  </si>
  <si>
    <t>23.cri.raisin.baha</t>
    <phoneticPr fontId="1" type="noConversion"/>
  </si>
  <si>
    <t>蕭邦</t>
    <phoneticPr fontId="1" type="noConversion"/>
  </si>
  <si>
    <t>23.cri.raisin.chopin</t>
    <phoneticPr fontId="1" type="noConversion"/>
  </si>
  <si>
    <t>厭氧日晒</t>
  </si>
  <si>
    <t>切切雷(Chelchele)</t>
    <phoneticPr fontId="1" type="noConversion"/>
  </si>
  <si>
    <t>原生種</t>
    <phoneticPr fontId="1" type="noConversion"/>
  </si>
  <si>
    <t>風味:櫻桃、黑醋栗、草莓、百香果、優雅花香、酒香、布朗尼、焦糖巧克力甜味、果酸滑順、口感細緻、多汁的柑橘酸甜</t>
    <phoneticPr fontId="1" type="noConversion"/>
  </si>
  <si>
    <t>23.eth.anaerobic.natural.yirgacheffe.chelchele.strawberry.bobo</t>
    <phoneticPr fontId="1" type="noConversion"/>
  </si>
  <si>
    <t>Ethiopia Strawberry Bobo Anaerobic Natural</t>
    <phoneticPr fontId="1" type="noConversion"/>
  </si>
  <si>
    <t>SBH</t>
    <phoneticPr fontId="1" type="noConversion"/>
  </si>
  <si>
    <t>塔拉珠</t>
    <phoneticPr fontId="1" type="noConversion"/>
  </si>
  <si>
    <t>十里桃花</t>
    <phoneticPr fontId="1" type="noConversion"/>
  </si>
  <si>
    <t>井井</t>
    <phoneticPr fontId="1" type="noConversion"/>
  </si>
  <si>
    <t>玫瑰、水蜜桃、茘枝奶油
進階厭氧後製處理工法-熱衝擊：
熱衝擊處理工法，為厭氧處理法後的精緻化手法，在厭氧處理完後將發酵液及生豆裝入袋中，整袋先放入42-49度的水桶中，使其毛細孔擴張吸收發酵液，再放入12-14度的水中，瞬間收縮毛細孔以鎖住發酵的風味，藉以提升更多特殊風味。</t>
    <phoneticPr fontId="1" type="noConversion"/>
  </si>
  <si>
    <t>23.cri.anaerobic.washed.tarrazu</t>
    <phoneticPr fontId="1" type="noConversion"/>
  </si>
  <si>
    <t>Costa Rica Tarrazu Double Anaerobic Washed SHB</t>
  </si>
  <si>
    <t>G3</t>
    <phoneticPr fontId="1" type="noConversion"/>
  </si>
  <si>
    <t>歐若米亞 古吉</t>
    <phoneticPr fontId="1" type="noConversion"/>
  </si>
  <si>
    <t>莎奇恰</t>
    <phoneticPr fontId="1" type="noConversion"/>
  </si>
  <si>
    <t>風味:草莓、檸檬</t>
    <phoneticPr fontId="1" type="noConversion"/>
  </si>
  <si>
    <t>23.eth.natural.guji.sakicha</t>
    <phoneticPr fontId="1" type="noConversion"/>
  </si>
  <si>
    <t>祁安布</t>
    <phoneticPr fontId="1" type="noConversion"/>
  </si>
  <si>
    <t>FAQ</t>
    <phoneticPr fontId="1" type="noConversion"/>
  </si>
  <si>
    <t>乾香為柑橘、黑莓、可可及太妃糖香氣。啜吸時以黑莓、黑李及烏梅風味為主調，中後段帶有蔓越莓乾、可可豆及雪松香氣，風味強勁厚實。</t>
    <phoneticPr fontId="1" type="noConversion"/>
  </si>
  <si>
    <t>23.ken.washed.kiambu.faq</t>
    <phoneticPr fontId="1" type="noConversion"/>
  </si>
  <si>
    <t>Kenya Kiambu AA FAQ Double Hand-sorting</t>
    <phoneticPr fontId="1" type="noConversion"/>
  </si>
  <si>
    <t>柯瑪亞果省</t>
    <phoneticPr fontId="1" type="noConversion"/>
  </si>
  <si>
    <t>波提花莊園</t>
    <phoneticPr fontId="1" type="noConversion"/>
  </si>
  <si>
    <t>帕卡瑪拉種</t>
    <phoneticPr fontId="1" type="noConversion"/>
  </si>
  <si>
    <t>乾香為黑醋栗、柑橘、太妃糖，入口可感受到黑醋栗、黑莓風味，伴隨著葡柚及些許煙燻氣息，札實飽滿。</t>
    <phoneticPr fontId="1" type="noConversion"/>
  </si>
  <si>
    <t>24.hnd.washed.comayacua.botijas</t>
    <phoneticPr fontId="1" type="noConversion"/>
  </si>
  <si>
    <t>Honduras Comayacua Finca Las Botijas Santos Lorenzo Castellanos LT1 Pacamara Lot#341</t>
    <phoneticPr fontId="1" type="noConversion"/>
  </si>
  <si>
    <t>Los Patios</t>
    <phoneticPr fontId="1" type="noConversion"/>
  </si>
  <si>
    <t>預購2kg  (德佈已付)、八月到貨
風味:蜜桃</t>
    <phoneticPr fontId="1" type="noConversion"/>
  </si>
  <si>
    <t>24.col.honey.los.patios</t>
    <phoneticPr fontId="1" type="noConversion"/>
  </si>
  <si>
    <t>金巴亞 金迪奧</t>
  </si>
  <si>
    <t>El Danubio Estate 粉桃甜心</t>
    <phoneticPr fontId="1" type="noConversion"/>
  </si>
  <si>
    <t>卡杜拉</t>
  </si>
  <si>
    <t>風味：蜜桃、百合、熱帶水果汁、淡雅花香、口感滑順細膩、甜美多汁</t>
    <phoneticPr fontId="1" type="noConversion"/>
  </si>
  <si>
    <t>23.col.natural.el.danubio</t>
    <phoneticPr fontId="1" type="noConversion"/>
  </si>
  <si>
    <t>冽里</t>
    <phoneticPr fontId="1" type="noConversion"/>
  </si>
  <si>
    <t>吉恰薩尼</t>
  </si>
  <si>
    <t>SL28</t>
    <phoneticPr fontId="1" type="noConversion"/>
  </si>
  <si>
    <t>風味:黑莓、黑醋栗、酸甜莓果調、伴隨著柑橘、黑李及些許洛神風味酸質明亮飽滿。</t>
    <phoneticPr fontId="1" type="noConversion"/>
  </si>
  <si>
    <t>23.ken.washed.nyei.gichathaini</t>
    <phoneticPr fontId="1" type="noConversion"/>
  </si>
  <si>
    <t>夏奇索 Nardos</t>
    <phoneticPr fontId="1" type="noConversion"/>
  </si>
  <si>
    <t>typica</t>
    <phoneticPr fontId="1" type="noConversion"/>
  </si>
  <si>
    <t>德佈預購2kg</t>
    <phoneticPr fontId="1" type="noConversion"/>
  </si>
  <si>
    <t>24.eth.natural.guji.shakiso.nardos</t>
    <phoneticPr fontId="1" type="noConversion"/>
  </si>
  <si>
    <t>拉拉波</t>
    <phoneticPr fontId="1" type="noConversion"/>
  </si>
  <si>
    <t>芬卡</t>
    <phoneticPr fontId="1" type="noConversion"/>
  </si>
  <si>
    <t>波旁</t>
    <phoneticPr fontId="1" type="noConversion"/>
  </si>
  <si>
    <t>風味:葡萄、太妃糖、李子、藍莓酸值明亮多汁、清爽、滑順、層次豐富。</t>
    <phoneticPr fontId="1" type="noConversion"/>
  </si>
  <si>
    <t>23.gtm.washed.lalabor.finca</t>
    <phoneticPr fontId="1" type="noConversion"/>
  </si>
  <si>
    <t>863</t>
    <phoneticPr fontId="1" type="noConversion"/>
  </si>
  <si>
    <t>24.eth.washed.bench.maji.lucy</t>
    <phoneticPr fontId="1" type="noConversion"/>
  </si>
  <si>
    <t>74158</t>
    <phoneticPr fontId="1" type="noConversion"/>
  </si>
  <si>
    <t>野薑花、杏桃、百合花、熱帶果汁
若你追求爆炸迷人的花香，請用猛烈的熱能探尋，但如你更愛
的是變化多端的豐富口感，適中的熱能給予會讓你收穫無窮，
最重要的，還是要請您珍惜這每年為數不多的夢幻生豆，水洗
批次建議每分鐘升溫10-13攝氏度，這是專屬你與她之間的解鎖
密碼，AGTRON粉值建議84-92之間，日曬批次請務必更加溫柔
對待，相信我，使用每分鐘8-11攝氏度的升溫會更容易找到她
迷人的風味，建議AGTRON粉值為82-88之間，但如此夢幻的她
，依然建議你多多嘗試，找尋其變化多端的迷人樣貌。
百香果、荔枝、覆盆子、玫瑰</t>
    <phoneticPr fontId="1" type="noConversion"/>
  </si>
  <si>
    <t>科契爾 - 牧羊人</t>
    <phoneticPr fontId="1" type="noConversion"/>
  </si>
  <si>
    <t>風  味：優雅細緻花香，濃厚熱帶水果香氣、櫻桃酸明顯但柔和、柑橘、白柚風味、蜂蜜甜與清新明亮酸質十分融合、滑順且綿長</t>
    <phoneticPr fontId="1" type="noConversion"/>
  </si>
  <si>
    <t>La Isla</t>
    <phoneticPr fontId="1" type="noConversion"/>
  </si>
  <si>
    <t>小島極緻</t>
    <phoneticPr fontId="1" type="noConversion"/>
  </si>
  <si>
    <t>維拉莎奇</t>
    <phoneticPr fontId="1" type="noConversion"/>
  </si>
  <si>
    <t>風味:葡萄奶酥、莓果、蜂蜜、百香果、尾韻帶有奶油甜感
維拉莎奇咖啡豆是波旁Bourbon的變種，在1920年時，於Sarchi村莊發現，此品種的特點就是矮小、耐風、咖啡豆小、產量高。當咖啡樹種植在高海拔地區時，它的適應力屬中上等級，外加樹種矮小，能抵抗強風，因此能密集種植，這對咖啡農來說是值得嘉許的特性。維拉莎奇品種算是比賽常勝軍，因此其他國家想引進此品種，但是都無法廣泛種植，目前仍以哥斯大黎加為主要產地。維拉莎奇咖啡的風味是細緻柔圓潤的酸質、醇味飽滿、豐富果味和甜感</t>
    <phoneticPr fontId="1" type="noConversion"/>
  </si>
  <si>
    <t>茉香柚</t>
    <phoneticPr fontId="1" type="noConversion"/>
  </si>
  <si>
    <t>可如蜜</t>
    <phoneticPr fontId="1" type="noConversion"/>
  </si>
  <si>
    <t>熱帶熟果、柚子皮、柚子果肉、甜柚、接骨木花香、檸檬果肉</t>
    <phoneticPr fontId="1" type="noConversion"/>
  </si>
  <si>
    <t>天堂莊園-日出桂花香</t>
    <phoneticPr fontId="1" type="noConversion"/>
  </si>
  <si>
    <t>豆桑</t>
    <phoneticPr fontId="1" type="noConversion"/>
  </si>
  <si>
    <t>風味描述：桂花 芒果 葡萄柚
colombia sunrise osmanthus fragrance</t>
    <phoneticPr fontId="1" type="noConversion"/>
  </si>
  <si>
    <t>古吉烏拉嘎</t>
    <phoneticPr fontId="1" type="noConversion"/>
  </si>
  <si>
    <t>74110/74112</t>
    <phoneticPr fontId="1" type="noConversion"/>
  </si>
  <si>
    <t>風味：熱帶水果、葡萄、香瓜、可可、香草、奶油、太妃糖、酒釀香氣，風味層次豐富，Body厚實飽滿</t>
    <phoneticPr fontId="1" type="noConversion"/>
  </si>
  <si>
    <t>盧安達</t>
  </si>
  <si>
    <t>亞瑪雪克</t>
    <phoneticPr fontId="1" type="noConversion"/>
  </si>
  <si>
    <t>其林比</t>
    <phoneticPr fontId="1" type="noConversion"/>
  </si>
  <si>
    <t>風味：玉蘭花細緻雅香，品飲感受蜂蜜般滑順甜感，帶有龍眼乾與青梅風味，整體酸甜平衡。
Rwanda WPR Nyamasheke Kilimbi A1 Honey
23.rwa.honey.kilimbi
2kg</t>
    <phoneticPr fontId="1" type="noConversion"/>
  </si>
  <si>
    <t>米娜莊園</t>
    <phoneticPr fontId="1" type="noConversion"/>
  </si>
  <si>
    <t>紅帕卡瑪拉</t>
    <phoneticPr fontId="1" type="noConversion"/>
  </si>
  <si>
    <t>風味：李子、柳橙、紅莓、紅糖、巧克力、果汁感，餘韻紅茶香氣。
Nicaragua Finca Mierisch Mama Mina Red Pacamara Peaberry Washed
24.nic.washed.mamamina</t>
    <phoneticPr fontId="1" type="noConversion"/>
  </si>
  <si>
    <t>薇薇特南果</t>
    <phoneticPr fontId="1" type="noConversion"/>
  </si>
  <si>
    <t>艾因赫特莊園</t>
    <phoneticPr fontId="1" type="noConversion"/>
  </si>
  <si>
    <t>波旁、卡杜拉、卡杜艾</t>
    <phoneticPr fontId="1" type="noConversion"/>
  </si>
  <si>
    <t>204 艾茵赫特莊園 El Injerto・波旁、卡杜拉、卡杜艾・水洗處理法・薇薇特南果
El Injerto farm - Washed Bourbon, Caturra, Catuai -
Huehue Specialty- OIC#11/9991/22
風味：紅石榴，洋甘菊，焦糖，硬核水果。
24.gtm.washed.huehue.ei.injerto</t>
    <phoneticPr fontId="1" type="noConversion"/>
  </si>
  <si>
    <t>卡佩提洛莊園</t>
    <phoneticPr fontId="1" type="noConversion"/>
  </si>
  <si>
    <t>471.23卡佩提洛莊園 Capetillo Farm．帕卡瑪拉．日曬處理法．安提瓜(APCA)
風味描述：熱帶水果，牛奶巧克力，黑嘉麗軟糖，白酒。
24.gtm.natural.antiqua.capetillo</t>
    <phoneticPr fontId="1" type="noConversion"/>
  </si>
  <si>
    <t>碧雅莊園</t>
    <phoneticPr fontId="1" type="noConversion"/>
  </si>
  <si>
    <t>薇拉沙奇</t>
    <phoneticPr fontId="1" type="noConversion"/>
  </si>
  <si>
    <t>334 碧雅莊園 Finca La Bella・薇拉莎奇・水洗處理法・拉斯米納斯寶礦山脈
風味： 楓糖腰果，奶油，紅糖，莓果，蜂蜜， 白花香，柑橘，尾韻甜，檸檬。
24.gtm.natural.la.balla</t>
    <phoneticPr fontId="1" type="noConversion"/>
  </si>
  <si>
    <t>新東方</t>
    <phoneticPr fontId="1" type="noConversion"/>
  </si>
  <si>
    <t>小農批次</t>
    <phoneticPr fontId="1" type="noConversion"/>
  </si>
  <si>
    <t>293 小農批次 Juan Carlos．波旁、卡杜拉、卡杜艾．厭氧日曬處理法．瓜地馬拉 新東方
風味描述：酒漬櫻桃，百香果，鳳梨汁，蜜李， 發酵酒感。
24.gtm.anaerobic.natural.juan.carlos</t>
    <phoneticPr fontId="1" type="noConversion"/>
  </si>
  <si>
    <t>花神</t>
    <phoneticPr fontId="1" type="noConversion"/>
  </si>
  <si>
    <t>波旁、卡杜拉</t>
  </si>
  <si>
    <t>安提瓜產區精選－花神咖啡 Las Cruces
風味：巧克力，糖果甜，硬核水果調。
24.gtm.washed.antiqua.las.cruces</t>
    <phoneticPr fontId="1" type="noConversion"/>
  </si>
  <si>
    <t>阿蒂特蘭湖</t>
    <phoneticPr fontId="1" type="noConversion"/>
  </si>
  <si>
    <t>達克鴨</t>
    <phoneticPr fontId="1" type="noConversion"/>
  </si>
  <si>
    <t>鐵皮卡、卡杜拉</t>
  </si>
  <si>
    <t>302 達克鴨咖啡 Pacoc Coffee・鐵皮卡、卡杜拉・水洗處理法・瓜地馬拉阿蒂特蘭湖
風味：巧克力，柑橘，body飽滿。
24.gtm.washed.pacoc</t>
    <phoneticPr fontId="1" type="noConversion"/>
  </si>
  <si>
    <t>科克</t>
    <phoneticPr fontId="1" type="noConversion"/>
  </si>
  <si>
    <t>衣索比亞 耶加雪菲 科克處理場 蜜處理 G1
Ethiopia Yirgacheffe Koke Honey G1
風味： 紅蘋果，草莓，太妃糖，牛奶巧克力，回甘甜感。
24.eth.honey.yirgacheffe.koke</t>
    <phoneticPr fontId="1" type="noConversion"/>
  </si>
  <si>
    <t>古吉 烏拉嘎</t>
    <phoneticPr fontId="1" type="noConversion"/>
  </si>
  <si>
    <t>所羅門</t>
    <phoneticPr fontId="1" type="noConversion"/>
  </si>
  <si>
    <t>衣索比亞 古吉 烏拉嘎 索羅門 日晒G1
Ethiopia Guji Uraga Solomon Natural G1
風味： 椰子糖甜，草莓，橙花香，杏桃，黃檸檬，蜂蜜，回甘甜。
24.eth.natural.guji.solomon</t>
    <phoneticPr fontId="1" type="noConversion"/>
  </si>
  <si>
    <t>古吉 丁圖</t>
    <phoneticPr fontId="1" type="noConversion"/>
  </si>
  <si>
    <t>罕貝拉</t>
    <phoneticPr fontId="1" type="noConversion"/>
  </si>
  <si>
    <t>258.24 衣索比亞 古吉 丁圖 罕貝拉 水洗G1
風味：黃金糖，淡雅的茉莉花香，蜜李，清爽口感。
24.eth.washed.guji.hambella</t>
    <phoneticPr fontId="1" type="noConversion"/>
  </si>
  <si>
    <t>巧克力情人</t>
    <phoneticPr fontId="1" type="noConversion"/>
  </si>
  <si>
    <t>風味：玻瑰果醬花香氣、蔗甜，蜜餞，黑莓果醬、柑橘、厚實口感，牛奶味、核果風味可可調</t>
    <phoneticPr fontId="1" type="noConversion"/>
  </si>
  <si>
    <t>烏拉嗄</t>
    <phoneticPr fontId="1" type="noConversion"/>
  </si>
  <si>
    <t>香水月季</t>
    <phoneticPr fontId="1" type="noConversion"/>
  </si>
  <si>
    <t>Ethiopia Uraga Anaerobic Washed  G1
風味 / 紫羅蘭、草莓、橙花、白桃</t>
    <phoneticPr fontId="1" type="noConversion"/>
  </si>
  <si>
    <t>印尼</t>
  </si>
  <si>
    <t>曼特寧</t>
    <phoneticPr fontId="1" type="noConversion"/>
  </si>
  <si>
    <t>風味 : 焦糖，奶油, 榛果, 丁香, 可可, 輕柔果酸, 厚實。</t>
    <phoneticPr fontId="1" type="noConversion"/>
  </si>
  <si>
    <t>瑪格麗特</t>
    <phoneticPr fontId="1" type="noConversion"/>
  </si>
  <si>
    <t>玉荷包荔枝</t>
    <phoneticPr fontId="1" type="noConversion"/>
  </si>
  <si>
    <t>風味:玉荷苞荔枝、玫瑰、水蜜桃</t>
    <phoneticPr fontId="1" type="noConversion"/>
  </si>
  <si>
    <t>寇巴</t>
    <phoneticPr fontId="1" type="noConversion"/>
  </si>
  <si>
    <t>古吉 烏拉嘎 蔻巴 日晒 G1
Ethiopia Guji Uraga Koba Natural G1
風味： 草莓，鳳梨，橙花，紅糖，柑橘，花蜜，糖漿口感。
24.eth.natural.uraga.koba</t>
    <phoneticPr fontId="1" type="noConversion"/>
  </si>
  <si>
    <t>(沃卡)凱菲亞歐蓓絲  Kefeyalew Obese</t>
    <phoneticPr fontId="1" type="noConversion"/>
  </si>
  <si>
    <t>耶加雪菲 沃卡 凱菲亞歐蓓絲 G1 日晒
Ethiopia Yirgacheffe worka Natural G1
風味： 藍莓，花香，柑橘，蜂蜜，綠茶。
24.eth.natural.yirgacheffe.worka</t>
    <phoneticPr fontId="1" type="noConversion"/>
  </si>
  <si>
    <t>索羅門</t>
    <phoneticPr fontId="1" type="noConversion"/>
  </si>
  <si>
    <t>衣索比亞 古吉 烏拉嘎 索羅門 水洗 G1
Ethiopia Guji Uraga Solomon Washed  G1
風味：橙花，冬花糖，柚子果茶，佛手柑，龍眼 花蜜甜。
24.eth.washed.guji.solomon</t>
    <phoneticPr fontId="1" type="noConversion"/>
  </si>
  <si>
    <t>柯契爾 畢洛雅</t>
    <phoneticPr fontId="1" type="noConversion"/>
  </si>
  <si>
    <t>衣索比亞 耶加雪菲 柯契爾 畢洛雅 G2 水洗處理
Ethiopia Yirgacheffe Kochere Beloya Washed G2
風味： 柑橘，口感滑順，白糖。
24.eth.washed.yirgacheffe.beloya</t>
    <phoneticPr fontId="1" type="noConversion"/>
  </si>
  <si>
    <t>聖塔瓦娜</t>
    <phoneticPr fontId="1" type="noConversion"/>
  </si>
  <si>
    <t>衣索比亞 西達摩 聖塔瓦娜處理廠 日曬 G1
Ethopia Sidamo Shantawane Natural G1
風味： 莓果，黑李，蜜桃，香草冰淇淋，巧克力尾韻。
24.eth.natural.sidamo.shantawane</t>
    <phoneticPr fontId="1" type="noConversion"/>
  </si>
  <si>
    <t>利姆</t>
    <phoneticPr fontId="1" type="noConversion"/>
  </si>
  <si>
    <t>格拉莊園</t>
    <phoneticPr fontId="1" type="noConversion"/>
  </si>
  <si>
    <t>衣索比亞 利姆 格拉莊園 74110 日曬 G1
Ethiopia Limu Gera Farm Natural G1
風味： 藍莓，桃子，香檳葡萄，紅糖，香草籽。
24.eth.natural.limu.gera</t>
    <phoneticPr fontId="1" type="noConversion"/>
  </si>
  <si>
    <t>24.nic.washed.altiplanos.java</t>
    <phoneticPr fontId="1" type="noConversion"/>
  </si>
  <si>
    <t>阿梅德萊洛處理廠</t>
    <phoneticPr fontId="1" type="noConversion"/>
  </si>
  <si>
    <t>24.eth.washed.yirgacheffe.amedlelo</t>
    <phoneticPr fontId="1" type="noConversion"/>
  </si>
  <si>
    <t>南米納斯</t>
    <phoneticPr fontId="1" type="noConversion"/>
  </si>
  <si>
    <t>伊帕內瑪莊園</t>
    <phoneticPr fontId="1" type="noConversion"/>
  </si>
  <si>
    <t>黃波本</t>
    <phoneticPr fontId="1" type="noConversion"/>
  </si>
  <si>
    <t>守成</t>
    <phoneticPr fontId="1" type="noConversion"/>
  </si>
  <si>
    <t>24.bri.washed.ipanema</t>
    <phoneticPr fontId="1" type="noConversion"/>
  </si>
  <si>
    <t>861</t>
    <phoneticPr fontId="1" type="noConversion"/>
  </si>
  <si>
    <t>吉拉莊園</t>
    <phoneticPr fontId="1" type="noConversion"/>
  </si>
  <si>
    <t>風味：鳳梨，草莓，百香果，香草冰淇淋，口感滑順，軟糖甜感</t>
    <phoneticPr fontId="1" type="noConversion"/>
  </si>
  <si>
    <t>24.gtm.anaerobic.natural.hehuestango.guisquilar</t>
    <phoneticPr fontId="1" type="noConversion"/>
  </si>
  <si>
    <t>瓜哇</t>
    <phoneticPr fontId="1" type="noConversion"/>
  </si>
  <si>
    <t>金色百林莊園</t>
  </si>
  <si>
    <t>s579</t>
    <phoneticPr fontId="1" type="noConversion"/>
  </si>
  <si>
    <t>南希寶</t>
    <phoneticPr fontId="1" type="noConversion"/>
  </si>
  <si>
    <t>雷菲莎</t>
    <phoneticPr fontId="1" type="noConversion"/>
  </si>
  <si>
    <t>艾瑞斯蜜神</t>
    <phoneticPr fontId="1" type="noConversion"/>
  </si>
  <si>
    <t>辛巴藝妓</t>
    <phoneticPr fontId="1" type="noConversion"/>
  </si>
  <si>
    <t>風　味：蘋果、檸檬、白花香、甜橙、黑醋栗、青梅
24.key.washed.kirinyaga.cimba</t>
    <phoneticPr fontId="1" type="noConversion"/>
  </si>
  <si>
    <t>露西酒香</t>
    <phoneticPr fontId="1" type="noConversion"/>
  </si>
  <si>
    <t>紫風鈴</t>
    <phoneticPr fontId="1" type="noConversion"/>
  </si>
  <si>
    <t>甜野莓</t>
    <phoneticPr fontId="1" type="noConversion"/>
  </si>
  <si>
    <t>生豆庫存量</t>
    <phoneticPr fontId="1" type="noConversion"/>
  </si>
  <si>
    <t>熟量庫存量</t>
    <phoneticPr fontId="1" type="noConversion"/>
  </si>
  <si>
    <t>訂單未交數量</t>
    <phoneticPr fontId="1" type="noConversion"/>
  </si>
  <si>
    <t>總烘焙量(g)</t>
    <phoneticPr fontId="1" type="noConversion"/>
  </si>
  <si>
    <t>品項</t>
    <phoneticPr fontId="1" type="noConversion"/>
  </si>
  <si>
    <t>數量</t>
    <phoneticPr fontId="1" type="noConversion"/>
  </si>
  <si>
    <t>單價</t>
    <phoneticPr fontId="1" type="noConversion"/>
  </si>
  <si>
    <t>總金額</t>
    <phoneticPr fontId="1" type="noConversion"/>
  </si>
  <si>
    <t>損益</t>
    <phoneticPr fontId="1" type="noConversion"/>
  </si>
  <si>
    <t>格林藝妓</t>
    <phoneticPr fontId="1" type="noConversion"/>
  </si>
  <si>
    <t>總收入</t>
    <phoneticPr fontId="1" type="noConversion"/>
  </si>
  <si>
    <t>莫札特</t>
    <phoneticPr fontId="1" type="noConversion"/>
  </si>
  <si>
    <t>總支出</t>
    <phoneticPr fontId="1" type="noConversion"/>
  </si>
  <si>
    <t>萬友生豆一批</t>
    <phoneticPr fontId="1" type="noConversion"/>
  </si>
  <si>
    <t>日晒寶貝</t>
    <phoneticPr fontId="1" type="noConversion"/>
  </si>
  <si>
    <t>雅芬訂單</t>
  </si>
  <si>
    <t>水洗寶貝</t>
    <phoneticPr fontId="1" type="noConversion"/>
  </si>
  <si>
    <t>圓石生豆一批</t>
    <phoneticPr fontId="1" type="noConversion"/>
  </si>
  <si>
    <t>ergos生豆</t>
    <phoneticPr fontId="1" type="noConversion"/>
  </si>
  <si>
    <t>德佈生豆一批</t>
    <phoneticPr fontId="1" type="noConversion"/>
  </si>
  <si>
    <t>Stephie Tseng 西達摩-龐貝</t>
  </si>
  <si>
    <t>Jenny Hung 掛耳</t>
  </si>
  <si>
    <t>Joy 掛耳</t>
  </si>
  <si>
    <t>文玉訂單</t>
    <phoneticPr fontId="1" type="noConversion"/>
  </si>
  <si>
    <t>同學share 14kg 寶貝藝妓</t>
  </si>
  <si>
    <t>秘魯藝妓</t>
    <phoneticPr fontId="1" type="noConversion"/>
  </si>
  <si>
    <t>烏克栗栗</t>
    <phoneticPr fontId="1" type="noConversion"/>
  </si>
  <si>
    <t>Astrid買兩款五包掛耳</t>
  </si>
  <si>
    <t>Monica 莫札特400g*2+200g</t>
  </si>
  <si>
    <t>寶貝藝妓450*4</t>
  </si>
  <si>
    <t>Joy掛耳包</t>
  </si>
  <si>
    <t>蕙婷-耶加雪菲阿若默</t>
  </si>
  <si>
    <t>草莓波波</t>
    <phoneticPr fontId="1" type="noConversion"/>
  </si>
  <si>
    <t>紅絲絨</t>
    <phoneticPr fontId="1" type="noConversion"/>
  </si>
  <si>
    <t>草莓波波生豆2kg+200烘豆費</t>
  </si>
  <si>
    <t>素玉買肯亞及哥倫比亞各400克</t>
  </si>
  <si>
    <t>蔡雅芬訂單-莫札特,草莓波波,月見野櫻花</t>
  </si>
  <si>
    <t>沈師傅10包</t>
  </si>
  <si>
    <t>Cynthia Chang 10包</t>
  </si>
  <si>
    <t>Joy掛耳20包</t>
  </si>
  <si>
    <t>台南Joy Lo 二盒新年禮盒600-80郵資</t>
  </si>
  <si>
    <t>郭雅雯禮盒300*6-80郵資</t>
  </si>
  <si>
    <t>包材</t>
    <phoneticPr fontId="1" type="noConversion"/>
  </si>
  <si>
    <t>Sara訂薇薇特南果及寶寶藝妓及郵資-60</t>
  </si>
  <si>
    <t>寄典璋8盒5包裝-郵資</t>
  </si>
  <si>
    <t>蕙婷訂豆4包400g</t>
  </si>
  <si>
    <t>井井生豆 十里桃花</t>
    <phoneticPr fontId="1" type="noConversion"/>
  </si>
  <si>
    <t>典璋8盒濾掛+4包200g-郵資</t>
  </si>
  <si>
    <t>葉品彣200*5訂單</t>
    <phoneticPr fontId="1" type="noConversion"/>
  </si>
  <si>
    <t>志儒200*2訂單</t>
    <phoneticPr fontId="1" type="noConversion"/>
  </si>
  <si>
    <t>Astrid 掛耳10包</t>
  </si>
  <si>
    <t>歐若米亞生豆</t>
    <phoneticPr fontId="1" type="noConversion"/>
  </si>
  <si>
    <t>小芳</t>
    <phoneticPr fontId="1" type="noConversion"/>
  </si>
  <si>
    <t>雪瑩-200g*4</t>
    <phoneticPr fontId="1" type="noConversion"/>
  </si>
  <si>
    <t>祁安布生豆</t>
    <phoneticPr fontId="1" type="noConversion"/>
  </si>
  <si>
    <t>宏都拉斯生豆</t>
    <phoneticPr fontId="1" type="noConversion"/>
  </si>
  <si>
    <t>哥倫比亞-藝妓-蜜桃</t>
    <phoneticPr fontId="1" type="noConversion"/>
  </si>
  <si>
    <t>Kelly掛耳10包*5盒</t>
    <phoneticPr fontId="1" type="noConversion"/>
  </si>
  <si>
    <t>東弘烘豆</t>
    <phoneticPr fontId="1" type="noConversion"/>
  </si>
  <si>
    <t>kris生豆+烘豆</t>
    <phoneticPr fontId="1" type="noConversion"/>
  </si>
  <si>
    <t>墨西哥 拉斯瑪格麗塔斯</t>
    <phoneticPr fontId="1" type="noConversion"/>
  </si>
  <si>
    <t>哥倫比亞-粉桃甜心</t>
    <phoneticPr fontId="1" type="noConversion"/>
  </si>
  <si>
    <t>代墊二姐：墨西哥 拉斯瑪格麗塔斯</t>
    <phoneticPr fontId="1" type="noConversion"/>
  </si>
  <si>
    <t>celing掛耳3組</t>
    <phoneticPr fontId="1" type="noConversion"/>
  </si>
  <si>
    <t>肯亞-吉恰薩尼</t>
    <phoneticPr fontId="1" type="noConversion"/>
  </si>
  <si>
    <t>代墊二姊: 肯亞-吉恰薩尼</t>
    <phoneticPr fontId="1" type="noConversion"/>
  </si>
  <si>
    <t>Angel 明慧烘2kg</t>
    <phoneticPr fontId="1" type="noConversion"/>
  </si>
  <si>
    <t>joy朋友 200g*4</t>
    <phoneticPr fontId="1" type="noConversion"/>
  </si>
  <si>
    <t>Joy 掛耳莫札特12包</t>
    <phoneticPr fontId="1" type="noConversion"/>
  </si>
  <si>
    <t>大姊-水洗寶貝10+鳳梨10</t>
    <phoneticPr fontId="1" type="noConversion"/>
  </si>
  <si>
    <t>瓜地馬拉 芬卡 拉拉波 波旁 水洗</t>
  </si>
  <si>
    <t>代墊二姊-瓜地馬拉 芬卡 拉拉波 波旁 水洗</t>
    <phoneticPr fontId="1" type="noConversion"/>
  </si>
  <si>
    <t>24年水洗露西</t>
    <phoneticPr fontId="1" type="noConversion"/>
  </si>
  <si>
    <t>Joy 訂給 cara 12包</t>
    <phoneticPr fontId="1" type="noConversion"/>
  </si>
  <si>
    <t>大哥7包</t>
    <phoneticPr fontId="1" type="noConversion"/>
  </si>
  <si>
    <t>Vera Wu 露西藝妓400g</t>
  </si>
  <si>
    <r>
      <t>joy</t>
    </r>
    <r>
      <rPr>
        <sz val="10"/>
        <color theme="1"/>
        <rFont val="細明體"/>
        <family val="2"/>
        <charset val="136"/>
      </rPr>
      <t>台南</t>
    </r>
    <phoneticPr fontId="1" type="noConversion"/>
  </si>
  <si>
    <t>monica 400g*5</t>
    <phoneticPr fontId="1" type="noConversion"/>
  </si>
  <si>
    <t>江姐買咖啡豆</t>
  </si>
  <si>
    <t>celing chung</t>
    <phoneticPr fontId="1" type="noConversion"/>
  </si>
  <si>
    <t>Annie Kuo</t>
    <phoneticPr fontId="1" type="noConversion"/>
  </si>
  <si>
    <t>生豆牧羊人1kg</t>
    <phoneticPr fontId="1" type="noConversion"/>
  </si>
  <si>
    <t>宜蘭黃瓊慧咖啡豆</t>
  </si>
  <si>
    <t>小島極緻生豆</t>
    <phoneticPr fontId="1" type="noConversion"/>
  </si>
  <si>
    <t>娜5/18掛耳5*5訂單</t>
    <phoneticPr fontId="1" type="noConversion"/>
  </si>
  <si>
    <t>哲瑋露西200g</t>
    <phoneticPr fontId="1" type="noConversion"/>
  </si>
  <si>
    <t>水洗露西3kg</t>
    <phoneticPr fontId="1" type="noConversion"/>
  </si>
  <si>
    <t>沈耀坤買露西400gx3-郵資80</t>
  </si>
  <si>
    <t>玉珍烘豆</t>
    <phoneticPr fontId="1" type="noConversion"/>
  </si>
  <si>
    <t>明慧、angel烘豆</t>
    <phoneticPr fontId="1" type="noConversion"/>
  </si>
  <si>
    <t>Astrid買濾掛咖啡10包</t>
  </si>
  <si>
    <t>志儒200*3訂單</t>
    <phoneticPr fontId="1" type="noConversion"/>
  </si>
  <si>
    <t>日出桂花</t>
    <phoneticPr fontId="1" type="noConversion"/>
  </si>
  <si>
    <t>蕙婷訂咖啡豆200g, 3送1</t>
  </si>
  <si>
    <t>Johan 咖啡豆400g*2</t>
  </si>
  <si>
    <r>
      <rPr>
        <sz val="10"/>
        <color theme="1"/>
        <rFont val="新細明體"/>
        <family val="1"/>
        <charset val="136"/>
      </rPr>
      <t>進露西</t>
    </r>
    <r>
      <rPr>
        <sz val="10"/>
        <color theme="1"/>
        <rFont val="Arial"/>
        <family val="2"/>
      </rPr>
      <t>1kg</t>
    </r>
    <phoneticPr fontId="1" type="noConversion"/>
  </si>
  <si>
    <r>
      <rPr>
        <sz val="10"/>
        <color theme="1"/>
        <rFont val="新細明體"/>
        <family val="1"/>
        <charset val="136"/>
      </rPr>
      <t>雅芬訂單</t>
    </r>
    <r>
      <rPr>
        <sz val="10"/>
        <color theme="1"/>
        <rFont val="Arial"/>
        <family val="2"/>
      </rPr>
      <t>-</t>
    </r>
    <r>
      <rPr>
        <sz val="10"/>
        <color theme="1"/>
        <rFont val="新細明體"/>
        <family val="1"/>
        <charset val="136"/>
      </rPr>
      <t>草莓波波</t>
    </r>
    <r>
      <rPr>
        <sz val="10"/>
        <color theme="1"/>
        <rFont val="Arial"/>
        <family val="2"/>
      </rPr>
      <t>+</t>
    </r>
    <r>
      <rPr>
        <sz val="10"/>
        <color theme="1"/>
        <rFont val="新細明體"/>
        <family val="1"/>
        <charset val="136"/>
      </rPr>
      <t>莫札特</t>
    </r>
    <phoneticPr fontId="1" type="noConversion"/>
  </si>
  <si>
    <r>
      <rPr>
        <sz val="10"/>
        <color theme="1"/>
        <rFont val="新細明體"/>
        <family val="1"/>
        <charset val="136"/>
      </rPr>
      <t>大哥露西</t>
    </r>
    <r>
      <rPr>
        <sz val="10"/>
        <color theme="1"/>
        <rFont val="Arial"/>
        <family val="2"/>
      </rPr>
      <t>2kg</t>
    </r>
    <phoneticPr fontId="1" type="noConversion"/>
  </si>
  <si>
    <r>
      <rPr>
        <sz val="10"/>
        <color theme="1"/>
        <rFont val="新細明體"/>
        <family val="1"/>
        <charset val="136"/>
      </rPr>
      <t>月光酒釀</t>
    </r>
    <phoneticPr fontId="1" type="noConversion"/>
  </si>
  <si>
    <r>
      <rPr>
        <sz val="10"/>
        <color theme="1"/>
        <rFont val="新細明體"/>
        <family val="1"/>
        <charset val="136"/>
      </rPr>
      <t>盧安達</t>
    </r>
    <phoneticPr fontId="1" type="noConversion"/>
  </si>
  <si>
    <r>
      <rPr>
        <sz val="10"/>
        <color theme="1"/>
        <rFont val="新細明體"/>
        <family val="1"/>
        <charset val="136"/>
      </rPr>
      <t>尼加拉瓜</t>
    </r>
    <r>
      <rPr>
        <sz val="10"/>
        <color theme="1"/>
        <rFont val="Arial"/>
        <family val="2"/>
      </rPr>
      <t>-</t>
    </r>
    <r>
      <rPr>
        <sz val="10"/>
        <color theme="1"/>
        <rFont val="新細明體"/>
        <family val="1"/>
        <charset val="136"/>
      </rPr>
      <t>米娜莊園</t>
    </r>
    <phoneticPr fontId="1" type="noConversion"/>
  </si>
  <si>
    <r>
      <t>ergos</t>
    </r>
    <r>
      <rPr>
        <sz val="10"/>
        <color theme="1"/>
        <rFont val="新細明體"/>
        <family val="1"/>
        <charset val="136"/>
      </rPr>
      <t>生豆</t>
    </r>
    <r>
      <rPr>
        <sz val="10"/>
        <color theme="1"/>
        <rFont val="Arial"/>
        <family val="2"/>
      </rPr>
      <t>10kg</t>
    </r>
    <phoneticPr fontId="1" type="noConversion"/>
  </si>
  <si>
    <r>
      <t>Emuly</t>
    </r>
    <r>
      <rPr>
        <sz val="10"/>
        <color theme="1"/>
        <rFont val="新細明體"/>
        <family val="1"/>
        <charset val="136"/>
      </rPr>
      <t>薇薇特</t>
    </r>
    <r>
      <rPr>
        <sz val="10"/>
        <color theme="1"/>
        <rFont val="Arial"/>
        <family val="2"/>
      </rPr>
      <t>5</t>
    </r>
    <r>
      <rPr>
        <sz val="10"/>
        <color theme="1"/>
        <rFont val="新細明體"/>
        <family val="1"/>
        <charset val="136"/>
      </rPr>
      <t>包</t>
    </r>
    <phoneticPr fontId="1" type="noConversion"/>
  </si>
  <si>
    <r>
      <t xml:space="preserve">Monica </t>
    </r>
    <r>
      <rPr>
        <sz val="10"/>
        <color theme="1"/>
        <rFont val="新細明體"/>
        <family val="1"/>
        <charset val="136"/>
      </rPr>
      <t>月光酒釀</t>
    </r>
    <r>
      <rPr>
        <sz val="10"/>
        <color theme="1"/>
        <rFont val="Arial"/>
        <family val="2"/>
      </rPr>
      <t>-</t>
    </r>
    <r>
      <rPr>
        <sz val="10"/>
        <color theme="1"/>
        <rFont val="新細明體"/>
        <family val="1"/>
        <charset val="136"/>
      </rPr>
      <t>日出桂花</t>
    </r>
    <phoneticPr fontId="1" type="noConversion"/>
  </si>
  <si>
    <r>
      <rPr>
        <sz val="10"/>
        <color theme="1"/>
        <rFont val="新細明體"/>
        <family val="1"/>
        <charset val="136"/>
      </rPr>
      <t>茉香柚</t>
    </r>
    <phoneticPr fontId="1" type="noConversion"/>
  </si>
  <si>
    <r>
      <rPr>
        <sz val="10"/>
        <color theme="1"/>
        <rFont val="新細明體"/>
        <family val="1"/>
        <charset val="136"/>
      </rPr>
      <t>井井生豆</t>
    </r>
    <r>
      <rPr>
        <sz val="10"/>
        <color theme="1"/>
        <rFont val="Arial"/>
        <family val="2"/>
      </rPr>
      <t>-2kg</t>
    </r>
    <phoneticPr fontId="1" type="noConversion"/>
  </si>
  <si>
    <r>
      <rPr>
        <sz val="10"/>
        <color theme="1"/>
        <rFont val="新細明體"/>
        <family val="1"/>
        <charset val="136"/>
      </rPr>
      <t>巧克力情人</t>
    </r>
    <r>
      <rPr>
        <sz val="10"/>
        <color theme="1"/>
        <rFont val="Arial"/>
        <family val="2"/>
      </rPr>
      <t>2kg+</t>
    </r>
    <r>
      <rPr>
        <sz val="10"/>
        <color theme="1"/>
        <rFont val="細明體"/>
        <family val="2"/>
        <charset val="136"/>
      </rPr>
      <t>日出桂花1</t>
    </r>
    <r>
      <rPr>
        <sz val="10"/>
        <color theme="1"/>
        <rFont val="Arial"/>
        <family val="2"/>
      </rPr>
      <t>kg</t>
    </r>
    <phoneticPr fontId="1" type="noConversion"/>
  </si>
  <si>
    <r>
      <t xml:space="preserve">anson </t>
    </r>
    <r>
      <rPr>
        <sz val="10"/>
        <color theme="1"/>
        <rFont val="新細明體"/>
        <family val="1"/>
        <charset val="136"/>
      </rPr>
      <t>日出桂花</t>
    </r>
    <r>
      <rPr>
        <sz val="10"/>
        <color theme="1"/>
        <rFont val="Arial"/>
        <family val="2"/>
      </rPr>
      <t xml:space="preserve"> 200g*1</t>
    </r>
    <phoneticPr fontId="1" type="noConversion"/>
  </si>
  <si>
    <r>
      <rPr>
        <sz val="10"/>
        <color theme="1"/>
        <rFont val="新細明體"/>
        <family val="1"/>
        <charset val="136"/>
      </rPr>
      <t>大姐掛耳</t>
    </r>
    <r>
      <rPr>
        <sz val="10"/>
        <color theme="1"/>
        <rFont val="Arial"/>
        <family val="2"/>
      </rPr>
      <t>20</t>
    </r>
    <r>
      <rPr>
        <sz val="10"/>
        <color theme="1"/>
        <rFont val="新細明體"/>
        <family val="1"/>
        <charset val="136"/>
      </rPr>
      <t>包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新細明體"/>
        <family val="1"/>
        <charset val="136"/>
      </rPr>
      <t>哲偉</t>
    </r>
    <r>
      <rPr>
        <sz val="10"/>
        <color theme="1"/>
        <rFont val="Arial"/>
        <family val="2"/>
      </rPr>
      <t xml:space="preserve"> 200g*1</t>
    </r>
    <phoneticPr fontId="1" type="noConversion"/>
  </si>
  <si>
    <t>Celing 買9包400g咖啡豆送baby</t>
  </si>
  <si>
    <r>
      <rPr>
        <sz val="10"/>
        <color theme="1"/>
        <rFont val="新細明體"/>
        <family val="1"/>
        <charset val="136"/>
      </rPr>
      <t>露西</t>
    </r>
    <r>
      <rPr>
        <sz val="10"/>
        <color theme="1"/>
        <rFont val="Arial"/>
        <family val="2"/>
      </rPr>
      <t>5kg</t>
    </r>
    <phoneticPr fontId="1" type="noConversion"/>
  </si>
  <si>
    <r>
      <rPr>
        <sz val="10"/>
        <color theme="1"/>
        <rFont val="新細明體"/>
        <family val="1"/>
        <charset val="136"/>
      </rPr>
      <t>曼特寧</t>
    </r>
    <r>
      <rPr>
        <sz val="10"/>
        <color theme="1"/>
        <rFont val="Arial"/>
        <family val="2"/>
      </rPr>
      <t>5kg</t>
    </r>
    <phoneticPr fontId="1" type="noConversion"/>
  </si>
  <si>
    <t>蕙婷訂200g咖啡豆3+1包及1盒10包濾掛-郵資</t>
  </si>
  <si>
    <t>Joy濾掛12包+日出桂花6包</t>
  </si>
  <si>
    <r>
      <rPr>
        <sz val="10"/>
        <color theme="1"/>
        <rFont val="新細明體"/>
        <family val="1"/>
        <charset val="136"/>
      </rPr>
      <t>外袋</t>
    </r>
    <phoneticPr fontId="1" type="noConversion"/>
  </si>
  <si>
    <t>沈耀坤購10+1包200g咖啡豆/郵資</t>
  </si>
  <si>
    <r>
      <rPr>
        <sz val="10"/>
        <color theme="1"/>
        <rFont val="新細明體"/>
        <family val="1"/>
        <charset val="136"/>
      </rPr>
      <t>玉荷苞荔枝</t>
    </r>
    <phoneticPr fontId="1" type="noConversion"/>
  </si>
  <si>
    <r>
      <rPr>
        <sz val="10"/>
        <color theme="1"/>
        <rFont val="新細明體"/>
        <family val="1"/>
        <charset val="136"/>
      </rPr>
      <t>譚小姐</t>
    </r>
    <phoneticPr fontId="1" type="noConversion"/>
  </si>
  <si>
    <r>
      <t>kris</t>
    </r>
    <r>
      <rPr>
        <sz val="10"/>
        <color theme="1"/>
        <rFont val="新細明體"/>
        <family val="1"/>
        <charset val="136"/>
      </rPr>
      <t>生豆</t>
    </r>
    <r>
      <rPr>
        <sz val="10"/>
        <color theme="1"/>
        <rFont val="Arial"/>
        <family val="2"/>
      </rPr>
      <t>+</t>
    </r>
    <r>
      <rPr>
        <sz val="10"/>
        <color theme="1"/>
        <rFont val="新細明體"/>
        <family val="1"/>
        <charset val="136"/>
      </rPr>
      <t>烘豆</t>
    </r>
    <phoneticPr fontId="1" type="noConversion"/>
  </si>
  <si>
    <r>
      <t>200g</t>
    </r>
    <r>
      <rPr>
        <sz val="10"/>
        <color theme="1"/>
        <rFont val="新細明體"/>
        <family val="1"/>
        <charset val="136"/>
      </rPr>
      <t>豆袋</t>
    </r>
    <phoneticPr fontId="1" type="noConversion"/>
  </si>
  <si>
    <r>
      <rPr>
        <sz val="10"/>
        <color theme="1"/>
        <rFont val="新細明體"/>
        <family val="1"/>
        <charset val="136"/>
      </rPr>
      <t>二姐生豆</t>
    </r>
    <phoneticPr fontId="1" type="noConversion"/>
  </si>
  <si>
    <r>
      <rPr>
        <sz val="10"/>
        <color theme="1"/>
        <rFont val="新細明體"/>
        <family val="1"/>
        <charset val="136"/>
      </rPr>
      <t>明幸掛耳</t>
    </r>
    <r>
      <rPr>
        <sz val="10"/>
        <color theme="1"/>
        <rFont val="Arial"/>
        <family val="2"/>
      </rPr>
      <t>10</t>
    </r>
    <phoneticPr fontId="1" type="noConversion"/>
  </si>
  <si>
    <r>
      <rPr>
        <sz val="10"/>
        <color theme="1"/>
        <rFont val="新細明體"/>
        <family val="1"/>
        <charset val="136"/>
      </rPr>
      <t>志儒</t>
    </r>
    <r>
      <rPr>
        <sz val="10"/>
        <color theme="1"/>
        <rFont val="Arial"/>
        <family val="2"/>
      </rPr>
      <t>200g*4</t>
    </r>
    <phoneticPr fontId="1" type="noConversion"/>
  </si>
  <si>
    <r>
      <rPr>
        <sz val="10"/>
        <color theme="1"/>
        <rFont val="新細明體"/>
        <family val="1"/>
        <charset val="136"/>
      </rPr>
      <t>蜜桃掛耳</t>
    </r>
    <r>
      <rPr>
        <sz val="10"/>
        <color theme="1"/>
        <rFont val="Arial"/>
        <family val="2"/>
      </rPr>
      <t>*10</t>
    </r>
    <phoneticPr fontId="1" type="noConversion"/>
  </si>
  <si>
    <r>
      <rPr>
        <sz val="10"/>
        <color theme="1"/>
        <rFont val="新細明體"/>
        <family val="1"/>
        <charset val="136"/>
      </rPr>
      <t>濾掛</t>
    </r>
    <r>
      <rPr>
        <sz val="10"/>
        <color theme="1"/>
        <rFont val="細明體"/>
        <family val="1"/>
        <charset val="136"/>
      </rPr>
      <t>外</t>
    </r>
    <r>
      <rPr>
        <sz val="10"/>
        <color theme="1"/>
        <rFont val="新細明體"/>
        <family val="1"/>
        <charset val="136"/>
      </rPr>
      <t>袋</t>
    </r>
    <r>
      <rPr>
        <sz val="10"/>
        <color theme="1"/>
        <rFont val="Arial"/>
        <family val="2"/>
      </rPr>
      <t>400*</t>
    </r>
    <r>
      <rPr>
        <sz val="10"/>
        <color theme="1"/>
        <rFont val="新細明體"/>
        <family val="1"/>
        <charset val="136"/>
      </rPr>
      <t>貼紙</t>
    </r>
    <phoneticPr fontId="1" type="noConversion"/>
  </si>
  <si>
    <r>
      <t>angel</t>
    </r>
    <r>
      <rPr>
        <sz val="10"/>
        <color theme="1"/>
        <rFont val="新細明體"/>
        <family val="1"/>
        <charset val="136"/>
      </rPr>
      <t>內袋</t>
    </r>
    <r>
      <rPr>
        <sz val="10"/>
        <color theme="1"/>
        <rFont val="Arial"/>
        <family val="2"/>
      </rPr>
      <t>*400</t>
    </r>
    <phoneticPr fontId="1" type="noConversion"/>
  </si>
  <si>
    <r>
      <t>angel</t>
    </r>
    <r>
      <rPr>
        <sz val="10"/>
        <color theme="1"/>
        <rFont val="新細明體"/>
        <family val="1"/>
        <charset val="136"/>
      </rPr>
      <t>烘豆</t>
    </r>
    <phoneticPr fontId="1" type="noConversion"/>
  </si>
  <si>
    <t>monica 200g*4</t>
    <phoneticPr fontId="1" type="noConversion"/>
  </si>
  <si>
    <r>
      <rPr>
        <sz val="10"/>
        <color theme="1"/>
        <rFont val="新細明體"/>
        <family val="1"/>
        <charset val="136"/>
      </rPr>
      <t>明幸</t>
    </r>
    <r>
      <rPr>
        <sz val="10"/>
        <color theme="1"/>
        <rFont val="Arial"/>
        <family val="2"/>
      </rPr>
      <t>3</t>
    </r>
    <r>
      <rPr>
        <sz val="10"/>
        <color theme="1"/>
        <rFont val="新細明體"/>
        <family val="1"/>
        <charset val="136"/>
      </rPr>
      <t>盒掛耳</t>
    </r>
    <phoneticPr fontId="1" type="noConversion"/>
  </si>
  <si>
    <r>
      <rPr>
        <sz val="10"/>
        <color theme="1"/>
        <rFont val="新細明體"/>
        <family val="1"/>
        <charset val="136"/>
      </rPr>
      <t>蕙婷</t>
    </r>
    <r>
      <rPr>
        <sz val="10"/>
        <color theme="1"/>
        <rFont val="Arial"/>
        <family val="2"/>
      </rPr>
      <t>200g*4</t>
    </r>
    <phoneticPr fontId="1" type="noConversion"/>
  </si>
  <si>
    <r>
      <rPr>
        <sz val="10"/>
        <color theme="1"/>
        <rFont val="新細明體"/>
        <family val="1"/>
        <charset val="136"/>
      </rPr>
      <t>簡嘉緯</t>
    </r>
    <r>
      <rPr>
        <sz val="10"/>
        <color theme="1"/>
        <rFont val="Arial"/>
        <family val="2"/>
      </rPr>
      <t>200g*2</t>
    </r>
    <phoneticPr fontId="1" type="noConversion"/>
  </si>
  <si>
    <t>Cindy兩包義式咖啡豆400gx2</t>
  </si>
  <si>
    <t>江姐400gx2-運費</t>
  </si>
  <si>
    <t>明慧烘豆2kg, 上次跟明慧買1kg露西</t>
  </si>
  <si>
    <t>寄爸咖啡豆運費</t>
  </si>
  <si>
    <t>蕙婷朋友訂5包</t>
  </si>
  <si>
    <t>Alisia朋友修亦6包200g</t>
  </si>
  <si>
    <t>明幸五盒濾掛</t>
  </si>
  <si>
    <t>典璋朋友Tina</t>
  </si>
  <si>
    <t>典璋12/16-10包</t>
  </si>
  <si>
    <r>
      <rPr>
        <sz val="10"/>
        <color theme="1"/>
        <rFont val="新細明體"/>
        <family val="1"/>
        <charset val="136"/>
      </rPr>
      <t>明幸</t>
    </r>
    <r>
      <rPr>
        <sz val="10"/>
        <color theme="1"/>
        <rFont val="Arial"/>
        <family val="2"/>
      </rPr>
      <t>1</t>
    </r>
    <r>
      <rPr>
        <sz val="10"/>
        <color theme="1"/>
        <rFont val="新細明體"/>
        <family val="1"/>
        <charset val="136"/>
      </rPr>
      <t>盒</t>
    </r>
    <phoneticPr fontId="1" type="noConversion"/>
  </si>
  <si>
    <r>
      <t>ergos</t>
    </r>
    <r>
      <rPr>
        <sz val="10"/>
        <color theme="1"/>
        <rFont val="新細明體"/>
        <family val="1"/>
        <charset val="136"/>
      </rPr>
      <t>生豆</t>
    </r>
    <r>
      <rPr>
        <sz val="10"/>
        <color theme="1"/>
        <rFont val="Arial"/>
        <family val="2"/>
      </rPr>
      <t>5kg</t>
    </r>
    <phoneticPr fontId="1" type="noConversion"/>
  </si>
  <si>
    <r>
      <rPr>
        <sz val="10"/>
        <color theme="1"/>
        <rFont val="新細明體"/>
        <family val="1"/>
        <charset val="136"/>
      </rPr>
      <t>貼紙</t>
    </r>
    <r>
      <rPr>
        <sz val="10"/>
        <color theme="1"/>
        <rFont val="Arial"/>
        <family val="2"/>
      </rPr>
      <t>20</t>
    </r>
    <r>
      <rPr>
        <sz val="10"/>
        <color theme="1"/>
        <rFont val="新細明體"/>
        <family val="1"/>
        <charset val="136"/>
      </rPr>
      <t>個</t>
    </r>
    <phoneticPr fontId="1" type="noConversion"/>
  </si>
  <si>
    <r>
      <t xml:space="preserve">saraSara </t>
    </r>
    <r>
      <rPr>
        <sz val="10"/>
        <color theme="1"/>
        <rFont val="新細明體"/>
        <family val="1"/>
        <charset val="136"/>
      </rPr>
      <t>咖啡豆</t>
    </r>
    <r>
      <rPr>
        <sz val="10"/>
        <color theme="1"/>
        <rFont val="Arial"/>
        <family val="2"/>
      </rPr>
      <t>+7-11</t>
    </r>
    <r>
      <rPr>
        <sz val="10"/>
        <color theme="1"/>
        <rFont val="新細明體"/>
        <family val="1"/>
        <charset val="136"/>
      </rPr>
      <t>寄件</t>
    </r>
    <phoneticPr fontId="1" type="noConversion"/>
  </si>
  <si>
    <t>咖啡店到店運費</t>
  </si>
  <si>
    <r>
      <rPr>
        <sz val="10"/>
        <color theme="1"/>
        <rFont val="新細明體"/>
        <family val="1"/>
        <charset val="136"/>
      </rPr>
      <t>禮盒</t>
    </r>
    <r>
      <rPr>
        <sz val="10"/>
        <color theme="1"/>
        <rFont val="Arial"/>
        <family val="2"/>
      </rPr>
      <t>3</t>
    </r>
    <r>
      <rPr>
        <sz val="10"/>
        <color theme="1"/>
        <rFont val="新細明體"/>
        <family val="1"/>
        <charset val="136"/>
      </rPr>
      <t>個運費</t>
    </r>
    <phoneticPr fontId="1" type="noConversion"/>
  </si>
  <si>
    <r>
      <rPr>
        <sz val="10"/>
        <color theme="1"/>
        <rFont val="新細明體"/>
        <family val="1"/>
        <charset val="136"/>
      </rPr>
      <t>包材短膜</t>
    </r>
    <phoneticPr fontId="1" type="noConversion"/>
  </si>
  <si>
    <r>
      <rPr>
        <sz val="10"/>
        <color theme="1"/>
        <rFont val="新細明體"/>
        <family val="1"/>
        <charset val="136"/>
      </rPr>
      <t>包材</t>
    </r>
    <r>
      <rPr>
        <sz val="10"/>
        <color theme="1"/>
        <rFont val="Arial"/>
        <family val="2"/>
      </rPr>
      <t>-</t>
    </r>
    <r>
      <rPr>
        <sz val="10"/>
        <color theme="1"/>
        <rFont val="新細明體"/>
        <family val="1"/>
        <charset val="136"/>
      </rPr>
      <t>膠帶</t>
    </r>
    <phoneticPr fontId="1" type="noConversion"/>
  </si>
  <si>
    <r>
      <rPr>
        <sz val="10"/>
        <color theme="1"/>
        <rFont val="新細明體"/>
        <family val="1"/>
        <charset val="136"/>
      </rPr>
      <t>包材</t>
    </r>
    <r>
      <rPr>
        <sz val="10"/>
        <color theme="1"/>
        <rFont val="Arial"/>
        <family val="2"/>
      </rPr>
      <t>-</t>
    </r>
    <r>
      <rPr>
        <sz val="10"/>
        <color theme="1"/>
        <rFont val="新細明體"/>
        <family val="1"/>
        <charset val="136"/>
      </rPr>
      <t>濾掛</t>
    </r>
    <phoneticPr fontId="1" type="noConversion"/>
  </si>
  <si>
    <r>
      <rPr>
        <sz val="10"/>
        <color theme="1"/>
        <rFont val="新細明體"/>
        <family val="1"/>
        <charset val="136"/>
      </rPr>
      <t>典璋</t>
    </r>
    <r>
      <rPr>
        <sz val="10"/>
        <color theme="1"/>
        <rFont val="Arial"/>
        <family val="2"/>
      </rPr>
      <t>-tina-25</t>
    </r>
    <r>
      <rPr>
        <sz val="10"/>
        <color theme="1"/>
        <rFont val="新細明體"/>
        <family val="1"/>
        <charset val="136"/>
      </rPr>
      <t>包</t>
    </r>
    <phoneticPr fontId="1" type="noConversion"/>
  </si>
  <si>
    <r>
      <rPr>
        <sz val="10"/>
        <color theme="1"/>
        <rFont val="新細明體"/>
        <family val="1"/>
        <charset val="136"/>
      </rPr>
      <t>蕙婷禮盒</t>
    </r>
    <r>
      <rPr>
        <sz val="10"/>
        <color theme="1"/>
        <rFont val="Arial"/>
        <family val="2"/>
      </rPr>
      <t>-</t>
    </r>
    <r>
      <rPr>
        <sz val="10"/>
        <color theme="1"/>
        <rFont val="新細明體"/>
        <family val="1"/>
        <charset val="136"/>
      </rPr>
      <t>包材</t>
    </r>
    <phoneticPr fontId="1" type="noConversion"/>
  </si>
  <si>
    <t>收到蕙婷45盒500元禮盒費用</t>
  </si>
  <si>
    <r>
      <t>Ergos</t>
    </r>
    <r>
      <rPr>
        <sz val="10"/>
        <color theme="1"/>
        <rFont val="新細明體"/>
        <family val="1"/>
        <charset val="136"/>
      </rPr>
      <t>生豆</t>
    </r>
    <phoneticPr fontId="1" type="noConversion"/>
  </si>
  <si>
    <t>Dolores 200gx4包</t>
  </si>
  <si>
    <t>陳心涵Cindy 400g義式豆</t>
  </si>
  <si>
    <t>沈耀坤咖啡豆</t>
  </si>
  <si>
    <t>蕙婷6包200g咖啡豆</t>
  </si>
  <si>
    <t>志儒三包咖啡豆</t>
  </si>
  <si>
    <t>簡嘉緯咖啡豆200gx2</t>
  </si>
  <si>
    <t>Micaela 200g濾掛+包材</t>
  </si>
  <si>
    <t>minica 1/20</t>
    <phoneticPr fontId="1" type="noConversion"/>
  </si>
  <si>
    <t>cindy 1/20 400*2</t>
    <phoneticPr fontId="1" type="noConversion"/>
  </si>
  <si>
    <t>200g包裝袋</t>
  </si>
  <si>
    <t>寄兩盒送Monica和她朋友郵資</t>
  </si>
  <si>
    <t>宜蘭Yiling買6x200g咖啡豆</t>
  </si>
  <si>
    <t>Yohan咖啡豆200g</t>
  </si>
  <si>
    <r>
      <rPr>
        <sz val="10"/>
        <color theme="1"/>
        <rFont val="新細明體"/>
        <family val="1"/>
        <charset val="136"/>
      </rPr>
      <t>日出桂花生豆進</t>
    </r>
    <phoneticPr fontId="1" type="noConversion"/>
  </si>
  <si>
    <t>志儒200g*3咖啡豆</t>
  </si>
  <si>
    <t>Vera Wu 耶加雪菲400g</t>
  </si>
  <si>
    <r>
      <rPr>
        <sz val="10"/>
        <color theme="1"/>
        <rFont val="微軟正黑體"/>
        <family val="2"/>
        <charset val="136"/>
      </rPr>
      <t>郭雅雯四盒濾掛</t>
    </r>
    <r>
      <rPr>
        <sz val="10"/>
        <color theme="1"/>
        <rFont val="Arial"/>
        <family val="2"/>
      </rPr>
      <t>+200g</t>
    </r>
    <r>
      <rPr>
        <sz val="10"/>
        <color theme="1"/>
        <rFont val="微軟正黑體"/>
        <family val="2"/>
        <charset val="136"/>
      </rPr>
      <t>咖啡豆，送其中一包郵資</t>
    </r>
    <r>
      <rPr>
        <sz val="10"/>
        <color theme="1"/>
        <rFont val="Arial"/>
        <family val="2"/>
      </rPr>
      <t>80</t>
    </r>
    <phoneticPr fontId="1" type="noConversion"/>
  </si>
  <si>
    <t>蔡雅芬訂咖啡豆+濾掛-郵資</t>
  </si>
  <si>
    <t>蕙婷跟她同事訂咖啡豆</t>
  </si>
  <si>
    <t>幸福時潮2館李怡潔訂濾掛</t>
  </si>
  <si>
    <r>
      <rPr>
        <sz val="10"/>
        <color theme="1"/>
        <rFont val="微軟正黑體"/>
        <family val="2"/>
        <charset val="136"/>
      </rPr>
      <t>德佈生豆</t>
    </r>
    <r>
      <rPr>
        <sz val="10"/>
        <color theme="1"/>
        <rFont val="Arial"/>
        <family val="2"/>
      </rPr>
      <t xml:space="preserve"> 7KG</t>
    </r>
    <phoneticPr fontId="1" type="noConversion"/>
  </si>
  <si>
    <r>
      <t>Ergos</t>
    </r>
    <r>
      <rPr>
        <sz val="10"/>
        <color theme="1"/>
        <rFont val="新細明體"/>
        <family val="1"/>
        <charset val="136"/>
      </rPr>
      <t>生豆</t>
    </r>
    <r>
      <rPr>
        <sz val="10"/>
        <color theme="1"/>
        <rFont val="Arial"/>
        <family val="2"/>
      </rPr>
      <t>9kg</t>
    </r>
    <phoneticPr fontId="1" type="noConversion"/>
  </si>
  <si>
    <r>
      <rPr>
        <sz val="10"/>
        <color theme="1"/>
        <rFont val="新細明體"/>
        <family val="1"/>
        <charset val="136"/>
      </rPr>
      <t>靜電機濾材</t>
    </r>
    <phoneticPr fontId="1" type="noConversion"/>
  </si>
  <si>
    <t>Cindy Chen 咖啡豆</t>
  </si>
  <si>
    <t>典璋濾掛</t>
  </si>
  <si>
    <t>大姐濾掛三盒</t>
  </si>
  <si>
    <t>溫雅嵐Ivy濾掛2盒</t>
  </si>
  <si>
    <t>波奎特-2kg</t>
  </si>
  <si>
    <t>Micaele 400g</t>
    <phoneticPr fontId="1" type="noConversion"/>
  </si>
  <si>
    <t>進莫札特生豆1kg</t>
  </si>
  <si>
    <t>張寶綺咖啡</t>
  </si>
  <si>
    <t>黃鈺琬（娜)咖啡</t>
  </si>
  <si>
    <t>洪琇玫咖啡</t>
  </si>
  <si>
    <t>時潮二館Sammer咖啡</t>
  </si>
  <si>
    <t>蕙婷朋友Cora買咖啡豆</t>
  </si>
  <si>
    <t>蕙婷訂咖啡</t>
  </si>
  <si>
    <t>簡嘉緯咖啡豆</t>
  </si>
  <si>
    <t>大姐及同事訂濾掛</t>
  </si>
  <si>
    <t>Joy訂濾掛</t>
  </si>
  <si>
    <t>志儒200g*3</t>
  </si>
  <si>
    <t>德佈生豆印尼490+日出475*2</t>
  </si>
  <si>
    <t>茉香柚水洗1公斤$390</t>
  </si>
  <si>
    <t>露西酒香1公斤$400</t>
  </si>
  <si>
    <t>紫風鈴1公斤$400</t>
  </si>
  <si>
    <t>歌倫比亞甜野莓日晒1公斤$500</t>
  </si>
  <si>
    <t>巧克力情人水蜜處理2公斤355*2=710</t>
  </si>
  <si>
    <r>
      <rPr>
        <sz val="10"/>
        <color theme="1"/>
        <rFont val="細明體"/>
        <family val="1"/>
        <charset val="136"/>
      </rPr>
      <t>肯</t>
    </r>
    <r>
      <rPr>
        <sz val="10"/>
        <color theme="1"/>
        <rFont val="新細明體"/>
        <family val="1"/>
        <charset val="136"/>
      </rPr>
      <t>亞辛巴藝妓</t>
    </r>
    <phoneticPr fontId="1" type="noConversion"/>
  </si>
  <si>
    <t>Monica 咖啡豆</t>
  </si>
  <si>
    <t>Carolyn江姐咖啡豆</t>
  </si>
  <si>
    <t>謝曜禧咖啡豆</t>
  </si>
  <si>
    <t>Cindy Chen咖啡400gx2</t>
  </si>
  <si>
    <t>Annie烏克栗栗200g</t>
  </si>
  <si>
    <t>生豆-1. 露西水洗470x2kg. 2.苿香柚400x1kg+南希寶G1 360x1</t>
  </si>
  <si>
    <t>Micky 買咖啡豆</t>
  </si>
  <si>
    <t>蕙婷買三送一x2</t>
  </si>
  <si>
    <t>咖啡包裝袋100g、400g</t>
  </si>
  <si>
    <t>惠宣購日出桂花生豆</t>
  </si>
  <si>
    <r>
      <rPr>
        <sz val="10"/>
        <color theme="1"/>
        <rFont val="新細明體"/>
        <family val="1"/>
        <charset val="136"/>
      </rPr>
      <t>金百林</t>
    </r>
    <phoneticPr fontId="1" type="noConversion"/>
  </si>
  <si>
    <r>
      <rPr>
        <sz val="10"/>
        <color theme="1"/>
        <rFont val="新細明體"/>
        <family val="1"/>
        <charset val="136"/>
      </rPr>
      <t>衣索比亞班莎蜜處理</t>
    </r>
    <phoneticPr fontId="1" type="noConversion"/>
  </si>
  <si>
    <t>薩爾瓦多 聖安娜 巧克力情人莊園 水洗+蜜處理
Salvador Apaneca ilamatepec Chocolatio 50% washed 50% honey
風味：巧克力，牛奶糖，蔗糖，太妃糖 ,核果風味,濃厚醇度, 回甘甜可可及熱帶水果尾韻
24.slv.honey-washed.chocolatido</t>
    <phoneticPr fontId="1" type="noConversion"/>
  </si>
  <si>
    <t>西達瑪 班莎</t>
    <phoneticPr fontId="1" type="noConversion"/>
  </si>
  <si>
    <t>斑鳩</t>
    <phoneticPr fontId="1" type="noConversion"/>
  </si>
  <si>
    <t>衣索比亞 西達馬/班莎 斑鳩 蜜處理 G1
Ethiopia Sidama Bensa Shantawene Buncho Honey G1
風味：細緻白花香氣，有越橘果醬與蜂蜜甜韻
24.eth.honey.sidama.bencho</t>
    <phoneticPr fontId="1" type="noConversion"/>
  </si>
  <si>
    <t>衣索比亞 班奇馬吉 露西 酒香日晒 G1
Ethiopia Bench Maji Gesha Farm Baby Lucy Gesha Winey Natural G1
風味：芒果、百香果、草莓、酒香、葡萄乾
24.eth.winey.natural.Lucy</t>
    <phoneticPr fontId="1" type="noConversion"/>
  </si>
  <si>
    <t>衣索比亞 古吉 紫風鈴 日晒
Ethiopia Guji Dasaya Natural G1
風味：藍莓香，佛手柑及烏龍茶的尾韻
24.eth.natural.guji.dasaya</t>
    <phoneticPr fontId="1" type="noConversion"/>
  </si>
  <si>
    <t>哥倫比亞 金巴亞 甜野莓 日晒
Colombia EI Danubio Sweet Berry Natural
風 味：葡萄野莓、橙花、威士忌酒的糖度和風味
24.col.natural.sweet.berry</t>
    <phoneticPr fontId="1" type="noConversion"/>
  </si>
  <si>
    <t>哥斯大黎加 塔拉珠 艾瑞斯蜜神 紅蜜處理 
Costa Rica Tarrazu Aris Red Honey 
風味：乾香為橘皮、莓果與榛果香氣。啜吸時以香濃的草莓、芒果風味為主調,中後段帶有榛果及可可香氣,口感濃密飽滿
24.cri.redhoney.tarrazu.aris</t>
    <phoneticPr fontId="1" type="noConversion"/>
  </si>
  <si>
    <t>印尼 馬拉巴山 金色百林莊園 日晒 
Indonesia Golden Malabar Natural
風味：有龍眼蜜、蘋果酸等果香、紅糖風味，層次豐富且口感醇厚紮實，有苦甘餘韻
24.idn.natural.golden.malabar</t>
    <phoneticPr fontId="1" type="noConversion"/>
  </si>
  <si>
    <t>巴西 伊帕內瑪莊園 黃波本精選 水洗
Brasil Ipanema Yellow Bourbon Selection Fully Washed
風味：核果、柑橘、蔗糖，Body細緻乾淨
24.brz.washed.ipanema</t>
    <phoneticPr fontId="1" type="noConversion"/>
  </si>
  <si>
    <t>巴拿馬 波奎特 百合花 日曬
Panama Boquete Lily Natural
風味：莓果、藍莓、可可、葡萄、堅果、瓜甜，甜感飽滿，酸質乾淨
24.pan.natural.lily</t>
    <phoneticPr fontId="1" type="noConversion"/>
  </si>
  <si>
    <t>衣索比亞 蓋德奧 耶加雪菲鎮 孔加村 阿梅德萊洛處理廠 登峰造極 日曬 G1
Ethiopia Gedeo Yirgacheffe Konga Amederaro Super Natural G1
風味：乾香帶橙皮與桃子香氣，品飲帶柑橘、萊姆酸質、蜂蜜甜感，整體乾淨細緻、口感圓潤滑順。
24.eth.natural.yirgacheffe.amederaro</t>
    <phoneticPr fontId="1" type="noConversion"/>
  </si>
  <si>
    <t>衣索比亞 西達馬 西阿爾希區 南西寶鎮 雷菲莎處理廠 日曬 G1
Ethiopia Sidama West Arsi Nensebo Refisa Natural G1
風味：聞香帶紅莓果、柑橘，品飲同帶蜜柑與黑糖甜韻，Body圓潤，酸甜平衡
24.eth.natural.sidama.refisa</t>
    <phoneticPr fontId="1" type="noConversion"/>
  </si>
  <si>
    <t>大姐濾掛+同事</t>
  </si>
  <si>
    <t>Carolyn 四月第二次買咖啡</t>
  </si>
  <si>
    <t>1'35</t>
    <phoneticPr fontId="1" type="noConversion"/>
  </si>
  <si>
    <t>9'44</t>
    <phoneticPr fontId="1" type="noConversion"/>
  </si>
  <si>
    <t>10'41</t>
    <phoneticPr fontId="1" type="noConversion"/>
  </si>
  <si>
    <t>1'33</t>
    <phoneticPr fontId="1" type="noConversion"/>
  </si>
  <si>
    <t>9'24</t>
    <phoneticPr fontId="1" type="noConversion"/>
  </si>
  <si>
    <t>10'11</t>
    <phoneticPr fontId="1" type="noConversion"/>
  </si>
  <si>
    <t>9'35</t>
    <phoneticPr fontId="1" type="noConversion"/>
  </si>
  <si>
    <t>10'31</t>
    <phoneticPr fontId="1" type="noConversion"/>
  </si>
  <si>
    <t>1'34</t>
    <phoneticPr fontId="1" type="noConversion"/>
  </si>
  <si>
    <t>9'16</t>
    <phoneticPr fontId="1" type="noConversion"/>
  </si>
  <si>
    <t>10'03</t>
    <phoneticPr fontId="1" type="noConversion"/>
  </si>
  <si>
    <t>1'29</t>
    <phoneticPr fontId="1" type="noConversion"/>
  </si>
  <si>
    <t>8'53</t>
    <phoneticPr fontId="1" type="noConversion"/>
  </si>
  <si>
    <t>1'31</t>
    <phoneticPr fontId="1" type="noConversion"/>
  </si>
  <si>
    <t>9'27</t>
    <phoneticPr fontId="1" type="noConversion"/>
  </si>
  <si>
    <t>10'20</t>
    <phoneticPr fontId="1" type="noConversion"/>
  </si>
  <si>
    <t>希諾特加 阿爾蒂普拉諾莊園 爪哇長豆種 水洗處理
Nicaragua Jinotega Los Altiplanos Farm Java Washed
風味：乾香有仙楂餅, 黑棗乾香氣；入口後感受到仙楂餅, 龍眼乾, 黑巧克力風味, 滑順口感；尾韻帶有橘皮, 黑棗乾與核桃香氣
24.nic.washed.altiplanos.java</t>
    <phoneticPr fontId="1" type="noConversion"/>
  </si>
  <si>
    <t>1'33</t>
    <phoneticPr fontId="1" type="noConversion"/>
  </si>
  <si>
    <t>9'07</t>
    <phoneticPr fontId="1" type="noConversion"/>
  </si>
  <si>
    <t>10'51</t>
    <phoneticPr fontId="1" type="noConversion"/>
  </si>
  <si>
    <t>1'31</t>
    <phoneticPr fontId="1" type="noConversion"/>
  </si>
  <si>
    <t>8'53</t>
    <phoneticPr fontId="1" type="noConversion"/>
  </si>
  <si>
    <t>10'16</t>
    <phoneticPr fontId="1" type="noConversion"/>
  </si>
  <si>
    <t>9'18</t>
    <phoneticPr fontId="1" type="noConversion"/>
  </si>
  <si>
    <t>10'09</t>
    <phoneticPr fontId="1" type="noConversion"/>
  </si>
  <si>
    <t>1'32</t>
    <phoneticPr fontId="1" type="noConversion"/>
  </si>
  <si>
    <t>9'01</t>
    <phoneticPr fontId="1" type="noConversion"/>
  </si>
  <si>
    <t>9'55</t>
    <phoneticPr fontId="1" type="noConversion"/>
  </si>
  <si>
    <t>8'25</t>
    <phoneticPr fontId="1" type="noConversion"/>
  </si>
  <si>
    <t>9'42</t>
    <phoneticPr fontId="1" type="noConversion"/>
  </si>
  <si>
    <t>1'40</t>
    <phoneticPr fontId="1" type="noConversion"/>
  </si>
  <si>
    <t>9'05</t>
    <phoneticPr fontId="1" type="noConversion"/>
  </si>
  <si>
    <t>1'34</t>
    <phoneticPr fontId="1" type="noConversion"/>
  </si>
  <si>
    <t>9'28</t>
    <phoneticPr fontId="1" type="noConversion"/>
  </si>
  <si>
    <t>9'12</t>
    <phoneticPr fontId="1" type="noConversion"/>
  </si>
  <si>
    <t>10'27</t>
    <phoneticPr fontId="1" type="noConversion"/>
  </si>
  <si>
    <t>1'36</t>
    <phoneticPr fontId="1" type="noConversion"/>
  </si>
  <si>
    <t>9'23</t>
    <phoneticPr fontId="1" type="noConversion"/>
  </si>
  <si>
    <t>10'23</t>
    <phoneticPr fontId="1" type="noConversion"/>
  </si>
  <si>
    <t>8'54</t>
    <phoneticPr fontId="1" type="noConversion"/>
  </si>
  <si>
    <t>9'36</t>
    <phoneticPr fontId="1" type="noConversion"/>
  </si>
  <si>
    <t>購生豆Ergos</t>
  </si>
  <si>
    <t>1粉桃甜心840 2.花現牡丹555</t>
  </si>
  <si>
    <t>簡家緯咖啡豆</t>
  </si>
  <si>
    <t>1'39</t>
    <phoneticPr fontId="1" type="noConversion"/>
  </si>
  <si>
    <t>8'20</t>
    <phoneticPr fontId="1" type="noConversion"/>
  </si>
  <si>
    <t>9'43</t>
    <phoneticPr fontId="1" type="noConversion"/>
  </si>
  <si>
    <t>1'34</t>
    <phoneticPr fontId="1" type="noConversion"/>
  </si>
  <si>
    <t>9'03</t>
    <phoneticPr fontId="1" type="noConversion"/>
  </si>
  <si>
    <t>9'49</t>
    <phoneticPr fontId="1" type="noConversion"/>
  </si>
  <si>
    <t>1'37</t>
    <phoneticPr fontId="1" type="noConversion"/>
  </si>
  <si>
    <t>9'45</t>
    <phoneticPr fontId="1" type="noConversion"/>
  </si>
  <si>
    <t>10'48</t>
    <phoneticPr fontId="1" type="noConversion"/>
  </si>
  <si>
    <t>9'36</t>
    <phoneticPr fontId="1" type="noConversion"/>
  </si>
  <si>
    <t>10'39</t>
    <phoneticPr fontId="1" type="noConversion"/>
  </si>
  <si>
    <t>1'36</t>
    <phoneticPr fontId="1" type="noConversion"/>
  </si>
  <si>
    <t>9'14</t>
    <phoneticPr fontId="1" type="noConversion"/>
  </si>
  <si>
    <t>1'30</t>
    <phoneticPr fontId="1" type="noConversion"/>
  </si>
  <si>
    <t>9'02</t>
    <phoneticPr fontId="1" type="noConversion"/>
  </si>
  <si>
    <t>10'25</t>
    <phoneticPr fontId="1" type="noConversion"/>
  </si>
  <si>
    <t>9'26</t>
    <phoneticPr fontId="1" type="noConversion"/>
  </si>
  <si>
    <t>10'17</t>
    <phoneticPr fontId="1" type="noConversion"/>
  </si>
  <si>
    <t>1'44</t>
    <phoneticPr fontId="1" type="noConversion"/>
  </si>
  <si>
    <t>9'24</t>
    <phoneticPr fontId="1" type="noConversion"/>
  </si>
  <si>
    <t>10'42</t>
    <phoneticPr fontId="1" type="noConversion"/>
  </si>
  <si>
    <t>9'23</t>
    <phoneticPr fontId="1" type="noConversion"/>
  </si>
  <si>
    <t>10'16</t>
    <phoneticPr fontId="1" type="noConversion"/>
  </si>
  <si>
    <t>1'38</t>
    <phoneticPr fontId="1" type="noConversion"/>
  </si>
  <si>
    <t>9'46</t>
    <phoneticPr fontId="1" type="noConversion"/>
  </si>
  <si>
    <t>10'41</t>
    <phoneticPr fontId="1" type="noConversion"/>
  </si>
  <si>
    <t>9'13</t>
    <phoneticPr fontId="1" type="noConversion"/>
  </si>
  <si>
    <t>9'47</t>
    <phoneticPr fontId="1" type="noConversion"/>
  </si>
  <si>
    <t>1'40</t>
    <phoneticPr fontId="1" type="noConversion"/>
  </si>
  <si>
    <t>10'06</t>
    <phoneticPr fontId="1" type="noConversion"/>
  </si>
  <si>
    <t>1'35</t>
    <phoneticPr fontId="1" type="noConversion"/>
  </si>
  <si>
    <t>9'51</t>
    <phoneticPr fontId="1" type="noConversion"/>
  </si>
  <si>
    <t>10'57</t>
    <phoneticPr fontId="1" type="noConversion"/>
  </si>
  <si>
    <t>9'32</t>
    <phoneticPr fontId="1" type="noConversion"/>
  </si>
  <si>
    <t>1'33</t>
    <phoneticPr fontId="1" type="noConversion"/>
  </si>
  <si>
    <t>10'12</t>
    <phoneticPr fontId="1" type="noConversion"/>
  </si>
  <si>
    <t>8'52</t>
    <phoneticPr fontId="1" type="noConversion"/>
  </si>
  <si>
    <t>10'22</t>
    <phoneticPr fontId="1" type="noConversion"/>
  </si>
  <si>
    <t>1'42</t>
    <phoneticPr fontId="1" type="noConversion"/>
  </si>
  <si>
    <t>9'55</t>
    <phoneticPr fontId="1" type="noConversion"/>
  </si>
  <si>
    <t>大哥6/2贈</t>
    <phoneticPr fontId="1" type="noConversion"/>
  </si>
  <si>
    <t>ivy</t>
    <phoneticPr fontId="1" type="noConversion"/>
  </si>
  <si>
    <t>婷</t>
    <phoneticPr fontId="1" type="noConversion"/>
  </si>
  <si>
    <t>cora-200/婷-200</t>
    <phoneticPr fontId="1" type="noConversion"/>
  </si>
  <si>
    <t>老爸</t>
    <phoneticPr fontId="1" type="noConversion"/>
  </si>
  <si>
    <t>蓓200/cora200</t>
    <phoneticPr fontId="1" type="noConversion"/>
  </si>
  <si>
    <t>蓓200</t>
    <phoneticPr fontId="1" type="noConversion"/>
  </si>
  <si>
    <t>IVY</t>
    <phoneticPr fontId="1" type="noConversion"/>
  </si>
  <si>
    <t>CORA-200</t>
    <phoneticPr fontId="1" type="noConversion"/>
  </si>
  <si>
    <t>cora</t>
    <phoneticPr fontId="1" type="noConversion"/>
  </si>
  <si>
    <t>耶加雪菲</t>
    <phoneticPr fontId="1" type="noConversion"/>
  </si>
  <si>
    <t>艾瑞加處理廠</t>
  </si>
  <si>
    <t>衣索比亞 耶加雪菲 艾瑞加 日晒 G1
Ethiopia Yirgacheffe Aricha Natural
風味：百香果，橘子汽水，芳香萬壽菊，檸檬紅茶尾韻。
24.eth.natural.yirgacheffe.aricha</t>
    <phoneticPr fontId="1" type="noConversion"/>
  </si>
  <si>
    <t>橋巴</t>
    <phoneticPr fontId="1" type="noConversion"/>
  </si>
  <si>
    <t>衣索比亞 耶加雪菲 橋巴 水洗 G1
Ethiopia Yirgacheffe Chelba
風味：桂花烏龍，金棗，桃子，綜合莓果，蜂蜜甜 ，白巧克力。
24.eth.natural.yirgacheffe.chelba</t>
    <phoneticPr fontId="1" type="noConversion"/>
  </si>
  <si>
    <t>南希寶</t>
    <phoneticPr fontId="1" type="noConversion"/>
  </si>
  <si>
    <t>Kasim</t>
    <phoneticPr fontId="1" type="noConversion"/>
  </si>
  <si>
    <t>衣索比亞 南希寶 藝妓 日晒 G1
Ethiopia Nensebo Geisha Natural
風味：白花香，檸檬，桃子，滑順口感，蜂蜜，黑糖甜。柚，黃糖奶油感。
25.eth.natural.nensebo.kasim</t>
    <phoneticPr fontId="1" type="noConversion"/>
  </si>
  <si>
    <t>衣索比亞 南希寶 藝妓 水洗 G1
Ethiopia Nensebo Geisha Washed
風味：白花香，檸檬，桃子，滑順口感，蜂蜜，黑糖甜。
25.eth.washed.nensebo.kasim</t>
    <phoneticPr fontId="1" type="noConversion"/>
  </si>
  <si>
    <t>古吉</t>
    <phoneticPr fontId="1" type="noConversion"/>
  </si>
  <si>
    <t>衣索比亞 古吉 罕貝拉 蜜桃笑 水洗 G1
Ethiopia Guji Hambella Washed G1
風味：小白花，水蜜桃，蔗糖，檸檬紅茶。
25.eth.washed.guji.</t>
    <phoneticPr fontId="1" type="noConversion"/>
  </si>
  <si>
    <t>衣索比亞 古吉 罕貝拉 阿比比 水洗 G2
Ethiopia Guji Hambella Abebe Washed G2
風味：小白花香，白葡萄，椰子糖，口感清爽。
25.eth.washed.guji.abebe</t>
    <phoneticPr fontId="1" type="noConversion"/>
  </si>
  <si>
    <t>阿比比</t>
    <phoneticPr fontId="1" type="noConversion"/>
  </si>
  <si>
    <t>cora</t>
    <phoneticPr fontId="1" type="noConversion"/>
  </si>
  <si>
    <r>
      <t>cora</t>
    </r>
    <r>
      <rPr>
        <sz val="10"/>
        <color theme="1"/>
        <rFont val="新細明體"/>
        <family val="1"/>
        <charset val="136"/>
      </rPr>
      <t>咖啡豆</t>
    </r>
    <phoneticPr fontId="1" type="noConversion"/>
  </si>
  <si>
    <r>
      <rPr>
        <sz val="10"/>
        <color theme="1"/>
        <rFont val="新細明體"/>
        <family val="1"/>
        <charset val="136"/>
      </rPr>
      <t>時潮二館</t>
    </r>
    <r>
      <rPr>
        <sz val="10"/>
        <color theme="1"/>
        <rFont val="Arial"/>
        <family val="2"/>
      </rPr>
      <t>Sammer</t>
    </r>
    <r>
      <rPr>
        <sz val="10"/>
        <color theme="1"/>
        <rFont val="新細明體"/>
        <family val="1"/>
        <charset val="136"/>
      </rPr>
      <t>咖啡</t>
    </r>
    <phoneticPr fontId="1" type="noConversion"/>
  </si>
  <si>
    <r>
      <rPr>
        <sz val="10"/>
        <color theme="1"/>
        <rFont val="新細明體"/>
        <family val="1"/>
        <charset val="136"/>
      </rPr>
      <t>德佈生豆一批</t>
    </r>
    <phoneticPr fontId="1" type="noConversion"/>
  </si>
  <si>
    <t>古吉</t>
    <phoneticPr fontId="1" type="noConversion"/>
  </si>
  <si>
    <t>雅比兔</t>
    <phoneticPr fontId="1" type="noConversion"/>
  </si>
  <si>
    <t>衣索比亞 水洗 古吉 烏拉嘎 雅比兔 G1
Ethiopia Guji Uraga Yabitu Koba Washed G1
風味：乾香為檸檬卡士達、水蜜桃、荔枝與梔子花香氣。入口同樣以酸甜的檸檬卡士達、水蜜桃汁、荔枝果凍風味為主軸，伴隨著佛手柑、梔子花及蜂蜜柚子，風味強勁甜美。
25.eth.washed.guji.yabitu</t>
    <phoneticPr fontId="1" type="noConversion"/>
  </si>
  <si>
    <t>西達馬</t>
    <phoneticPr fontId="1" type="noConversion"/>
  </si>
  <si>
    <t>衣索比亞 水洗 西達馬 桃子甜心/桃可可25/01批次G1
Ethiopia Washed Sidama Twakok G1 Lot 25/01
風味：香濃撲鼻的水蜜桃、佛手柑、檸檬皮及甜花香·入口時以香甜的水蜜桃、黃檸檬塔及蜂蜜柚子茶為主軸,緊接著浮現佛手柑及茉莉花香,風味飽滿·甜美多汁。
25.eth.washed.sidame.twakok</t>
    <phoneticPr fontId="1" type="noConversion"/>
  </si>
  <si>
    <t>老山羊</t>
    <phoneticPr fontId="1" type="noConversion"/>
  </si>
  <si>
    <t>瓜地馬拉 水洗 薇薇特南果 老山羊莊園
Guatemala Huehuetenango  Finca Sandoval washed
風味：蜜桃可可香氣，櫻桃、水蜜桃、蔗糖類醇厚的口感，奶油與水果調的尾韻，多層次的口感。
24.gtm.washed.huehuetenango.sandoval</t>
    <phoneticPr fontId="1" type="noConversion"/>
  </si>
  <si>
    <t>Joy濾掛12包</t>
  </si>
  <si>
    <t>大姐同事濾掛2盒</t>
  </si>
  <si>
    <t>Astrid 濾掛20包</t>
  </si>
  <si>
    <t>Ivy 訂粉桃甜心及玉荷包</t>
  </si>
  <si>
    <t>蕙婷訂咖啡豆</t>
  </si>
  <si>
    <t>1'38</t>
    <phoneticPr fontId="1" type="noConversion"/>
  </si>
  <si>
    <t>9'50</t>
    <phoneticPr fontId="1" type="noConversion"/>
  </si>
  <si>
    <t>11'52</t>
    <phoneticPr fontId="1" type="noConversion"/>
  </si>
  <si>
    <t>吳志煌</t>
    <phoneticPr fontId="1" type="noConversion"/>
  </si>
  <si>
    <t>1'35</t>
    <phoneticPr fontId="1" type="noConversion"/>
  </si>
  <si>
    <t>9'49</t>
    <phoneticPr fontId="1" type="noConversion"/>
  </si>
  <si>
    <t>11'41</t>
    <phoneticPr fontId="1" type="noConversion"/>
  </si>
  <si>
    <t>1'39</t>
    <phoneticPr fontId="1" type="noConversion"/>
  </si>
  <si>
    <t>9'40</t>
    <phoneticPr fontId="1" type="noConversion"/>
  </si>
  <si>
    <t>11'00</t>
    <phoneticPr fontId="1" type="noConversion"/>
  </si>
  <si>
    <t>Cindy</t>
    <phoneticPr fontId="1" type="noConversion"/>
  </si>
  <si>
    <t>1'37</t>
    <phoneticPr fontId="1" type="noConversion"/>
  </si>
  <si>
    <t>10'09</t>
    <phoneticPr fontId="1" type="noConversion"/>
  </si>
  <si>
    <t>11'23</t>
    <phoneticPr fontId="1" type="noConversion"/>
  </si>
  <si>
    <t>1'34</t>
    <phoneticPr fontId="1" type="noConversion"/>
  </si>
  <si>
    <t>10'34</t>
    <phoneticPr fontId="1" type="noConversion"/>
  </si>
  <si>
    <t>11'15</t>
    <phoneticPr fontId="1" type="noConversion"/>
  </si>
  <si>
    <t>黃佳慧</t>
    <phoneticPr fontId="1" type="noConversion"/>
  </si>
  <si>
    <t>1'29</t>
    <phoneticPr fontId="1" type="noConversion"/>
  </si>
  <si>
    <t>9'26</t>
    <phoneticPr fontId="1" type="noConversion"/>
  </si>
  <si>
    <t>10'24</t>
    <phoneticPr fontId="1" type="noConversion"/>
  </si>
  <si>
    <t>9'44</t>
    <phoneticPr fontId="1" type="noConversion"/>
  </si>
  <si>
    <t>10'27</t>
    <phoneticPr fontId="1" type="noConversion"/>
  </si>
  <si>
    <t>8'59</t>
    <phoneticPr fontId="1" type="noConversion"/>
  </si>
  <si>
    <t>8'06</t>
    <phoneticPr fontId="1" type="noConversion"/>
  </si>
  <si>
    <t>9'13</t>
    <phoneticPr fontId="1" type="noConversion"/>
  </si>
  <si>
    <t>8'08</t>
    <phoneticPr fontId="1" type="noConversion"/>
  </si>
  <si>
    <t>9'15</t>
    <phoneticPr fontId="1" type="noConversion"/>
  </si>
  <si>
    <t>Johan,追#499</t>
    <phoneticPr fontId="1" type="noConversion"/>
  </si>
  <si>
    <t>9'32</t>
    <phoneticPr fontId="1" type="noConversion"/>
  </si>
  <si>
    <t>10'23</t>
    <phoneticPr fontId="1" type="noConversion"/>
  </si>
  <si>
    <t>1'40</t>
    <phoneticPr fontId="1" type="noConversion"/>
  </si>
  <si>
    <t>9'14</t>
    <phoneticPr fontId="1" type="noConversion"/>
  </si>
  <si>
    <t>20'19</t>
    <phoneticPr fontId="1" type="noConversion"/>
  </si>
  <si>
    <t>果丁丁</t>
  </si>
  <si>
    <t>果丁丁</t>
    <phoneticPr fontId="1" type="noConversion"/>
  </si>
  <si>
    <t>克拉瑪</t>
    <phoneticPr fontId="1" type="noConversion"/>
  </si>
  <si>
    <t>芭絲特</t>
    <phoneticPr fontId="1" type="noConversion"/>
  </si>
  <si>
    <t>天使藝妓</t>
    <phoneticPr fontId="1" type="noConversion"/>
  </si>
  <si>
    <t>衣索比亞 果丁丁 天使處理站 藝妓 G1 日晒
Ethiopia Natural Gotiti Angel Geisha G1
風味：芳香萬壽菊、百香果、葡萄、蘋果、檸檬
25.eth.natural.gotiti.angel</t>
    <phoneticPr fontId="1" type="noConversion"/>
  </si>
  <si>
    <t>古吉</t>
    <phoneticPr fontId="1" type="noConversion"/>
  </si>
  <si>
    <t>豆超</t>
    <phoneticPr fontId="1" type="noConversion"/>
  </si>
  <si>
    <t>衣索比亞 古吉 芭絲特處理站 藝妓 G1 日晒
Ethiopia Natural Guji Bastet Geisha G1
風味：梔子花、晚香玉、百香果、熱帶熟果、蘋果、甜梨
25.eth.natural.guji.bastet</t>
    <phoneticPr fontId="1" type="noConversion"/>
  </si>
  <si>
    <t>西達摩</t>
    <phoneticPr fontId="1" type="noConversion"/>
  </si>
  <si>
    <t>1'36</t>
    <phoneticPr fontId="1" type="noConversion"/>
  </si>
  <si>
    <t>8'49</t>
    <phoneticPr fontId="1" type="noConversion"/>
  </si>
  <si>
    <t>10'08</t>
    <phoneticPr fontId="1" type="noConversion"/>
  </si>
  <si>
    <t>1'29</t>
    <phoneticPr fontId="1" type="noConversion"/>
  </si>
  <si>
    <t>10'11</t>
    <phoneticPr fontId="1" type="noConversion"/>
  </si>
  <si>
    <t>9.09</t>
    <phoneticPr fontId="1" type="noConversion"/>
  </si>
  <si>
    <t>1'31</t>
    <phoneticPr fontId="1" type="noConversion"/>
  </si>
  <si>
    <t>8'57</t>
    <phoneticPr fontId="1" type="noConversion"/>
  </si>
  <si>
    <t>9'57</t>
    <phoneticPr fontId="1" type="noConversion"/>
  </si>
  <si>
    <t>8'47</t>
    <phoneticPr fontId="1" type="noConversion"/>
  </si>
  <si>
    <t>9'49</t>
    <phoneticPr fontId="1" type="noConversion"/>
  </si>
  <si>
    <t>1'35</t>
    <phoneticPr fontId="1" type="noConversion"/>
  </si>
  <si>
    <t>9'51</t>
    <phoneticPr fontId="1" type="noConversion"/>
  </si>
  <si>
    <t>10'53</t>
    <phoneticPr fontId="1" type="noConversion"/>
  </si>
  <si>
    <t>10'40</t>
    <phoneticPr fontId="1" type="noConversion"/>
  </si>
  <si>
    <t>1'32</t>
    <phoneticPr fontId="1" type="noConversion"/>
  </si>
  <si>
    <t>9'44</t>
    <phoneticPr fontId="1" type="noConversion"/>
  </si>
  <si>
    <t>11'05</t>
    <phoneticPr fontId="1" type="noConversion"/>
  </si>
  <si>
    <t>9'17</t>
    <phoneticPr fontId="1" type="noConversion"/>
  </si>
  <si>
    <t>10'35</t>
    <phoneticPr fontId="1" type="noConversion"/>
  </si>
  <si>
    <t>9'21</t>
    <phoneticPr fontId="1" type="noConversion"/>
  </si>
  <si>
    <t>10'49</t>
    <phoneticPr fontId="1" type="noConversion"/>
  </si>
  <si>
    <t>9'36</t>
    <phoneticPr fontId="1" type="noConversion"/>
  </si>
  <si>
    <t>11'36</t>
    <phoneticPr fontId="1" type="noConversion"/>
  </si>
  <si>
    <t>1'33</t>
    <phoneticPr fontId="1" type="noConversion"/>
  </si>
  <si>
    <t>9'36</t>
    <phoneticPr fontId="1" type="noConversion"/>
  </si>
  <si>
    <t>10'40</t>
    <phoneticPr fontId="1" type="noConversion"/>
  </si>
  <si>
    <t>1'37</t>
    <phoneticPr fontId="1" type="noConversion"/>
  </si>
  <si>
    <t>9'26</t>
    <phoneticPr fontId="1" type="noConversion"/>
  </si>
  <si>
    <t>10'30</t>
    <phoneticPr fontId="1" type="noConversion"/>
  </si>
  <si>
    <t>1'35</t>
    <phoneticPr fontId="1" type="noConversion"/>
  </si>
  <si>
    <t>10'31</t>
    <phoneticPr fontId="1" type="noConversion"/>
  </si>
  <si>
    <t>1'38</t>
    <phoneticPr fontId="1" type="noConversion"/>
  </si>
  <si>
    <t>9'12</t>
    <phoneticPr fontId="1" type="noConversion"/>
  </si>
  <si>
    <t>10'18</t>
    <phoneticPr fontId="1" type="noConversion"/>
  </si>
  <si>
    <t>娜-5包</t>
    <phoneticPr fontId="1" type="noConversion"/>
  </si>
  <si>
    <t>志儒-200g</t>
    <phoneticPr fontId="1" type="noConversion"/>
  </si>
  <si>
    <t>200g二姐，娜10包</t>
    <phoneticPr fontId="1" type="noConversion"/>
  </si>
  <si>
    <t>婷200，志儒-200</t>
    <phoneticPr fontId="1" type="noConversion"/>
  </si>
  <si>
    <t>自用</t>
    <phoneticPr fontId="1" type="noConversion"/>
  </si>
  <si>
    <t>婷-200g-娜5包</t>
    <phoneticPr fontId="1" type="noConversion"/>
  </si>
  <si>
    <t>婷</t>
    <phoneticPr fontId="1" type="noConversion"/>
  </si>
  <si>
    <t>婷-補</t>
    <phoneticPr fontId="1" type="noConversion"/>
  </si>
  <si>
    <t>二姐代烘</t>
    <phoneticPr fontId="1" type="noConversion"/>
  </si>
  <si>
    <t>跟Angel團果丁丁日曬4kg及芭絲特藝妓3kg</t>
  </si>
  <si>
    <t>跟若雯買生豆5kg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</si>
</sst>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m&quot;月&quot;d&quot;日&quot;"/>
    <numFmt numFmtId="177" formatCode="0.0_);[Red]\(0.0\)"/>
    <numFmt numFmtId="178" formatCode="0_);[Red]\(0\)"/>
    <numFmt numFmtId="179" formatCode="0.00_);[Red]\(0.00\)"/>
    <numFmt numFmtId="180" formatCode="_-* #,##0_-;\-* #,##0_-;_-* &quot;-&quot;??_-;_-@_-"/>
  </numFmts>
  <fonts count="3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細明體"/>
      <family val="2"/>
      <charset val="136"/>
    </font>
    <font>
      <sz val="12"/>
      <color theme="1"/>
      <name val="新細明體"/>
      <family val="2"/>
      <charset val="136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2"/>
      <color theme="1"/>
      <name val="新細明體"/>
      <family val="2"/>
      <charset val="136"/>
      <scheme val="minor"/>
    </font>
    <font>
      <sz val="10"/>
      <color rgb="FF000000"/>
      <name val="Segoe UI"/>
      <family val="2"/>
    </font>
    <font>
      <sz val="10"/>
      <color rgb="FF000000"/>
      <name val="微軟正黑體"/>
      <family val="2"/>
      <charset val="136"/>
    </font>
    <font>
      <sz val="10"/>
      <color rgb="FF000000"/>
      <name val="新細明體"/>
      <family val="2"/>
      <charset val="136"/>
    </font>
    <font>
      <sz val="10"/>
      <color rgb="FF000000"/>
      <name val="Segoe UI"/>
      <family val="2"/>
      <charset val="136"/>
    </font>
    <font>
      <sz val="12"/>
      <color theme="1"/>
      <name val="Microsoft JhengHei UI"/>
      <family val="2"/>
      <charset val="134"/>
    </font>
    <font>
      <sz val="12"/>
      <color theme="1"/>
      <name val="Microsoft JhengHei UI"/>
      <family val="2"/>
      <charset val="136"/>
    </font>
    <font>
      <sz val="10"/>
      <color rgb="FF333333"/>
      <name val="Noto Sans TC"/>
      <family val="2"/>
    </font>
    <font>
      <sz val="10"/>
      <color rgb="FF333333"/>
      <name val="微軟正黑體"/>
      <family val="2"/>
      <charset val="136"/>
    </font>
    <font>
      <sz val="10"/>
      <color rgb="FF000000"/>
      <name val="Arial"/>
      <family val="2"/>
    </font>
    <font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sz val="10"/>
      <color theme="1"/>
      <name val="細明體"/>
      <family val="2"/>
      <charset val="136"/>
    </font>
    <font>
      <sz val="10"/>
      <color theme="1"/>
      <name val="新細明體"/>
      <family val="1"/>
      <charset val="136"/>
    </font>
    <font>
      <sz val="10"/>
      <color rgb="FF262B2C"/>
      <name val="Arial"/>
      <family val="2"/>
    </font>
    <font>
      <sz val="10"/>
      <color theme="1"/>
      <name val="Arial"/>
      <family val="1"/>
      <charset val="136"/>
    </font>
    <font>
      <sz val="10"/>
      <color theme="1"/>
      <name val="細明體"/>
      <family val="1"/>
      <charset val="136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  <charset val="136"/>
    </font>
    <font>
      <sz val="12"/>
      <color rgb="FF262B2C"/>
      <name val="微軟正黑體"/>
      <family val="2"/>
      <charset val="136"/>
    </font>
    <font>
      <sz val="10"/>
      <color rgb="FF21252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medium">
        <color rgb="FFCCCCCC"/>
      </top>
      <bottom style="medium">
        <color rgb="FFCCCCCC"/>
      </bottom>
      <diagonal/>
    </border>
    <border>
      <left style="double">
        <color rgb="FFFF0000"/>
      </left>
      <right style="double">
        <color rgb="FFFF0000"/>
      </right>
      <top/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0" fillId="5" borderId="0" xfId="0" applyFill="1">
      <alignment vertical="center"/>
    </xf>
    <xf numFmtId="0" fontId="2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76" fontId="2" fillId="0" borderId="4" xfId="0" applyNumberFormat="1" applyFont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5" borderId="12" xfId="0" applyFill="1" applyBorder="1">
      <alignment vertical="center"/>
    </xf>
    <xf numFmtId="0" fontId="0" fillId="0" borderId="13" xfId="0" applyBorder="1">
      <alignment vertical="center"/>
    </xf>
    <xf numFmtId="14" fontId="0" fillId="0" borderId="0" xfId="0" applyNumberFormat="1">
      <alignment vertical="center"/>
    </xf>
    <xf numFmtId="0" fontId="7" fillId="6" borderId="2" xfId="0" applyFont="1" applyFill="1" applyBorder="1" applyAlignment="1">
      <alignment vertical="center" wrapText="1"/>
    </xf>
    <xf numFmtId="49" fontId="0" fillId="5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 wrapText="1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0" fontId="0" fillId="5" borderId="0" xfId="0" applyNumberFormat="1" applyFill="1">
      <alignment vertical="center"/>
    </xf>
    <xf numFmtId="10" fontId="0" fillId="0" borderId="0" xfId="0" applyNumberFormat="1">
      <alignment vertical="center"/>
    </xf>
    <xf numFmtId="49" fontId="0" fillId="0" borderId="0" xfId="0" applyNumberFormat="1" applyAlignment="1">
      <alignment vertical="top"/>
    </xf>
    <xf numFmtId="14" fontId="0" fillId="5" borderId="0" xfId="0" applyNumberFormat="1" applyFill="1">
      <alignment vertical="center"/>
    </xf>
    <xf numFmtId="9" fontId="0" fillId="0" borderId="0" xfId="1" applyFont="1">
      <alignment vertical="center"/>
    </xf>
    <xf numFmtId="0" fontId="0" fillId="0" borderId="14" xfId="0" applyBorder="1">
      <alignment vertical="center"/>
    </xf>
    <xf numFmtId="0" fontId="0" fillId="7" borderId="16" xfId="0" applyFill="1" applyBorder="1">
      <alignment vertical="center"/>
    </xf>
    <xf numFmtId="0" fontId="0" fillId="7" borderId="0" xfId="0" applyFill="1">
      <alignment vertical="center"/>
    </xf>
    <xf numFmtId="0" fontId="0" fillId="7" borderId="14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7" borderId="24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25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15" xfId="0" applyFill="1" applyBorder="1">
      <alignment vertical="center"/>
    </xf>
    <xf numFmtId="0" fontId="0" fillId="9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7" xfId="0" applyFill="1" applyBorder="1">
      <alignment vertical="center"/>
    </xf>
    <xf numFmtId="0" fontId="0" fillId="10" borderId="5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7" xfId="0" applyFill="1" applyBorder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4" fillId="0" borderId="0" xfId="0" applyFont="1" applyAlignment="1">
      <alignment vertical="center" wrapText="1"/>
    </xf>
    <xf numFmtId="1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11" borderId="0" xfId="0" applyFill="1" applyAlignment="1">
      <alignment vertical="center" wrapText="1"/>
    </xf>
    <xf numFmtId="178" fontId="0" fillId="5" borderId="0" xfId="0" applyNumberFormat="1" applyFill="1">
      <alignment vertical="center"/>
    </xf>
    <xf numFmtId="177" fontId="0" fillId="5" borderId="29" xfId="0" applyNumberFormat="1" applyFill="1" applyBorder="1">
      <alignment vertical="center"/>
    </xf>
    <xf numFmtId="177" fontId="0" fillId="5" borderId="30" xfId="0" applyNumberFormat="1" applyFill="1" applyBorder="1">
      <alignment vertical="center"/>
    </xf>
    <xf numFmtId="177" fontId="0" fillId="0" borderId="32" xfId="0" applyNumberFormat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14" fontId="0" fillId="0" borderId="32" xfId="0" applyNumberFormat="1" applyBorder="1">
      <alignment vertical="center"/>
    </xf>
    <xf numFmtId="180" fontId="0" fillId="12" borderId="0" xfId="2" applyNumberFormat="1" applyFont="1" applyFill="1" applyAlignment="1">
      <alignment horizontal="left" vertical="center"/>
    </xf>
    <xf numFmtId="49" fontId="0" fillId="7" borderId="0" xfId="0" applyNumberFormat="1" applyFill="1">
      <alignment vertical="center"/>
    </xf>
    <xf numFmtId="0" fontId="0" fillId="7" borderId="0" xfId="0" applyFill="1" applyAlignment="1">
      <alignment vertical="center" wrapText="1"/>
    </xf>
    <xf numFmtId="49" fontId="0" fillId="7" borderId="0" xfId="0" applyNumberFormat="1" applyFill="1" applyAlignment="1">
      <alignment vertical="top"/>
    </xf>
    <xf numFmtId="180" fontId="0" fillId="0" borderId="0" xfId="2" applyNumberFormat="1" applyFont="1">
      <alignment vertical="center"/>
    </xf>
    <xf numFmtId="0" fontId="0" fillId="0" borderId="6" xfId="0" applyBorder="1">
      <alignment vertical="center"/>
    </xf>
    <xf numFmtId="180" fontId="0" fillId="0" borderId="7" xfId="2" applyNumberFormat="1" applyFont="1" applyBorder="1">
      <alignment vertical="center"/>
    </xf>
    <xf numFmtId="180" fontId="0" fillId="0" borderId="9" xfId="2" applyNumberFormat="1" applyFont="1" applyBorder="1">
      <alignment vertical="center"/>
    </xf>
    <xf numFmtId="180" fontId="0" fillId="0" borderId="11" xfId="2" applyNumberFormat="1" applyFont="1" applyBorder="1">
      <alignment vertical="center"/>
    </xf>
    <xf numFmtId="179" fontId="0" fillId="5" borderId="0" xfId="0" applyNumberFormat="1" applyFill="1" applyAlignment="1">
      <alignment vertical="center" wrapText="1"/>
    </xf>
    <xf numFmtId="49" fontId="0" fillId="5" borderId="0" xfId="0" applyNumberFormat="1" applyFill="1" applyAlignment="1">
      <alignment horizontal="center" vertical="center" wrapText="1"/>
    </xf>
    <xf numFmtId="0" fontId="0" fillId="4" borderId="31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3" xfId="0" applyFill="1" applyBorder="1">
      <alignment vertical="center"/>
    </xf>
    <xf numFmtId="178" fontId="0" fillId="4" borderId="31" xfId="0" applyNumberFormat="1" applyFill="1" applyBorder="1">
      <alignment vertical="center"/>
    </xf>
    <xf numFmtId="178" fontId="0" fillId="2" borderId="31" xfId="0" applyNumberFormat="1" applyFill="1" applyBorder="1">
      <alignment vertical="center"/>
    </xf>
    <xf numFmtId="178" fontId="0" fillId="3" borderId="31" xfId="0" applyNumberFormat="1" applyFill="1" applyBorder="1">
      <alignment vertical="center"/>
    </xf>
    <xf numFmtId="178" fontId="0" fillId="3" borderId="33" xfId="0" applyNumberForma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4" borderId="3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177" fontId="0" fillId="5" borderId="28" xfId="0" applyNumberFormat="1" applyFill="1" applyBorder="1">
      <alignment vertical="center"/>
    </xf>
    <xf numFmtId="177" fontId="0" fillId="0" borderId="31" xfId="0" applyNumberFormat="1" applyBorder="1">
      <alignment vertical="center"/>
    </xf>
    <xf numFmtId="0" fontId="19" fillId="0" borderId="0" xfId="0" applyFont="1">
      <alignment vertical="center"/>
    </xf>
    <xf numFmtId="0" fontId="0" fillId="13" borderId="0" xfId="0" applyFill="1">
      <alignment vertical="center"/>
    </xf>
    <xf numFmtId="14" fontId="0" fillId="13" borderId="0" xfId="0" applyNumberFormat="1" applyFill="1">
      <alignment vertical="center"/>
    </xf>
    <xf numFmtId="38" fontId="0" fillId="13" borderId="0" xfId="2" applyNumberFormat="1" applyFont="1" applyFill="1">
      <alignment vertical="center"/>
    </xf>
    <xf numFmtId="38" fontId="0" fillId="0" borderId="0" xfId="0" applyNumberFormat="1">
      <alignment vertical="center"/>
    </xf>
    <xf numFmtId="38" fontId="0" fillId="0" borderId="0" xfId="2" applyNumberFormat="1" applyFont="1">
      <alignment vertical="center"/>
    </xf>
    <xf numFmtId="0" fontId="20" fillId="13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49" fontId="27" fillId="0" borderId="0" xfId="0" applyNumberFormat="1" applyFont="1">
      <alignment vertical="center"/>
    </xf>
    <xf numFmtId="0" fontId="28" fillId="0" borderId="0" xfId="0" applyFont="1" applyAlignment="1">
      <alignment vertical="center" wrapText="1"/>
    </xf>
    <xf numFmtId="40" fontId="0" fillId="13" borderId="0" xfId="2" applyNumberFormat="1" applyFont="1" applyFill="1">
      <alignment vertical="center"/>
    </xf>
    <xf numFmtId="40" fontId="0" fillId="0" borderId="0" xfId="2" applyNumberFormat="1" applyFont="1">
      <alignment vertical="center"/>
    </xf>
    <xf numFmtId="0" fontId="21" fillId="0" borderId="37" xfId="0" applyFont="1" applyBorder="1" applyAlignment="1">
      <alignment wrapText="1"/>
    </xf>
    <xf numFmtId="0" fontId="30" fillId="0" borderId="37" xfId="0" applyFont="1" applyBorder="1" applyAlignment="1">
      <alignment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1" fillId="0" borderId="0" xfId="0" applyFont="1" applyAlignment="1">
      <alignment wrapText="1"/>
    </xf>
    <xf numFmtId="0" fontId="21" fillId="0" borderId="38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9" fontId="0" fillId="3" borderId="34" xfId="1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0" fillId="4" borderId="0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9" fontId="0" fillId="3" borderId="34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9" fontId="0" fillId="4" borderId="1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2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ont>
        <strike/>
        <color theme="1"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theme="5" tint="-0.2499465926084170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432990</xdr:colOff>
      <xdr:row>110</xdr:row>
      <xdr:rowOff>196507</xdr:rowOff>
    </xdr:from>
    <xdr:to>
      <xdr:col>25</xdr:col>
      <xdr:colOff>454260</xdr:colOff>
      <xdr:row>111</xdr:row>
      <xdr:rowOff>35353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筆跡 7">
              <a:extLst>
                <a:ext uri="{FF2B5EF4-FFF2-40B4-BE49-F238E27FC236}">
                  <a16:creationId xmlns:a16="http://schemas.microsoft.com/office/drawing/2014/main" id="{77CD2B3B-720E-0C2F-136A-FB468BBDBFDB}"/>
                </a:ext>
              </a:extLst>
            </xdr14:cNvPr>
            <xdr14:cNvContentPartPr/>
          </xdr14:nvContentPartPr>
          <xdr14:nvPr macro=""/>
          <xdr14:xfrm>
            <a:off x="16825515" y="1039470"/>
            <a:ext cx="5400" cy="19080"/>
          </xdr14:xfrm>
        </xdr:contentPart>
      </mc:Choice>
      <mc:Fallback xmlns="">
        <xdr:pic>
          <xdr:nvPicPr>
            <xdr:cNvPr id="8" name="筆跡 7">
              <a:extLst>
                <a:ext uri="{FF2B5EF4-FFF2-40B4-BE49-F238E27FC236}">
                  <a16:creationId xmlns:a16="http://schemas.microsoft.com/office/drawing/2014/main" id="{77CD2B3B-720E-0C2F-136A-FB468BBDBF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819395" y="1033350"/>
              <a:ext cx="17640" cy="31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8T11:08:59.5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57 123 13360 0 0,'0'-5'198'0'0,"-3"-11"-98"0"0,-32-10 1092 0 0,24 23 78 0 0,11 0-871 0 0,0-10-268 0 0,-3-2-118 0 0,3-1-13 0 0,-4-4-14 0 0,4 14-58 0 0</inkml:trace>
</inkml: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zenyo" id="{701BE831-E735-407B-A531-58124E02F963}">
    <nsvFilter filterId="{66A1624E-FD39-4063-AE2C-FD4B80532631}" ref="A1:AJ1501" tableId="0">
      <columnFilter colId="3">
        <filter colId="3">
          <x:filters>
            <x:filter val="43"/>
          </x:filters>
        </filter>
      </columnFilter>
      <sortRules>
        <sortRule colId="0">
          <sortCondition ref="A1:A1501"/>
        </sortRule>
      </sortRules>
    </nsvFilter>
  </namedSheetView>
</namedSheetView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24E-FD39-4063-AE2C-FD4B80532631}">
  <dimension ref="A1:AK1501"/>
  <sheetViews>
    <sheetView workbookViewId="0">
      <pane xSplit="2" ySplit="1" topLeftCell="C639" activePane="bottomRight" state="frozen"/>
      <selection pane="topRight" activeCell="C1" sqref="C1"/>
      <selection pane="bottomLeft" activeCell="A2" sqref="A2"/>
      <selection pane="bottomRight" activeCell="AJ678" sqref="AJ678"/>
    </sheetView>
  </sheetViews>
  <sheetFormatPr defaultRowHeight="16.2" x14ac:dyDescent="0.3"/>
  <cols>
    <col min="1" max="4" width="8.44140625" bestFit="1" customWidth="1"/>
    <col min="5" max="5" width="12.77734375" bestFit="1" customWidth="1"/>
    <col min="6" max="6" width="12.77734375" style="22" bestFit="1" customWidth="1"/>
    <col min="7" max="7" width="6.109375" customWidth="1"/>
    <col min="8" max="8" width="13.21875" bestFit="1" customWidth="1"/>
    <col min="9" max="9" width="10.44140625" bestFit="1" customWidth="1"/>
    <col min="10" max="12" width="8.44140625" bestFit="1" customWidth="1"/>
    <col min="13" max="13" width="8.44140625" style="68" bestFit="1" customWidth="1"/>
    <col min="14" max="14" width="8.21875" bestFit="1" customWidth="1"/>
    <col min="15" max="15" width="8.21875" hidden="1" customWidth="1"/>
    <col min="16" max="16" width="10.44140625" style="67" bestFit="1" customWidth="1"/>
    <col min="17" max="17" width="10.44140625" style="68" bestFit="1" customWidth="1"/>
    <col min="18" max="18" width="10.44140625" style="67" bestFit="1" customWidth="1"/>
    <col min="19" max="19" width="10.44140625" style="68" bestFit="1" customWidth="1"/>
    <col min="20" max="20" width="8.21875" style="68" customWidth="1"/>
    <col min="21" max="21" width="8.21875" style="66" bestFit="1" customWidth="1"/>
    <col min="22" max="22" width="8.21875" style="66" customWidth="1"/>
    <col min="23" max="23" width="10.44140625" style="66" bestFit="1" customWidth="1"/>
    <col min="24" max="24" width="11.88671875" style="19" bestFit="1" customWidth="1"/>
    <col min="25" max="25" width="10.44140625" style="26" bestFit="1" customWidth="1"/>
    <col min="26" max="27" width="9.109375" style="61" customWidth="1"/>
    <col min="28" max="28" width="8.44140625" style="28" bestFit="1" customWidth="1"/>
    <col min="29" max="29" width="8.21875" style="110" bestFit="1" customWidth="1"/>
    <col min="30" max="30" width="8.21875" style="26" bestFit="1" customWidth="1"/>
    <col min="31" max="31" width="6.77734375" style="26" bestFit="1" customWidth="1"/>
    <col min="32" max="32" width="7.44140625" style="77" customWidth="1"/>
    <col min="33" max="33" width="9.44140625" style="80" bestFit="1" customWidth="1"/>
    <col min="34" max="34" width="27.77734375" style="81" bestFit="1" customWidth="1"/>
    <col min="35" max="35" width="47.44140625" customWidth="1"/>
    <col min="36" max="36" width="84.44140625" style="23" bestFit="1" customWidth="1"/>
    <col min="37" max="37" width="65.109375" bestFit="1" customWidth="1"/>
  </cols>
  <sheetData>
    <row r="1" spans="1:37" ht="34.35" customHeight="1" x14ac:dyDescent="0.3">
      <c r="A1" s="1" t="s">
        <v>0</v>
      </c>
      <c r="B1" s="1" t="s">
        <v>1</v>
      </c>
      <c r="C1" s="1" t="s">
        <v>2</v>
      </c>
      <c r="D1" s="24" t="s">
        <v>3</v>
      </c>
      <c r="E1" s="1" t="s">
        <v>4</v>
      </c>
      <c r="F1" s="2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1" t="s">
        <v>10</v>
      </c>
      <c r="L1" s="24" t="s">
        <v>11</v>
      </c>
      <c r="M1" s="69" t="s">
        <v>12</v>
      </c>
      <c r="N1" s="24" t="s">
        <v>13</v>
      </c>
      <c r="O1" s="24" t="s">
        <v>14</v>
      </c>
      <c r="P1" s="93" t="s">
        <v>15</v>
      </c>
      <c r="Q1" s="69" t="s">
        <v>16</v>
      </c>
      <c r="R1" s="93" t="s">
        <v>17</v>
      </c>
      <c r="S1" s="69" t="s">
        <v>18</v>
      </c>
      <c r="T1" s="69" t="s">
        <v>19</v>
      </c>
      <c r="U1" s="92" t="s">
        <v>20</v>
      </c>
      <c r="V1" s="92" t="s">
        <v>21</v>
      </c>
      <c r="W1" s="92" t="s">
        <v>22</v>
      </c>
      <c r="X1" s="30" t="s">
        <v>23</v>
      </c>
      <c r="Y1" s="25" t="s">
        <v>24</v>
      </c>
      <c r="Z1" s="74" t="s">
        <v>25</v>
      </c>
      <c r="AA1" s="74" t="s">
        <v>26</v>
      </c>
      <c r="AB1" s="27" t="s">
        <v>27</v>
      </c>
      <c r="AC1" s="109" t="s">
        <v>28</v>
      </c>
      <c r="AD1" s="75" t="s">
        <v>29</v>
      </c>
      <c r="AE1" s="75" t="s">
        <v>30</v>
      </c>
      <c r="AF1" s="76" t="s">
        <v>31</v>
      </c>
      <c r="AG1" s="78" t="s">
        <v>32</v>
      </c>
      <c r="AH1" s="79" t="s">
        <v>33</v>
      </c>
      <c r="AI1" s="1" t="s">
        <v>34</v>
      </c>
      <c r="AJ1" s="24" t="s">
        <v>35</v>
      </c>
      <c r="AK1" s="1" t="s">
        <v>36</v>
      </c>
    </row>
    <row r="2" spans="1:37" x14ac:dyDescent="0.3">
      <c r="A2">
        <v>0.01</v>
      </c>
      <c r="B2">
        <v>500</v>
      </c>
      <c r="E2" t="s">
        <v>37</v>
      </c>
      <c r="F2" s="22" t="str">
        <f>_xlfn.XLOOKUP(E2,menu!$A$2:$A$37,menu!$B$2:$B$37,"")</f>
        <v>Costa Rica</v>
      </c>
      <c r="G2" t="str">
        <f>_xlfn.XLOOKUP(E2,menu!$A$2:$A$37,menu!$C$2:$C$37,"")</f>
        <v>cri</v>
      </c>
      <c r="H2" t="s">
        <v>38</v>
      </c>
      <c r="I2">
        <v>220</v>
      </c>
      <c r="J2">
        <v>70</v>
      </c>
      <c r="K2">
        <v>35</v>
      </c>
      <c r="L2">
        <v>65</v>
      </c>
      <c r="M2" s="68" t="s">
        <v>39</v>
      </c>
      <c r="N2">
        <v>89.4</v>
      </c>
      <c r="O2">
        <v>19.399999999999999</v>
      </c>
      <c r="P2" s="67" t="s">
        <v>40</v>
      </c>
      <c r="Q2" s="68">
        <v>205.5</v>
      </c>
      <c r="R2" s="67" t="s">
        <v>41</v>
      </c>
      <c r="S2" s="68">
        <v>213.4</v>
      </c>
      <c r="T2" s="68">
        <f>_xlfn.LET(_xlpm.x,S2-Q2,IF(_xlpm.x=0,"",_xlpm.x))</f>
        <v>7.9000000000000057</v>
      </c>
      <c r="U2">
        <f t="shared" ref="U2:U27" si="0">_xlfn.LET(_xlpm.x,(TIMEVALUE("0:"&amp;SUBSTITUTE(R2,"'",":"))-TIMEVALUE("0:"&amp;SUBSTITUTE(P2,"'",":")))*86400,IF(_xlpm.x=0,"",ROUND(_xlpm.x,2)))</f>
        <v>82</v>
      </c>
      <c r="V2">
        <f>IFERROR(ROUND(T2*60/U2,1), )</f>
        <v>5.8</v>
      </c>
      <c r="W2">
        <f t="shared" ref="W2:W27" si="1">_xlfn.LET(_xlpm.x,(TIMEVALUE("0:"&amp;SUBSTITUTE(R2,"'",":"))-TIMEVALUE("0:"&amp;SUBSTITUTE(P2,"'",":")))*86400,IF(_xlpm.x=0,"",ROUND(_xlpm.x/((TIMEVALUE("0:"&amp;SUBSTITUTE(R2,"'",":"))-TIMEVALUE("0:0:0"))*864),2)))</f>
        <v>12.06</v>
      </c>
      <c r="Z2" s="61">
        <v>0</v>
      </c>
      <c r="AB2" s="28" t="str">
        <f t="shared" ref="AB2:AB65" si="2">IF(Y2 &gt; 0,(B2-Y2)/B2," ")</f>
        <v xml:space="preserve"> </v>
      </c>
      <c r="AE2" s="61" t="str">
        <f t="shared" ref="AE2:AE27" si="3">_xlfn.LET(_xlpm.x,AD2-AC2,IF(_xlpm.x=0,"",_xlpm.x))</f>
        <v/>
      </c>
      <c r="AF2" s="77" t="str">
        <f>_xlfn.XLOOKUP(AD2,menu!$K$2:$K$9,menu!$J$2:$J$9,"",1)</f>
        <v/>
      </c>
      <c r="AG2" s="80" t="str">
        <f>_xlfn.XLOOKUP(AH2,menu!$O$2:$O$9,menu!$H$2:$H$9,"")</f>
        <v/>
      </c>
      <c r="AI2" t="str">
        <f>_xlfn.LET(_xlpm.x,_xlfn.CONCAT(_xlfn.XLOOKUP(D2,beans!$A$2:$A$300,beans!$J$2:$J$300,"")," / ",_xlfn.XLOOKUP(D2,beans!$A$2:$A$300,beans!$K$2:$K$300,"")," - ",_xlfn.XLOOKUP(D2,beans!$A$2:$A$300,beans!$L$2:$L$300,"")),IF(_xlpm.x=" /  - ","",_xlpm.x))</f>
        <v/>
      </c>
      <c r="AK2" t="s">
        <v>42</v>
      </c>
    </row>
    <row r="3" spans="1:37" x14ac:dyDescent="0.3">
      <c r="A3">
        <v>0.02</v>
      </c>
      <c r="B3">
        <v>500</v>
      </c>
      <c r="E3" t="s">
        <v>43</v>
      </c>
      <c r="F3" s="22" t="str">
        <f>_xlfn.XLOOKUP(E3,menu!$A$2:$A$37,menu!$B$2:$B$37,"")</f>
        <v>Brazli</v>
      </c>
      <c r="G3" t="str">
        <f>_xlfn.XLOOKUP(E3,menu!$A$2:$A$37,menu!$C$2:$C$37,"")</f>
        <v>bra</v>
      </c>
      <c r="H3" t="s">
        <v>44</v>
      </c>
      <c r="I3">
        <v>220</v>
      </c>
      <c r="J3">
        <v>80</v>
      </c>
      <c r="K3">
        <v>30</v>
      </c>
      <c r="L3">
        <v>65</v>
      </c>
      <c r="M3" s="68" t="s">
        <v>45</v>
      </c>
      <c r="N3">
        <v>89.9</v>
      </c>
      <c r="O3">
        <v>24</v>
      </c>
      <c r="P3" s="67" t="s">
        <v>46</v>
      </c>
      <c r="Q3" s="68">
        <v>214.2</v>
      </c>
      <c r="R3" s="67" t="s">
        <v>47</v>
      </c>
      <c r="S3" s="68">
        <v>227.6</v>
      </c>
      <c r="T3" s="68">
        <f t="shared" ref="T3:T27" si="4">_xlfn.LET(_xlpm.x,S3-Q3,IF(_xlpm.x=0,"",_xlpm.x))</f>
        <v>13.400000000000006</v>
      </c>
      <c r="U3">
        <f t="shared" si="0"/>
        <v>107</v>
      </c>
      <c r="V3">
        <f t="shared" ref="V3:V66" si="5">IFERROR(ROUND(T3*60/U3,1), )</f>
        <v>7.5</v>
      </c>
      <c r="W3">
        <f t="shared" si="1"/>
        <v>15.71</v>
      </c>
      <c r="Z3" s="61">
        <v>0</v>
      </c>
      <c r="AB3" s="28" t="str">
        <f t="shared" si="2"/>
        <v xml:space="preserve"> </v>
      </c>
      <c r="AE3" s="61" t="str">
        <f t="shared" si="3"/>
        <v/>
      </c>
      <c r="AF3" s="77" t="str">
        <f>_xlfn.XLOOKUP(AD3,menu!$K$2:$K$9,menu!$J$2:$J$9,"",1)</f>
        <v/>
      </c>
      <c r="AG3" s="80" t="str">
        <f>_xlfn.XLOOKUP(AH3,menu!$O$2:$O$9,menu!$H$2:$H$9,"")</f>
        <v/>
      </c>
      <c r="AI3" t="str">
        <f>_xlfn.LET(_xlpm.x,_xlfn.CONCAT(_xlfn.XLOOKUP(D3,beans!$A$2:$A$300,beans!$J$2:$J$300,"")," / ",_xlfn.XLOOKUP(D3,beans!$A$2:$A$300,beans!$K$2:$K$300,"")," - ",_xlfn.XLOOKUP(D3,beans!$A$2:$A$300,beans!$L$2:$L$300,"")),IF(_xlpm.x=" /  - ","",_xlpm.x))</f>
        <v/>
      </c>
    </row>
    <row r="4" spans="1:37" x14ac:dyDescent="0.3">
      <c r="A4">
        <v>0.03</v>
      </c>
      <c r="B4">
        <v>300</v>
      </c>
      <c r="H4" t="s">
        <v>44</v>
      </c>
      <c r="I4">
        <v>200</v>
      </c>
      <c r="J4">
        <v>60</v>
      </c>
      <c r="K4">
        <v>25</v>
      </c>
      <c r="L4">
        <v>65</v>
      </c>
      <c r="M4" s="68" t="s">
        <v>48</v>
      </c>
      <c r="N4">
        <v>80.099999999999994</v>
      </c>
      <c r="O4">
        <v>17.5</v>
      </c>
      <c r="T4" s="68" t="str">
        <f t="shared" si="4"/>
        <v/>
      </c>
      <c r="U4" t="str">
        <f t="shared" si="0"/>
        <v/>
      </c>
      <c r="V4">
        <f t="shared" si="5"/>
        <v>0</v>
      </c>
      <c r="W4" t="str">
        <f t="shared" si="1"/>
        <v/>
      </c>
      <c r="Z4" s="61">
        <v>0</v>
      </c>
      <c r="AB4" s="28" t="str">
        <f t="shared" si="2"/>
        <v xml:space="preserve"> </v>
      </c>
      <c r="AE4" s="61" t="str">
        <f t="shared" si="3"/>
        <v/>
      </c>
      <c r="AF4" s="77" t="str">
        <f>_xlfn.XLOOKUP(AD4,menu!$K$2:$K$9,menu!$J$2:$J$9,"",1)</f>
        <v/>
      </c>
      <c r="AG4" s="80" t="str">
        <f>_xlfn.XLOOKUP(AH4,menu!$O$2:$O$9,menu!$H$2:$H$9,"")</f>
        <v/>
      </c>
      <c r="AI4" t="str">
        <f>_xlfn.LET(_xlpm.x,_xlfn.CONCAT(_xlfn.XLOOKUP(D4,beans!$A$2:$A$300,beans!$J$2:$J$300,"")," / ",_xlfn.XLOOKUP(D4,beans!$A$2:$A$300,beans!$K$2:$K$300,"")," - ",_xlfn.XLOOKUP(D4,beans!$A$2:$A$300,beans!$L$2:$L$300,"")),IF(_xlpm.x=" /  - ","",_xlpm.x))</f>
        <v/>
      </c>
      <c r="AK4" t="s">
        <v>49</v>
      </c>
    </row>
    <row r="5" spans="1:37" x14ac:dyDescent="0.3">
      <c r="A5">
        <v>0.04</v>
      </c>
      <c r="B5">
        <v>300</v>
      </c>
      <c r="H5" t="s">
        <v>44</v>
      </c>
      <c r="I5">
        <v>210</v>
      </c>
      <c r="J5">
        <v>70</v>
      </c>
      <c r="K5">
        <v>30</v>
      </c>
      <c r="L5">
        <v>65</v>
      </c>
      <c r="M5" s="68" t="s">
        <v>50</v>
      </c>
      <c r="N5">
        <v>86.4</v>
      </c>
      <c r="O5">
        <v>20.2</v>
      </c>
      <c r="T5" s="68" t="str">
        <f t="shared" si="4"/>
        <v/>
      </c>
      <c r="U5" t="str">
        <f t="shared" si="0"/>
        <v/>
      </c>
      <c r="V5">
        <f t="shared" si="5"/>
        <v>0</v>
      </c>
      <c r="W5" t="str">
        <f t="shared" si="1"/>
        <v/>
      </c>
      <c r="Z5" s="61">
        <v>0</v>
      </c>
      <c r="AB5" s="28" t="str">
        <f t="shared" si="2"/>
        <v xml:space="preserve"> </v>
      </c>
      <c r="AE5" s="61" t="str">
        <f t="shared" si="3"/>
        <v/>
      </c>
      <c r="AF5" s="77" t="str">
        <f>_xlfn.XLOOKUP(AD5,menu!$K$2:$K$9,menu!$J$2:$J$9,"",1)</f>
        <v/>
      </c>
      <c r="AG5" s="80" t="str">
        <f>_xlfn.XLOOKUP(AH5,menu!$O$2:$O$9,menu!$H$2:$H$9,"")</f>
        <v/>
      </c>
      <c r="AI5" t="str">
        <f>_xlfn.LET(_xlpm.x,_xlfn.CONCAT(_xlfn.XLOOKUP(D5,beans!$A$2:$A$300,beans!$J$2:$J$300,"")," / ",_xlfn.XLOOKUP(D5,beans!$A$2:$A$300,beans!$K$2:$K$300,"")," - ",_xlfn.XLOOKUP(D5,beans!$A$2:$A$300,beans!$L$2:$L$300,"")),IF(_xlpm.x=" /  - ","",_xlpm.x))</f>
        <v/>
      </c>
    </row>
    <row r="6" spans="1:37" x14ac:dyDescent="0.3">
      <c r="A6">
        <v>0.05</v>
      </c>
      <c r="B6">
        <v>500</v>
      </c>
      <c r="H6" t="s">
        <v>44</v>
      </c>
      <c r="I6">
        <v>220</v>
      </c>
      <c r="J6">
        <v>80</v>
      </c>
      <c r="K6">
        <v>30</v>
      </c>
      <c r="L6">
        <v>65</v>
      </c>
      <c r="M6" s="68" t="s">
        <v>48</v>
      </c>
      <c r="N6">
        <v>88.7</v>
      </c>
      <c r="O6">
        <v>22.2</v>
      </c>
      <c r="T6" s="68" t="str">
        <f t="shared" si="4"/>
        <v/>
      </c>
      <c r="U6" t="str">
        <f t="shared" si="0"/>
        <v/>
      </c>
      <c r="V6">
        <f t="shared" si="5"/>
        <v>0</v>
      </c>
      <c r="W6" t="str">
        <f t="shared" si="1"/>
        <v/>
      </c>
      <c r="Z6" s="61">
        <v>0</v>
      </c>
      <c r="AB6" s="28" t="str">
        <f t="shared" si="2"/>
        <v xml:space="preserve"> </v>
      </c>
      <c r="AE6" s="61" t="str">
        <f t="shared" si="3"/>
        <v/>
      </c>
      <c r="AF6" s="77" t="str">
        <f>_xlfn.XLOOKUP(AD6,menu!$K$2:$K$9,menu!$J$2:$J$9,"",1)</f>
        <v/>
      </c>
      <c r="AG6" s="80" t="str">
        <f>_xlfn.XLOOKUP(AH6,menu!$O$2:$O$9,menu!$H$2:$H$9,"")</f>
        <v/>
      </c>
      <c r="AI6" t="str">
        <f>_xlfn.LET(_xlpm.x,_xlfn.CONCAT(_xlfn.XLOOKUP(D6,beans!$A$2:$A$300,beans!$J$2:$J$300,"")," / ",_xlfn.XLOOKUP(D6,beans!$A$2:$A$300,beans!$K$2:$K$300,"")," - ",_xlfn.XLOOKUP(D6,beans!$A$2:$A$300,beans!$L$2:$L$300,"")),IF(_xlpm.x=" /  - ","",_xlpm.x))</f>
        <v/>
      </c>
      <c r="AK6" t="s">
        <v>51</v>
      </c>
    </row>
    <row r="7" spans="1:37" x14ac:dyDescent="0.3">
      <c r="A7">
        <v>0.06</v>
      </c>
      <c r="B7">
        <v>300</v>
      </c>
      <c r="H7" t="s">
        <v>44</v>
      </c>
      <c r="I7">
        <v>200</v>
      </c>
      <c r="J7">
        <v>60</v>
      </c>
      <c r="K7">
        <v>30</v>
      </c>
      <c r="L7">
        <v>65</v>
      </c>
      <c r="M7" s="68" t="s">
        <v>52</v>
      </c>
      <c r="N7">
        <v>80</v>
      </c>
      <c r="O7">
        <v>17.2</v>
      </c>
      <c r="T7" s="68" t="str">
        <f t="shared" si="4"/>
        <v/>
      </c>
      <c r="U7" t="str">
        <f t="shared" si="0"/>
        <v/>
      </c>
      <c r="V7">
        <f t="shared" si="5"/>
        <v>0</v>
      </c>
      <c r="W7" t="str">
        <f t="shared" si="1"/>
        <v/>
      </c>
      <c r="Z7" s="61">
        <v>0</v>
      </c>
      <c r="AB7" s="28" t="str">
        <f t="shared" si="2"/>
        <v xml:space="preserve"> </v>
      </c>
      <c r="AE7" s="61" t="str">
        <f t="shared" si="3"/>
        <v/>
      </c>
      <c r="AF7" s="77" t="str">
        <f>_xlfn.XLOOKUP(AD7,menu!$K$2:$K$9,menu!$J$2:$J$9,"",1)</f>
        <v/>
      </c>
      <c r="AG7" s="80" t="str">
        <f>_xlfn.XLOOKUP(AH7,menu!$O$2:$O$9,menu!$H$2:$H$9,"")</f>
        <v/>
      </c>
      <c r="AI7" t="str">
        <f>_xlfn.LET(_xlpm.x,_xlfn.CONCAT(_xlfn.XLOOKUP(D7,beans!$A$2:$A$300,beans!$J$2:$J$300,"")," / ",_xlfn.XLOOKUP(D7,beans!$A$2:$A$300,beans!$K$2:$K$300,"")," - ",_xlfn.XLOOKUP(D7,beans!$A$2:$A$300,beans!$L$2:$L$300,"")),IF(_xlpm.x=" /  - ","",_xlpm.x))</f>
        <v/>
      </c>
    </row>
    <row r="8" spans="1:37" x14ac:dyDescent="0.3">
      <c r="A8">
        <v>7.0000000000000007E-2</v>
      </c>
      <c r="B8">
        <v>300</v>
      </c>
      <c r="E8" t="s">
        <v>53</v>
      </c>
      <c r="F8" s="22" t="str">
        <f>_xlfn.XLOOKUP(E8,menu!$A$2:$A$37,menu!$B$2:$B$37,"")</f>
        <v>Ethiopia</v>
      </c>
      <c r="G8" t="str">
        <f>_xlfn.XLOOKUP(E8,menu!$A$2:$A$37,menu!$C$2:$C$37,"")</f>
        <v>eth</v>
      </c>
      <c r="I8">
        <v>180</v>
      </c>
      <c r="J8">
        <v>70</v>
      </c>
      <c r="K8">
        <v>40</v>
      </c>
      <c r="L8">
        <v>65</v>
      </c>
      <c r="M8" s="68" t="s">
        <v>54</v>
      </c>
      <c r="N8">
        <v>85.6</v>
      </c>
      <c r="O8">
        <v>11.2</v>
      </c>
      <c r="T8" s="68" t="str">
        <f t="shared" si="4"/>
        <v/>
      </c>
      <c r="U8" t="str">
        <f t="shared" si="0"/>
        <v/>
      </c>
      <c r="V8">
        <f t="shared" si="5"/>
        <v>0</v>
      </c>
      <c r="W8" t="str">
        <f t="shared" si="1"/>
        <v/>
      </c>
      <c r="Z8" s="61">
        <v>0</v>
      </c>
      <c r="AB8" s="28" t="str">
        <f t="shared" si="2"/>
        <v xml:space="preserve"> </v>
      </c>
      <c r="AE8" s="61" t="str">
        <f t="shared" si="3"/>
        <v/>
      </c>
      <c r="AF8" s="77" t="str">
        <f>_xlfn.XLOOKUP(AD8,menu!$K$2:$K$9,menu!$J$2:$J$9,"",1)</f>
        <v/>
      </c>
      <c r="AG8" s="80" t="str">
        <f>_xlfn.XLOOKUP(AH8,menu!$O$2:$O$9,menu!$H$2:$H$9,"")</f>
        <v/>
      </c>
      <c r="AI8" t="str">
        <f>_xlfn.LET(_xlpm.x,_xlfn.CONCAT(_xlfn.XLOOKUP(D8,beans!$A$2:$A$300,beans!$J$2:$J$300,"")," / ",_xlfn.XLOOKUP(D8,beans!$A$2:$A$300,beans!$K$2:$K$300,"")," - ",_xlfn.XLOOKUP(D8,beans!$A$2:$A$300,beans!$L$2:$L$300,"")),IF(_xlpm.x=" /  - ","",_xlpm.x))</f>
        <v/>
      </c>
      <c r="AJ8" s="23" t="s">
        <v>55</v>
      </c>
    </row>
    <row r="9" spans="1:37" x14ac:dyDescent="0.3">
      <c r="A9">
        <v>0.08</v>
      </c>
      <c r="B9">
        <v>500</v>
      </c>
      <c r="H9" t="s">
        <v>56</v>
      </c>
      <c r="I9">
        <v>220</v>
      </c>
      <c r="J9">
        <v>80</v>
      </c>
      <c r="K9">
        <v>40</v>
      </c>
      <c r="L9">
        <v>65</v>
      </c>
      <c r="M9" s="68" t="s">
        <v>57</v>
      </c>
      <c r="N9">
        <v>88.8</v>
      </c>
      <c r="O9">
        <v>21.3</v>
      </c>
      <c r="T9" s="68" t="str">
        <f t="shared" si="4"/>
        <v/>
      </c>
      <c r="U9" t="str">
        <f t="shared" si="0"/>
        <v/>
      </c>
      <c r="V9">
        <f t="shared" si="5"/>
        <v>0</v>
      </c>
      <c r="W9" t="str">
        <f t="shared" si="1"/>
        <v/>
      </c>
      <c r="Z9" s="61">
        <v>0</v>
      </c>
      <c r="AB9" s="28" t="str">
        <f t="shared" si="2"/>
        <v xml:space="preserve"> </v>
      </c>
      <c r="AE9" s="61" t="str">
        <f t="shared" si="3"/>
        <v/>
      </c>
      <c r="AF9" s="77" t="str">
        <f>_xlfn.XLOOKUP(AD9,menu!$K$2:$K$9,menu!$J$2:$J$9,"",1)</f>
        <v/>
      </c>
      <c r="AG9" s="80" t="str">
        <f>_xlfn.XLOOKUP(AH9,menu!$O$2:$O$9,menu!$H$2:$H$9,"")</f>
        <v/>
      </c>
      <c r="AI9" t="str">
        <f>_xlfn.LET(_xlpm.x,_xlfn.CONCAT(_xlfn.XLOOKUP(D9,beans!$A$2:$A$300,beans!$J$2:$J$300,"")," / ",_xlfn.XLOOKUP(D9,beans!$A$2:$A$300,beans!$K$2:$K$300,"")," - ",_xlfn.XLOOKUP(D9,beans!$A$2:$A$300,beans!$L$2:$L$300,"")),IF(_xlpm.x=" /  - ","",_xlpm.x))</f>
        <v/>
      </c>
      <c r="AJ9" s="23" t="s">
        <v>58</v>
      </c>
    </row>
    <row r="10" spans="1:37" x14ac:dyDescent="0.3">
      <c r="A10">
        <v>0.09</v>
      </c>
      <c r="B10">
        <v>300</v>
      </c>
      <c r="H10" t="s">
        <v>59</v>
      </c>
      <c r="I10">
        <v>210</v>
      </c>
      <c r="J10">
        <v>70</v>
      </c>
      <c r="K10">
        <v>30</v>
      </c>
      <c r="L10">
        <v>65</v>
      </c>
      <c r="M10" s="70" t="s">
        <v>60</v>
      </c>
      <c r="N10">
        <v>82.9</v>
      </c>
      <c r="O10">
        <v>21.1</v>
      </c>
      <c r="T10" s="68" t="str">
        <f t="shared" si="4"/>
        <v/>
      </c>
      <c r="U10" t="str">
        <f t="shared" si="0"/>
        <v/>
      </c>
      <c r="V10">
        <f t="shared" si="5"/>
        <v>0</v>
      </c>
      <c r="W10" t="str">
        <f t="shared" si="1"/>
        <v/>
      </c>
      <c r="Z10" s="61">
        <v>0</v>
      </c>
      <c r="AB10" s="28" t="str">
        <f t="shared" si="2"/>
        <v xml:space="preserve"> </v>
      </c>
      <c r="AE10" s="61" t="str">
        <f t="shared" si="3"/>
        <v/>
      </c>
      <c r="AF10" s="77" t="str">
        <f>_xlfn.XLOOKUP(AD10,menu!$K$2:$K$9,menu!$J$2:$J$9,"",1)</f>
        <v/>
      </c>
      <c r="AG10" s="80" t="str">
        <f>_xlfn.XLOOKUP(AH10,menu!$O$2:$O$9,menu!$H$2:$H$9,"")</f>
        <v/>
      </c>
      <c r="AI10" t="str">
        <f>_xlfn.LET(_xlpm.x,_xlfn.CONCAT(_xlfn.XLOOKUP(D10,beans!$A$2:$A$300,beans!$J$2:$J$300,"")," / ",_xlfn.XLOOKUP(D10,beans!$A$2:$A$300,beans!$K$2:$K$300,"")," - ",_xlfn.XLOOKUP(D10,beans!$A$2:$A$300,beans!$L$2:$L$300,"")),IF(_xlpm.x=" /  - ","",_xlpm.x))</f>
        <v/>
      </c>
      <c r="AJ10" s="23" t="s">
        <v>61</v>
      </c>
    </row>
    <row r="11" spans="1:37" x14ac:dyDescent="0.3">
      <c r="A11">
        <v>0.1</v>
      </c>
      <c r="B11">
        <v>500</v>
      </c>
      <c r="H11" t="s">
        <v>59</v>
      </c>
      <c r="I11">
        <v>220</v>
      </c>
      <c r="J11">
        <v>80</v>
      </c>
      <c r="K11">
        <v>30</v>
      </c>
      <c r="L11">
        <v>65</v>
      </c>
      <c r="M11" s="68" t="s">
        <v>45</v>
      </c>
      <c r="N11">
        <v>87.7</v>
      </c>
      <c r="O11">
        <v>22.4</v>
      </c>
      <c r="T11" s="68" t="str">
        <f t="shared" si="4"/>
        <v/>
      </c>
      <c r="U11" t="str">
        <f t="shared" si="0"/>
        <v/>
      </c>
      <c r="V11">
        <f t="shared" si="5"/>
        <v>0</v>
      </c>
      <c r="W11" t="str">
        <f t="shared" si="1"/>
        <v/>
      </c>
      <c r="Z11" s="61">
        <v>0</v>
      </c>
      <c r="AB11" s="28" t="str">
        <f t="shared" si="2"/>
        <v xml:space="preserve"> </v>
      </c>
      <c r="AE11" s="61" t="str">
        <f t="shared" si="3"/>
        <v/>
      </c>
      <c r="AF11" s="77" t="str">
        <f>_xlfn.XLOOKUP(AD11,menu!$K$2:$K$9,menu!$J$2:$J$9,"",1)</f>
        <v/>
      </c>
      <c r="AG11" s="80" t="str">
        <f>_xlfn.XLOOKUP(AH11,menu!$O$2:$O$9,menu!$H$2:$H$9,"")</f>
        <v/>
      </c>
      <c r="AI11" t="str">
        <f>_xlfn.LET(_xlpm.x,_xlfn.CONCAT(_xlfn.XLOOKUP(D11,beans!$A$2:$A$300,beans!$J$2:$J$300,"")," / ",_xlfn.XLOOKUP(D11,beans!$A$2:$A$300,beans!$K$2:$K$300,"")," - ",_xlfn.XLOOKUP(D11,beans!$A$2:$A$300,beans!$L$2:$L$300,"")),IF(_xlpm.x=" /  - ","",_xlpm.x))</f>
        <v/>
      </c>
    </row>
    <row r="12" spans="1:37" x14ac:dyDescent="0.3">
      <c r="A12">
        <v>0.11</v>
      </c>
      <c r="B12">
        <v>300</v>
      </c>
      <c r="H12" t="s">
        <v>59</v>
      </c>
      <c r="I12">
        <v>210</v>
      </c>
      <c r="J12">
        <v>70</v>
      </c>
      <c r="K12">
        <v>30</v>
      </c>
      <c r="L12">
        <v>65</v>
      </c>
      <c r="M12" s="68" t="s">
        <v>62</v>
      </c>
      <c r="N12">
        <v>87.4</v>
      </c>
      <c r="O12">
        <v>20.9</v>
      </c>
      <c r="T12" s="68" t="str">
        <f t="shared" si="4"/>
        <v/>
      </c>
      <c r="U12" t="str">
        <f t="shared" si="0"/>
        <v/>
      </c>
      <c r="V12">
        <f t="shared" si="5"/>
        <v>0</v>
      </c>
      <c r="W12" t="str">
        <f t="shared" si="1"/>
        <v/>
      </c>
      <c r="Z12" s="61">
        <v>0</v>
      </c>
      <c r="AB12" s="28" t="str">
        <f t="shared" si="2"/>
        <v xml:space="preserve"> </v>
      </c>
      <c r="AE12" s="61" t="str">
        <f t="shared" si="3"/>
        <v/>
      </c>
      <c r="AF12" s="77" t="str">
        <f>_xlfn.XLOOKUP(AD12,menu!$K$2:$K$9,menu!$J$2:$J$9,"",1)</f>
        <v/>
      </c>
      <c r="AG12" s="80" t="str">
        <f>_xlfn.XLOOKUP(AH12,menu!$O$2:$O$9,menu!$H$2:$H$9,"")</f>
        <v/>
      </c>
      <c r="AI12" t="str">
        <f>_xlfn.LET(_xlpm.x,_xlfn.CONCAT(_xlfn.XLOOKUP(D12,beans!$A$2:$A$300,beans!$J$2:$J$300,"")," / ",_xlfn.XLOOKUP(D12,beans!$A$2:$A$300,beans!$K$2:$K$300,"")," - ",_xlfn.XLOOKUP(D12,beans!$A$2:$A$300,beans!$L$2:$L$300,"")),IF(_xlpm.x=" /  - ","",_xlpm.x))</f>
        <v/>
      </c>
    </row>
    <row r="13" spans="1:37" x14ac:dyDescent="0.3">
      <c r="A13">
        <v>0.12</v>
      </c>
      <c r="B13">
        <v>500</v>
      </c>
      <c r="H13" t="s">
        <v>59</v>
      </c>
      <c r="I13">
        <v>220</v>
      </c>
      <c r="J13">
        <v>80</v>
      </c>
      <c r="K13">
        <v>30</v>
      </c>
      <c r="L13">
        <v>65</v>
      </c>
      <c r="M13" s="68" t="s">
        <v>63</v>
      </c>
      <c r="N13">
        <v>93.1</v>
      </c>
      <c r="O13">
        <v>21.1</v>
      </c>
      <c r="T13" s="68" t="str">
        <f t="shared" si="4"/>
        <v/>
      </c>
      <c r="U13" t="str">
        <f t="shared" si="0"/>
        <v/>
      </c>
      <c r="V13">
        <f t="shared" si="5"/>
        <v>0</v>
      </c>
      <c r="W13" t="str">
        <f t="shared" si="1"/>
        <v/>
      </c>
      <c r="Z13" s="61">
        <v>0</v>
      </c>
      <c r="AB13" s="28" t="str">
        <f t="shared" si="2"/>
        <v xml:space="preserve"> </v>
      </c>
      <c r="AE13" s="61" t="str">
        <f t="shared" si="3"/>
        <v/>
      </c>
      <c r="AF13" s="77" t="str">
        <f>_xlfn.XLOOKUP(AD13,menu!$K$2:$K$9,menu!$J$2:$J$9,"",1)</f>
        <v/>
      </c>
      <c r="AG13" s="80" t="str">
        <f>_xlfn.XLOOKUP(AH13,menu!$O$2:$O$9,menu!$H$2:$H$9,"")</f>
        <v/>
      </c>
      <c r="AI13" t="str">
        <f>_xlfn.LET(_xlpm.x,_xlfn.CONCAT(_xlfn.XLOOKUP(D13,beans!$A$2:$A$300,beans!$J$2:$J$300,"")," / ",_xlfn.XLOOKUP(D13,beans!$A$2:$A$300,beans!$K$2:$K$300,"")," - ",_xlfn.XLOOKUP(D13,beans!$A$2:$A$300,beans!$L$2:$L$300,"")),IF(_xlpm.x=" /  - ","",_xlpm.x))</f>
        <v/>
      </c>
    </row>
    <row r="14" spans="1:37" x14ac:dyDescent="0.3">
      <c r="A14">
        <v>0.13</v>
      </c>
      <c r="B14">
        <v>300</v>
      </c>
      <c r="H14" t="s">
        <v>59</v>
      </c>
      <c r="I14">
        <v>210</v>
      </c>
      <c r="J14">
        <v>70</v>
      </c>
      <c r="K14">
        <v>30</v>
      </c>
      <c r="L14">
        <v>65</v>
      </c>
      <c r="M14" s="68" t="s">
        <v>50</v>
      </c>
      <c r="N14">
        <v>82.2</v>
      </c>
      <c r="O14">
        <v>22.1</v>
      </c>
      <c r="T14" s="68" t="str">
        <f t="shared" si="4"/>
        <v/>
      </c>
      <c r="U14" t="str">
        <f t="shared" si="0"/>
        <v/>
      </c>
      <c r="V14">
        <f t="shared" si="5"/>
        <v>0</v>
      </c>
      <c r="W14" t="str">
        <f t="shared" si="1"/>
        <v/>
      </c>
      <c r="Z14" s="61">
        <v>0</v>
      </c>
      <c r="AB14" s="28" t="str">
        <f t="shared" si="2"/>
        <v xml:space="preserve"> </v>
      </c>
      <c r="AE14" s="61" t="str">
        <f t="shared" si="3"/>
        <v/>
      </c>
      <c r="AF14" s="77" t="str">
        <f>_xlfn.XLOOKUP(AD14,menu!$K$2:$K$9,menu!$J$2:$J$9,"",1)</f>
        <v/>
      </c>
      <c r="AG14" s="80" t="str">
        <f>_xlfn.XLOOKUP(AH14,menu!$O$2:$O$9,menu!$H$2:$H$9,"")</f>
        <v/>
      </c>
      <c r="AI14" t="str">
        <f>_xlfn.LET(_xlpm.x,_xlfn.CONCAT(_xlfn.XLOOKUP(D14,beans!$A$2:$A$300,beans!$J$2:$J$300,"")," / ",_xlfn.XLOOKUP(D14,beans!$A$2:$A$300,beans!$K$2:$K$300,"")," - ",_xlfn.XLOOKUP(D14,beans!$A$2:$A$300,beans!$L$2:$L$300,"")),IF(_xlpm.x=" /  - ","",_xlpm.x))</f>
        <v/>
      </c>
    </row>
    <row r="15" spans="1:37" x14ac:dyDescent="0.3">
      <c r="A15">
        <v>0.14000000000000001</v>
      </c>
      <c r="B15">
        <v>500</v>
      </c>
      <c r="H15" t="s">
        <v>59</v>
      </c>
      <c r="I15">
        <v>220</v>
      </c>
      <c r="J15">
        <v>80</v>
      </c>
      <c r="K15">
        <v>30</v>
      </c>
      <c r="L15">
        <v>65</v>
      </c>
      <c r="M15" s="68" t="s">
        <v>64</v>
      </c>
      <c r="N15">
        <v>90.1</v>
      </c>
      <c r="O15">
        <v>22.5</v>
      </c>
      <c r="T15" s="68" t="str">
        <f t="shared" si="4"/>
        <v/>
      </c>
      <c r="U15" t="str">
        <f t="shared" si="0"/>
        <v/>
      </c>
      <c r="V15">
        <f t="shared" si="5"/>
        <v>0</v>
      </c>
      <c r="W15" t="str">
        <f t="shared" si="1"/>
        <v/>
      </c>
      <c r="Z15" s="61">
        <v>0</v>
      </c>
      <c r="AB15" s="28" t="str">
        <f t="shared" si="2"/>
        <v xml:space="preserve"> </v>
      </c>
      <c r="AE15" s="61" t="str">
        <f t="shared" si="3"/>
        <v/>
      </c>
      <c r="AF15" s="77" t="str">
        <f>_xlfn.XLOOKUP(AD15,menu!$K$2:$K$9,menu!$J$2:$J$9,"",1)</f>
        <v/>
      </c>
      <c r="AG15" s="80" t="str">
        <f>_xlfn.XLOOKUP(AH15,menu!$O$2:$O$9,menu!$H$2:$H$9,"")</f>
        <v/>
      </c>
      <c r="AI15" t="str">
        <f>_xlfn.LET(_xlpm.x,_xlfn.CONCAT(_xlfn.XLOOKUP(D15,beans!$A$2:$A$300,beans!$J$2:$J$300,"")," / ",_xlfn.XLOOKUP(D15,beans!$A$2:$A$300,beans!$K$2:$K$300,"")," - ",_xlfn.XLOOKUP(D15,beans!$A$2:$A$300,beans!$L$2:$L$300,"")),IF(_xlpm.x=" /  - ","",_xlpm.x))</f>
        <v/>
      </c>
    </row>
    <row r="16" spans="1:37" x14ac:dyDescent="0.3">
      <c r="A16">
        <v>0.15</v>
      </c>
      <c r="B16">
        <v>200</v>
      </c>
      <c r="E16" t="s">
        <v>53</v>
      </c>
      <c r="F16" s="22" t="str">
        <f>_xlfn.XLOOKUP(E16,menu!$A$2:$A$37,menu!$B$2:$B$37,"")</f>
        <v>Ethiopia</v>
      </c>
      <c r="G16" t="str">
        <f>_xlfn.XLOOKUP(E16,menu!$A$2:$A$37,menu!$C$2:$C$37,"")</f>
        <v>eth</v>
      </c>
      <c r="H16" t="s">
        <v>59</v>
      </c>
      <c r="I16">
        <v>255</v>
      </c>
      <c r="J16">
        <v>100</v>
      </c>
      <c r="K16">
        <v>30</v>
      </c>
      <c r="L16">
        <v>55</v>
      </c>
      <c r="M16" s="68" t="s">
        <v>65</v>
      </c>
      <c r="N16">
        <v>114.7</v>
      </c>
      <c r="O16">
        <v>35</v>
      </c>
      <c r="T16" s="68" t="str">
        <f t="shared" si="4"/>
        <v/>
      </c>
      <c r="U16" t="str">
        <f t="shared" si="0"/>
        <v/>
      </c>
      <c r="V16">
        <f t="shared" si="5"/>
        <v>0</v>
      </c>
      <c r="W16" t="str">
        <f t="shared" si="1"/>
        <v/>
      </c>
      <c r="Z16" s="61">
        <v>0</v>
      </c>
      <c r="AB16" s="28" t="str">
        <f t="shared" si="2"/>
        <v xml:space="preserve"> </v>
      </c>
      <c r="AE16" s="61" t="str">
        <f t="shared" si="3"/>
        <v/>
      </c>
      <c r="AF16" s="77" t="str">
        <f>_xlfn.XLOOKUP(AD16,menu!$K$2:$K$9,menu!$J$2:$J$9,"",1)</f>
        <v/>
      </c>
      <c r="AG16" s="80" t="str">
        <f>_xlfn.XLOOKUP(AH16,menu!$O$2:$O$9,menu!$H$2:$H$9,"")</f>
        <v/>
      </c>
      <c r="AI16" t="str">
        <f>_xlfn.LET(_xlpm.x,_xlfn.CONCAT(_xlfn.XLOOKUP(D16,beans!$A$2:$A$300,beans!$J$2:$J$300,"")," / ",_xlfn.XLOOKUP(D16,beans!$A$2:$A$300,beans!$K$2:$K$300,"")," - ",_xlfn.XLOOKUP(D16,beans!$A$2:$A$300,beans!$L$2:$L$300,"")),IF(_xlpm.x=" /  - ","",_xlpm.x))</f>
        <v/>
      </c>
    </row>
    <row r="17" spans="1:37" x14ac:dyDescent="0.3">
      <c r="A17">
        <v>0.16</v>
      </c>
      <c r="B17">
        <v>300</v>
      </c>
      <c r="E17" t="s">
        <v>53</v>
      </c>
      <c r="F17" s="22" t="str">
        <f>_xlfn.XLOOKUP(E17,menu!$A$2:$A$37,menu!$B$2:$B$37,"")</f>
        <v>Ethiopia</v>
      </c>
      <c r="G17" t="str">
        <f>_xlfn.XLOOKUP(E17,menu!$A$2:$A$37,menu!$C$2:$C$37,"")</f>
        <v>eth</v>
      </c>
      <c r="H17" t="s">
        <v>66</v>
      </c>
      <c r="I17">
        <v>210</v>
      </c>
      <c r="J17">
        <v>75</v>
      </c>
      <c r="K17">
        <v>45</v>
      </c>
      <c r="L17">
        <v>60</v>
      </c>
      <c r="M17" s="68" t="s">
        <v>67</v>
      </c>
      <c r="N17">
        <v>97.3</v>
      </c>
      <c r="T17" s="68" t="str">
        <f t="shared" si="4"/>
        <v/>
      </c>
      <c r="U17" t="str">
        <f t="shared" si="0"/>
        <v/>
      </c>
      <c r="V17">
        <f t="shared" si="5"/>
        <v>0</v>
      </c>
      <c r="W17" t="str">
        <f t="shared" si="1"/>
        <v/>
      </c>
      <c r="Z17" s="61">
        <v>0</v>
      </c>
      <c r="AB17" s="28" t="str">
        <f t="shared" si="2"/>
        <v xml:space="preserve"> </v>
      </c>
      <c r="AE17" s="61" t="str">
        <f t="shared" si="3"/>
        <v/>
      </c>
      <c r="AF17" s="77" t="str">
        <f>_xlfn.XLOOKUP(AD17,menu!$K$2:$K$9,menu!$J$2:$J$9,"",1)</f>
        <v/>
      </c>
      <c r="AG17" s="80" t="str">
        <f>_xlfn.XLOOKUP(AH17,menu!$O$2:$O$9,menu!$H$2:$H$9,"")</f>
        <v/>
      </c>
      <c r="AI17" t="str">
        <f>_xlfn.LET(_xlpm.x,_xlfn.CONCAT(_xlfn.XLOOKUP(D17,beans!$A$2:$A$300,beans!$J$2:$J$300,"")," / ",_xlfn.XLOOKUP(D17,beans!$A$2:$A$300,beans!$K$2:$K$300,"")," - ",_xlfn.XLOOKUP(D17,beans!$A$2:$A$300,beans!$L$2:$L$300,"")),IF(_xlpm.x=" /  - ","",_xlpm.x))</f>
        <v/>
      </c>
      <c r="AJ17" s="23" t="s">
        <v>68</v>
      </c>
      <c r="AK17" t="s">
        <v>69</v>
      </c>
    </row>
    <row r="18" spans="1:37" x14ac:dyDescent="0.3">
      <c r="A18">
        <v>0.17</v>
      </c>
      <c r="B18">
        <v>500</v>
      </c>
      <c r="E18" t="s">
        <v>53</v>
      </c>
      <c r="F18" s="22" t="str">
        <f>_xlfn.XLOOKUP(E18,menu!$A$2:$A$37,menu!$B$2:$B$37,"")</f>
        <v>Ethiopia</v>
      </c>
      <c r="G18" t="str">
        <f>_xlfn.XLOOKUP(E18,menu!$A$2:$A$37,menu!$C$2:$C$37,"")</f>
        <v>eth</v>
      </c>
      <c r="H18" t="s">
        <v>44</v>
      </c>
      <c r="I18">
        <v>210</v>
      </c>
      <c r="J18">
        <v>100</v>
      </c>
      <c r="K18">
        <v>30</v>
      </c>
      <c r="L18">
        <v>60</v>
      </c>
      <c r="M18" s="68" t="s">
        <v>52</v>
      </c>
      <c r="N18">
        <v>72</v>
      </c>
      <c r="O18">
        <v>27</v>
      </c>
      <c r="T18" s="68" t="str">
        <f t="shared" si="4"/>
        <v/>
      </c>
      <c r="U18" t="str">
        <f t="shared" si="0"/>
        <v/>
      </c>
      <c r="V18">
        <f t="shared" si="5"/>
        <v>0</v>
      </c>
      <c r="W18" t="str">
        <f t="shared" si="1"/>
        <v/>
      </c>
      <c r="Z18" s="61">
        <v>0</v>
      </c>
      <c r="AB18" s="28" t="str">
        <f t="shared" si="2"/>
        <v xml:space="preserve"> </v>
      </c>
      <c r="AE18" s="61" t="str">
        <f t="shared" si="3"/>
        <v/>
      </c>
      <c r="AF18" s="77" t="str">
        <f>_xlfn.XLOOKUP(AD18,menu!$K$2:$K$9,menu!$J$2:$J$9,"",1)</f>
        <v/>
      </c>
      <c r="AG18" s="80" t="str">
        <f>_xlfn.XLOOKUP(AH18,menu!$O$2:$O$9,menu!$H$2:$H$9,"")</f>
        <v/>
      </c>
      <c r="AI18" t="str">
        <f>_xlfn.LET(_xlpm.x,_xlfn.CONCAT(_xlfn.XLOOKUP(D18,beans!$A$2:$A$300,beans!$J$2:$J$300,"")," / ",_xlfn.XLOOKUP(D18,beans!$A$2:$A$300,beans!$K$2:$K$300,"")," - ",_xlfn.XLOOKUP(D18,beans!$A$2:$A$300,beans!$L$2:$L$300,"")),IF(_xlpm.x=" /  - ","",_xlpm.x))</f>
        <v/>
      </c>
    </row>
    <row r="19" spans="1:37" x14ac:dyDescent="0.3">
      <c r="A19">
        <v>0.18</v>
      </c>
      <c r="B19">
        <v>500</v>
      </c>
      <c r="E19" t="s">
        <v>70</v>
      </c>
      <c r="F19" s="22" t="str">
        <f>_xlfn.XLOOKUP(E19,menu!$A$2:$A$37,menu!$B$2:$B$37,"")</f>
        <v>Kenya</v>
      </c>
      <c r="G19" t="str">
        <f>_xlfn.XLOOKUP(E19,menu!$A$2:$A$37,menu!$C$2:$C$37,"")</f>
        <v>ken</v>
      </c>
      <c r="H19" t="s">
        <v>59</v>
      </c>
      <c r="I19">
        <v>210</v>
      </c>
      <c r="J19">
        <v>55</v>
      </c>
      <c r="K19">
        <v>45</v>
      </c>
      <c r="L19">
        <v>75</v>
      </c>
      <c r="M19" s="68" t="s">
        <v>71</v>
      </c>
      <c r="N19">
        <v>93.1</v>
      </c>
      <c r="O19">
        <v>19.2</v>
      </c>
      <c r="T19" s="68" t="str">
        <f t="shared" si="4"/>
        <v/>
      </c>
      <c r="U19" t="str">
        <f t="shared" si="0"/>
        <v/>
      </c>
      <c r="V19">
        <f t="shared" si="5"/>
        <v>0</v>
      </c>
      <c r="W19" t="str">
        <f t="shared" si="1"/>
        <v/>
      </c>
      <c r="Z19" s="61">
        <v>0</v>
      </c>
      <c r="AB19" s="28" t="str">
        <f t="shared" si="2"/>
        <v xml:space="preserve"> </v>
      </c>
      <c r="AE19" s="61" t="str">
        <f t="shared" si="3"/>
        <v/>
      </c>
      <c r="AF19" s="77" t="str">
        <f>_xlfn.XLOOKUP(AD19,menu!$K$2:$K$9,menu!$J$2:$J$9,"",1)</f>
        <v/>
      </c>
      <c r="AG19" s="80" t="str">
        <f>_xlfn.XLOOKUP(AH19,menu!$O$2:$O$9,menu!$H$2:$H$9,"")</f>
        <v>Medium</v>
      </c>
      <c r="AH19" s="81" t="s">
        <v>72</v>
      </c>
      <c r="AI19" t="str">
        <f>_xlfn.LET(_xlpm.x,_xlfn.CONCAT(_xlfn.XLOOKUP(D19,beans!$A$2:$A$300,beans!$J$2:$J$300,"")," / ",_xlfn.XLOOKUP(D19,beans!$A$2:$A$300,beans!$K$2:$K$300,"")," - ",_xlfn.XLOOKUP(D19,beans!$A$2:$A$300,beans!$L$2:$L$300,"")),IF(_xlpm.x=" /  - ","",_xlpm.x))</f>
        <v/>
      </c>
      <c r="AJ19" s="23" t="s">
        <v>73</v>
      </c>
    </row>
    <row r="20" spans="1:37" x14ac:dyDescent="0.3">
      <c r="A20">
        <v>3</v>
      </c>
      <c r="B20">
        <v>200</v>
      </c>
      <c r="D20">
        <v>1</v>
      </c>
      <c r="E20" t="s">
        <v>74</v>
      </c>
      <c r="F20" s="22" t="str">
        <f>_xlfn.XLOOKUP(E20,menu!$A$2:$A$37,menu!$B$2:$B$37,"")</f>
        <v>Nicaragua</v>
      </c>
      <c r="G20" t="str">
        <f>_xlfn.XLOOKUP(E20,menu!$A$2:$A$37,menu!$C$2:$C$37,"")</f>
        <v>nic</v>
      </c>
      <c r="H20" t="s">
        <v>59</v>
      </c>
      <c r="I20">
        <v>200</v>
      </c>
      <c r="J20">
        <v>70</v>
      </c>
      <c r="K20">
        <v>55</v>
      </c>
      <c r="L20">
        <v>60</v>
      </c>
      <c r="M20" s="68" t="s">
        <v>75</v>
      </c>
      <c r="N20">
        <v>94.9</v>
      </c>
      <c r="O20">
        <v>19.7</v>
      </c>
      <c r="P20" s="67" t="s">
        <v>76</v>
      </c>
      <c r="Q20" s="68">
        <v>203.6</v>
      </c>
      <c r="R20" s="67" t="s">
        <v>77</v>
      </c>
      <c r="S20" s="68">
        <v>209.9</v>
      </c>
      <c r="T20" s="68">
        <f t="shared" si="4"/>
        <v>6.3000000000000114</v>
      </c>
      <c r="U20">
        <f t="shared" si="0"/>
        <v>86</v>
      </c>
      <c r="V20">
        <f t="shared" si="5"/>
        <v>4.4000000000000004</v>
      </c>
      <c r="W20">
        <f t="shared" si="1"/>
        <v>13.33</v>
      </c>
      <c r="X20" s="19">
        <v>45217</v>
      </c>
      <c r="Y20" s="26">
        <v>176.5</v>
      </c>
      <c r="Z20" s="61">
        <v>0</v>
      </c>
      <c r="AB20" s="28">
        <f t="shared" si="2"/>
        <v>0.11749999999999999</v>
      </c>
      <c r="AE20" s="61" t="str">
        <f t="shared" si="3"/>
        <v/>
      </c>
      <c r="AF20" s="77" t="str">
        <f>_xlfn.XLOOKUP(AD20,menu!$K$2:$K$9,menu!$J$2:$J$9,"",1)</f>
        <v/>
      </c>
      <c r="AG20" s="80" t="str">
        <f>_xlfn.XLOOKUP(AH20,menu!$O$2:$O$9,menu!$H$2:$H$9,"")</f>
        <v>Cinamon</v>
      </c>
      <c r="AH20" s="82" t="s">
        <v>78</v>
      </c>
      <c r="AI20" t="str">
        <f>_xlfn.LET(_xlpm.x,_xlfn.CONCAT(_xlfn.XLOOKUP(D20,beans!$A$2:$A$300,beans!$J$2:$J$300,"")," / ",_xlfn.XLOOKUP(D20,beans!$A$2:$A$300,beans!$K$2:$K$300,"")," - ",_xlfn.XLOOKUP(D20,beans!$A$2:$A$300,beans!$L$2:$L$300,"")),IF(_xlpm.x=" /  - ","",_xlpm.x))</f>
        <v>希諾特加  / 阿爾蒂普拉諾莊園 - 爪哇長豆</v>
      </c>
      <c r="AJ20" s="23" t="s">
        <v>79</v>
      </c>
    </row>
    <row r="21" spans="1:37" ht="32.4" x14ac:dyDescent="0.3">
      <c r="A21">
        <v>4</v>
      </c>
      <c r="B21">
        <v>200</v>
      </c>
      <c r="D21">
        <v>5</v>
      </c>
      <c r="E21" t="s">
        <v>70</v>
      </c>
      <c r="F21" s="22" t="str">
        <f>_xlfn.XLOOKUP(E21,menu!$A$2:$A$37,menu!$B$2:$B$37,"")</f>
        <v>Kenya</v>
      </c>
      <c r="G21" t="str">
        <f>_xlfn.XLOOKUP(E21,menu!$A$2:$A$37,menu!$C$2:$C$37,"")</f>
        <v>ken</v>
      </c>
      <c r="H21" t="s">
        <v>59</v>
      </c>
      <c r="I21">
        <v>200</v>
      </c>
      <c r="J21">
        <v>50</v>
      </c>
      <c r="K21">
        <v>25</v>
      </c>
      <c r="L21">
        <v>60</v>
      </c>
      <c r="M21" s="68" t="s">
        <v>80</v>
      </c>
      <c r="N21">
        <v>86.8</v>
      </c>
      <c r="P21" s="67" t="s">
        <v>81</v>
      </c>
      <c r="Q21" s="68">
        <v>198.3</v>
      </c>
      <c r="R21" s="67" t="s">
        <v>82</v>
      </c>
      <c r="S21" s="68">
        <v>208.7</v>
      </c>
      <c r="T21" s="68">
        <f t="shared" si="4"/>
        <v>10.399999999999977</v>
      </c>
      <c r="U21">
        <f t="shared" si="0"/>
        <v>135</v>
      </c>
      <c r="V21">
        <f t="shared" si="5"/>
        <v>4.5999999999999996</v>
      </c>
      <c r="W21">
        <f t="shared" si="1"/>
        <v>20.3</v>
      </c>
      <c r="X21" s="19">
        <v>45220</v>
      </c>
      <c r="Y21" s="26">
        <v>175</v>
      </c>
      <c r="Z21" s="61">
        <v>0</v>
      </c>
      <c r="AB21" s="28">
        <f t="shared" si="2"/>
        <v>0.125</v>
      </c>
      <c r="AE21" s="61" t="str">
        <f t="shared" si="3"/>
        <v/>
      </c>
      <c r="AF21" s="77" t="str">
        <f>_xlfn.XLOOKUP(AD21,menu!$K$2:$K$9,menu!$J$2:$J$9,"",1)</f>
        <v/>
      </c>
      <c r="AG21" s="80" t="str">
        <f>_xlfn.XLOOKUP(AH21,menu!$O$2:$O$9,menu!$H$2:$H$9,"")</f>
        <v>Cinamon</v>
      </c>
      <c r="AH21" s="81" t="s">
        <v>78</v>
      </c>
      <c r="AI21" t="str">
        <f>_xlfn.LET(_xlpm.x,_xlfn.CONCAT(_xlfn.XLOOKUP(D21,beans!$A$2:$A$300,beans!$J$2:$J$300,"")," / ",_xlfn.XLOOKUP(D21,beans!$A$2:$A$300,beans!$K$2:$K$300,"")," - ",_xlfn.XLOOKUP(D21,beans!$A$2:$A$300,beans!$L$2:$L$300,"")),IF(_xlpm.x=" /  - ","",_xlpm.x))</f>
        <v>麒麟雅加 / 紅絲絨/夜裡花 - SL28, SL34</v>
      </c>
      <c r="AJ21" s="23" t="s">
        <v>83</v>
      </c>
    </row>
    <row r="22" spans="1:37" x14ac:dyDescent="0.3">
      <c r="A22">
        <v>5</v>
      </c>
      <c r="B22">
        <v>150</v>
      </c>
      <c r="D22">
        <v>1</v>
      </c>
      <c r="E22" t="s">
        <v>74</v>
      </c>
      <c r="F22" s="22" t="str">
        <f>_xlfn.XLOOKUP(E22,menu!$A$2:$A$37,menu!$B$2:$B$37,"")</f>
        <v>Nicaragua</v>
      </c>
      <c r="G22" t="str">
        <f>_xlfn.XLOOKUP(E22,menu!$A$2:$A$37,menu!$C$2:$C$37,"")</f>
        <v>nic</v>
      </c>
      <c r="H22" t="s">
        <v>59</v>
      </c>
      <c r="I22">
        <v>210</v>
      </c>
      <c r="J22">
        <v>70</v>
      </c>
      <c r="K22">
        <v>40</v>
      </c>
      <c r="L22">
        <v>60</v>
      </c>
      <c r="M22" s="68" t="s">
        <v>84</v>
      </c>
      <c r="N22">
        <v>106.6</v>
      </c>
      <c r="O22">
        <v>18.3</v>
      </c>
      <c r="P22" s="67" t="s">
        <v>85</v>
      </c>
      <c r="Q22" s="68">
        <v>204.9</v>
      </c>
      <c r="R22" s="67" t="s">
        <v>86</v>
      </c>
      <c r="S22" s="68">
        <v>216.7</v>
      </c>
      <c r="T22" s="68">
        <f t="shared" si="4"/>
        <v>11.799999999999983</v>
      </c>
      <c r="U22">
        <f t="shared" si="0"/>
        <v>73</v>
      </c>
      <c r="V22">
        <f t="shared" si="5"/>
        <v>9.6999999999999993</v>
      </c>
      <c r="W22">
        <f t="shared" si="1"/>
        <v>12.15</v>
      </c>
      <c r="X22" s="19">
        <v>45224</v>
      </c>
      <c r="Y22" s="26">
        <v>130</v>
      </c>
      <c r="Z22" s="61">
        <v>0</v>
      </c>
      <c r="AB22" s="28">
        <f t="shared" si="2"/>
        <v>0.13333333333333333</v>
      </c>
      <c r="AE22" s="61" t="str">
        <f t="shared" si="3"/>
        <v/>
      </c>
      <c r="AF22" s="77" t="str">
        <f>_xlfn.XLOOKUP(AD22,menu!$K$2:$K$9,menu!$J$2:$J$9,"",1)</f>
        <v/>
      </c>
      <c r="AG22" s="80" t="str">
        <f>_xlfn.XLOOKUP(AH22,menu!$O$2:$O$9,menu!$H$2:$H$9,"")</f>
        <v>Medium</v>
      </c>
      <c r="AH22" s="82" t="s">
        <v>72</v>
      </c>
      <c r="AI22" t="str">
        <f>_xlfn.LET(_xlpm.x,_xlfn.CONCAT(_xlfn.XLOOKUP(D22,beans!$A$2:$A$300,beans!$J$2:$J$300,"")," / ",_xlfn.XLOOKUP(D22,beans!$A$2:$A$300,beans!$K$2:$K$300,"")," - ",_xlfn.XLOOKUP(D22,beans!$A$2:$A$300,beans!$L$2:$L$300,"")),IF(_xlpm.x=" /  - ","",_xlpm.x))</f>
        <v>希諾特加  / 阿爾蒂普拉諾莊園 - 爪哇長豆</v>
      </c>
    </row>
    <row r="23" spans="1:37" x14ac:dyDescent="0.3">
      <c r="A23">
        <v>6</v>
      </c>
      <c r="B23">
        <v>200</v>
      </c>
      <c r="D23">
        <v>10</v>
      </c>
      <c r="E23" t="str">
        <f>_xlfn.LET(_xlpm.x,_xlfn.XLOOKUP(D23,beans!$A$2:$A$300,beans!$H$2:$H$300,""),IF(_xlpm.x="","",_xlpm.x))</f>
        <v>衣索比亞</v>
      </c>
      <c r="F23" s="22" t="str">
        <f>_xlfn.XLOOKUP(E23,menu!$A$2:$A$37,menu!$B$2:$B$37,"")</f>
        <v>Ethiopia</v>
      </c>
      <c r="G23" t="str">
        <f>_xlfn.XLOOKUP(E23,menu!$A$2:$A$37,menu!$C$2:$C$37,"")</f>
        <v>eth</v>
      </c>
      <c r="H23" t="str">
        <f>_xlfn.LET(_xlpm.x,_xlfn.XLOOKUP(_xlfn.XLOOKUP(D23,beans!$A$2:$A$300,beans!$I$2:$I$300),menu!$E$2:$E$20,menu!$F$2:$F$20),IF(_xlpm.x="","",_xlpm.x))</f>
        <v>natural</v>
      </c>
      <c r="I23">
        <v>210</v>
      </c>
      <c r="J23">
        <v>70</v>
      </c>
      <c r="K23">
        <v>50</v>
      </c>
      <c r="L23">
        <v>60</v>
      </c>
      <c r="M23" s="68" t="s">
        <v>87</v>
      </c>
      <c r="N23">
        <v>96.2</v>
      </c>
      <c r="O23">
        <v>18.5</v>
      </c>
      <c r="P23" s="67" t="s">
        <v>88</v>
      </c>
      <c r="Q23" s="68">
        <v>203.3</v>
      </c>
      <c r="R23" s="67" t="s">
        <v>89</v>
      </c>
      <c r="S23" s="68">
        <v>217.7</v>
      </c>
      <c r="T23" s="68">
        <f t="shared" si="4"/>
        <v>14.399999999999977</v>
      </c>
      <c r="U23">
        <f t="shared" si="0"/>
        <v>60</v>
      </c>
      <c r="V23">
        <f t="shared" si="5"/>
        <v>14.4</v>
      </c>
      <c r="W23">
        <f t="shared" si="1"/>
        <v>10.050000000000001</v>
      </c>
      <c r="X23" s="19">
        <v>45226</v>
      </c>
      <c r="Y23" s="26">
        <v>171</v>
      </c>
      <c r="Z23" s="61">
        <v>0</v>
      </c>
      <c r="AB23" s="28">
        <f t="shared" si="2"/>
        <v>0.14499999999999999</v>
      </c>
      <c r="AE23" s="61" t="str">
        <f t="shared" si="3"/>
        <v/>
      </c>
      <c r="AF23" s="77" t="str">
        <f>_xlfn.XLOOKUP(AD23,menu!$K$2:$K$9,menu!$J$2:$J$9,"",1)</f>
        <v/>
      </c>
      <c r="AG23" s="80" t="str">
        <f>_xlfn.XLOOKUP(AH23,menu!$O$2:$O$9,menu!$H$2:$H$9,"")</f>
        <v>Medium</v>
      </c>
      <c r="AH23" s="81" t="s">
        <v>72</v>
      </c>
      <c r="AI23" t="str">
        <f>_xlfn.LET(_xlpm.x,_xlfn.CONCAT(_xlfn.XLOOKUP(D23,beans!$A$2:$A$300,beans!$J$2:$J$300,"")," / ",_xlfn.XLOOKUP(D23,beans!$A$2:$A$300,beans!$K$2:$K$300,"")," - ",_xlfn.XLOOKUP(D23,beans!$A$2:$A$300,beans!$L$2:$L$300,"")),IF(_xlpm.x=" /  - ","",_xlpm.x))</f>
        <v>古吉 罕貝拉 / 花蝶 - Heirloom</v>
      </c>
    </row>
    <row r="24" spans="1:37" x14ac:dyDescent="0.3">
      <c r="A24">
        <v>7</v>
      </c>
      <c r="B24">
        <v>200</v>
      </c>
      <c r="D24">
        <v>10</v>
      </c>
      <c r="E24" t="str">
        <f>_xlfn.LET(_xlpm.x,_xlfn.XLOOKUP(D24,beans!$A$2:$A$300,beans!$H$2:$H$300,""),IF(_xlpm.x="","",_xlpm.x))</f>
        <v>衣索比亞</v>
      </c>
      <c r="F24" s="22" t="str">
        <f>_xlfn.XLOOKUP(E24,menu!$A$2:$A$37,menu!$B$2:$B$37,"")</f>
        <v>Ethiopia</v>
      </c>
      <c r="G24" t="str">
        <f>_xlfn.XLOOKUP(E24,menu!$A$2:$A$37,menu!$C$2:$C$37,"")</f>
        <v>eth</v>
      </c>
      <c r="H24" t="str">
        <f>_xlfn.LET(_xlpm.x,_xlfn.XLOOKUP(_xlfn.XLOOKUP(D24,beans!$A$2:$A$300,beans!$I$2:$I$300),menu!$E$2:$E$20,menu!$F$2:$F$20),IF(_xlpm.x="","",_xlpm.x))</f>
        <v>natural</v>
      </c>
      <c r="I24">
        <v>210</v>
      </c>
      <c r="J24">
        <v>75</v>
      </c>
      <c r="K24">
        <v>40</v>
      </c>
      <c r="L24">
        <v>60</v>
      </c>
      <c r="M24" s="68" t="s">
        <v>90</v>
      </c>
      <c r="N24">
        <v>100.4</v>
      </c>
      <c r="O24">
        <v>21.5</v>
      </c>
      <c r="P24" s="67" t="s">
        <v>81</v>
      </c>
      <c r="Q24" s="68">
        <v>206.2</v>
      </c>
      <c r="R24" s="67" t="s">
        <v>91</v>
      </c>
      <c r="S24" s="68">
        <v>205.8</v>
      </c>
      <c r="T24" s="68">
        <f t="shared" si="4"/>
        <v>-0.39999999999997726</v>
      </c>
      <c r="U24">
        <f t="shared" si="0"/>
        <v>88</v>
      </c>
      <c r="V24">
        <f t="shared" si="5"/>
        <v>-0.3</v>
      </c>
      <c r="W24">
        <f t="shared" si="1"/>
        <v>14.24</v>
      </c>
      <c r="X24" s="19">
        <v>45227</v>
      </c>
      <c r="Y24" s="26">
        <v>173</v>
      </c>
      <c r="Z24" s="61">
        <v>0</v>
      </c>
      <c r="AB24" s="28">
        <f t="shared" si="2"/>
        <v>0.13500000000000001</v>
      </c>
      <c r="AE24" s="61" t="str">
        <f t="shared" si="3"/>
        <v/>
      </c>
      <c r="AF24" s="77" t="str">
        <f>_xlfn.XLOOKUP(AD24,menu!$K$2:$K$9,menu!$J$2:$J$9,"",1)</f>
        <v/>
      </c>
      <c r="AG24" s="80" t="str">
        <f>_xlfn.XLOOKUP(AH24,menu!$O$2:$O$9,menu!$H$2:$H$9,"")</f>
        <v>Cinamon</v>
      </c>
      <c r="AH24" s="81" t="s">
        <v>78</v>
      </c>
      <c r="AI24" t="str">
        <f>_xlfn.LET(_xlpm.x,_xlfn.CONCAT(_xlfn.XLOOKUP(D24,beans!$A$2:$A$300,beans!$J$2:$J$300,"")," / ",_xlfn.XLOOKUP(D24,beans!$A$2:$A$300,beans!$K$2:$K$300,"")," - ",_xlfn.XLOOKUP(D24,beans!$A$2:$A$300,beans!$L$2:$L$300,"")),IF(_xlpm.x=" /  - ","",_xlpm.x))</f>
        <v>古吉 罕貝拉 / 花蝶 - Heirloom</v>
      </c>
    </row>
    <row r="25" spans="1:37" x14ac:dyDescent="0.3">
      <c r="A25">
        <v>8</v>
      </c>
      <c r="B25">
        <v>151</v>
      </c>
      <c r="C25">
        <v>10</v>
      </c>
      <c r="D25">
        <v>1</v>
      </c>
      <c r="E25" t="str">
        <f>_xlfn.LET(_xlpm.x,_xlfn.XLOOKUP(D25,beans!$A$2:$A$300,beans!$H$2:$H$300,""),IF(_xlpm.x="","",_xlpm.x))</f>
        <v>尼加拉瓜</v>
      </c>
      <c r="F25" s="22" t="str">
        <f>_xlfn.XLOOKUP(E25,menu!$A$2:$A$37,menu!$B$2:$B$37,"")</f>
        <v>Nicaragua</v>
      </c>
      <c r="G25" t="str">
        <f>_xlfn.XLOOKUP(E25,menu!$A$2:$A$37,menu!$C$2:$C$37,"")</f>
        <v>nic</v>
      </c>
      <c r="H25" t="str">
        <f>_xlfn.LET(_xlpm.x,_xlfn.XLOOKUP(_xlfn.XLOOKUP(D25,beans!$A$2:$A$300,beans!$I$2:$I$300),menu!$E$2:$E$20,menu!$F$2:$F$20),IF(_xlpm.x="","",_xlpm.x))</f>
        <v>washed</v>
      </c>
      <c r="I25">
        <v>210</v>
      </c>
      <c r="J25">
        <v>75</v>
      </c>
      <c r="K25">
        <v>40</v>
      </c>
      <c r="L25">
        <v>60</v>
      </c>
      <c r="M25" s="68" t="s">
        <v>87</v>
      </c>
      <c r="N25">
        <v>106.7</v>
      </c>
      <c r="O25">
        <v>20.2</v>
      </c>
      <c r="P25" s="67" t="s">
        <v>92</v>
      </c>
      <c r="Q25" s="68">
        <v>205.3</v>
      </c>
      <c r="R25" s="67" t="s">
        <v>40</v>
      </c>
      <c r="S25" s="68">
        <v>210.8</v>
      </c>
      <c r="T25" s="68">
        <f t="shared" si="4"/>
        <v>5.5</v>
      </c>
      <c r="U25">
        <f t="shared" si="0"/>
        <v>120</v>
      </c>
      <c r="V25">
        <f t="shared" si="5"/>
        <v>2.8</v>
      </c>
      <c r="W25">
        <f t="shared" si="1"/>
        <v>20.07</v>
      </c>
      <c r="X25" s="19">
        <v>45228</v>
      </c>
      <c r="Y25" s="26">
        <v>131</v>
      </c>
      <c r="Z25" s="61">
        <v>0</v>
      </c>
      <c r="AB25" s="28">
        <f t="shared" si="2"/>
        <v>0.13245033112582782</v>
      </c>
      <c r="AE25" s="61" t="str">
        <f t="shared" si="3"/>
        <v/>
      </c>
      <c r="AF25" s="77" t="str">
        <f>_xlfn.XLOOKUP(AD25,menu!$K$2:$K$9,menu!$J$2:$J$9,"",1)</f>
        <v/>
      </c>
      <c r="AG25" s="80" t="str">
        <f>_xlfn.XLOOKUP(AH25,menu!$O$2:$O$9,menu!$H$2:$H$9,"")</f>
        <v>High</v>
      </c>
      <c r="AH25" s="81" t="s">
        <v>93</v>
      </c>
      <c r="AI25" t="str">
        <f>_xlfn.LET(_xlpm.x,_xlfn.CONCAT(_xlfn.XLOOKUP(D25,beans!$A$2:$A$300,beans!$J$2:$J$300,"")," / ",_xlfn.XLOOKUP(D25,beans!$A$2:$A$300,beans!$K$2:$K$300,"")," - ",_xlfn.XLOOKUP(D25,beans!$A$2:$A$300,beans!$L$2:$L$300,"")),IF(_xlpm.x=" /  - ","",_xlpm.x))</f>
        <v>希諾特加  / 阿爾蒂普拉諾莊園 - 爪哇長豆</v>
      </c>
      <c r="AJ25" s="23" t="s">
        <v>94</v>
      </c>
      <c r="AK25" t="s">
        <v>95</v>
      </c>
    </row>
    <row r="26" spans="1:37" ht="32.4" x14ac:dyDescent="0.3">
      <c r="A26">
        <v>9</v>
      </c>
      <c r="B26">
        <v>250</v>
      </c>
      <c r="C26">
        <v>8</v>
      </c>
      <c r="D26">
        <v>3</v>
      </c>
      <c r="E26" t="str">
        <f>_xlfn.LET(_xlpm.x,_xlfn.XLOOKUP(D26,beans!$A$2:$A$300,beans!$H$2:$H$300,""),IF(_xlpm.x="","",_xlpm.x))</f>
        <v>衣索比亞</v>
      </c>
      <c r="F26" s="22" t="str">
        <f>_xlfn.XLOOKUP(E26,menu!$A$2:$A$37,menu!$B$2:$B$37,"")</f>
        <v>Ethiopia</v>
      </c>
      <c r="G26" t="str">
        <f>_xlfn.XLOOKUP(E26,menu!$A$2:$A$37,menu!$C$2:$C$37,"")</f>
        <v>eth</v>
      </c>
      <c r="H26" t="str">
        <f>_xlfn.LET(_xlpm.x,_xlfn.XLOOKUP(_xlfn.XLOOKUP(D26,beans!$A$2:$A$300,beans!$I$2:$I$300),menu!$E$2:$E$20,menu!$F$2:$F$20),IF(_xlpm.x="","",_xlpm.x))</f>
        <v>washed</v>
      </c>
      <c r="I26">
        <v>210</v>
      </c>
      <c r="J26">
        <v>75</v>
      </c>
      <c r="K26">
        <v>35</v>
      </c>
      <c r="L26">
        <v>70</v>
      </c>
      <c r="M26" s="68" t="s">
        <v>96</v>
      </c>
      <c r="N26">
        <v>91</v>
      </c>
      <c r="O26">
        <v>18.600000000000001</v>
      </c>
      <c r="P26" s="67" t="s">
        <v>97</v>
      </c>
      <c r="Q26" s="68">
        <v>202.3</v>
      </c>
      <c r="R26" s="67" t="s">
        <v>98</v>
      </c>
      <c r="S26" s="68">
        <v>214.6</v>
      </c>
      <c r="T26" s="68">
        <f t="shared" si="4"/>
        <v>12.299999999999983</v>
      </c>
      <c r="U26">
        <f t="shared" si="0"/>
        <v>70</v>
      </c>
      <c r="V26">
        <f t="shared" si="5"/>
        <v>10.5</v>
      </c>
      <c r="W26">
        <f t="shared" si="1"/>
        <v>10.84</v>
      </c>
      <c r="X26" s="19">
        <v>45230</v>
      </c>
      <c r="Y26" s="26">
        <v>216.1</v>
      </c>
      <c r="Z26" s="61">
        <v>0</v>
      </c>
      <c r="AB26" s="28">
        <f t="shared" si="2"/>
        <v>0.13560000000000003</v>
      </c>
      <c r="AE26" s="61" t="str">
        <f t="shared" si="3"/>
        <v/>
      </c>
      <c r="AF26" s="77" t="str">
        <f>_xlfn.XLOOKUP(AD26,menu!$K$2:$K$9,menu!$J$2:$J$9,"",1)</f>
        <v/>
      </c>
      <c r="AG26" s="80" t="str">
        <f>_xlfn.XLOOKUP(AH26,menu!$O$2:$O$9,menu!$H$2:$H$9,"")</f>
        <v>Cinamon</v>
      </c>
      <c r="AH26" s="81" t="s">
        <v>78</v>
      </c>
      <c r="AI26" t="str">
        <f>_xlfn.LET(_xlpm.x,_xlfn.CONCAT(_xlfn.XLOOKUP(D26,beans!$A$2:$A$300,beans!$J$2:$J$300,"")," / ",_xlfn.XLOOKUP(D26,beans!$A$2:$A$300,beans!$K$2:$K$300,"")," - ",_xlfn.XLOOKUP(D26,beans!$A$2:$A$300,beans!$L$2:$L$300,"")),IF(_xlpm.x=" /  - ","",_xlpm.x))</f>
        <v>西達摩/西達馬 / 茉莉雅 - Heirloom</v>
      </c>
      <c r="AJ26" s="23" t="s">
        <v>99</v>
      </c>
      <c r="AK26" t="s">
        <v>100</v>
      </c>
    </row>
    <row r="27" spans="1:37" x14ac:dyDescent="0.3">
      <c r="A27">
        <v>10</v>
      </c>
      <c r="B27">
        <v>250</v>
      </c>
      <c r="D27">
        <v>15</v>
      </c>
      <c r="E27" t="str">
        <f>_xlfn.LET(_xlpm.x,_xlfn.XLOOKUP(D27,beans!$A$2:$A$300,beans!$H$2:$H$300,""),IF(_xlpm.x="","",_xlpm.x))</f>
        <v>衣索比亞</v>
      </c>
      <c r="F27" s="22" t="str">
        <f>_xlfn.XLOOKUP(E27,menu!$A$2:$A$37,menu!$B$2:$B$37,"")</f>
        <v>Ethiopia</v>
      </c>
      <c r="G27" t="str">
        <f>_xlfn.XLOOKUP(E27,menu!$A$2:$A$37,menu!$C$2:$C$37,"")</f>
        <v>eth</v>
      </c>
      <c r="H27" t="str">
        <f>_xlfn.LET(_xlpm.x,_xlfn.XLOOKUP(_xlfn.XLOOKUP(D27,beans!$A$2:$A$300,beans!$I$2:$I$300),menu!$E$2:$E$20,menu!$F$2:$F$20),IF(_xlpm.x="","",_xlpm.x))</f>
        <v>washed</v>
      </c>
      <c r="I27">
        <v>210</v>
      </c>
      <c r="J27">
        <v>75</v>
      </c>
      <c r="K27">
        <v>40</v>
      </c>
      <c r="L27">
        <v>60</v>
      </c>
      <c r="M27" s="68" t="s">
        <v>101</v>
      </c>
      <c r="N27">
        <v>92</v>
      </c>
      <c r="O27">
        <v>18</v>
      </c>
      <c r="P27" s="67" t="s">
        <v>102</v>
      </c>
      <c r="Q27" s="68">
        <v>198.7</v>
      </c>
      <c r="R27" s="67" t="s">
        <v>103</v>
      </c>
      <c r="S27" s="68">
        <v>209.9</v>
      </c>
      <c r="T27" s="68">
        <f t="shared" si="4"/>
        <v>11.200000000000017</v>
      </c>
      <c r="U27">
        <f t="shared" si="0"/>
        <v>91</v>
      </c>
      <c r="V27">
        <f t="shared" si="5"/>
        <v>7.4</v>
      </c>
      <c r="W27">
        <f t="shared" si="1"/>
        <v>13.85</v>
      </c>
      <c r="X27" s="19">
        <v>45230</v>
      </c>
      <c r="Y27" s="26">
        <v>214.7</v>
      </c>
      <c r="Z27" s="61">
        <v>0</v>
      </c>
      <c r="AB27" s="28">
        <f t="shared" si="2"/>
        <v>0.14120000000000005</v>
      </c>
      <c r="AE27" s="61" t="str">
        <f t="shared" si="3"/>
        <v/>
      </c>
      <c r="AF27" s="77" t="str">
        <f>_xlfn.XLOOKUP(AD27,menu!$K$2:$K$9,menu!$J$2:$J$9,"",1)</f>
        <v/>
      </c>
      <c r="AG27" s="80" t="str">
        <f>_xlfn.XLOOKUP(AH27,menu!$O$2:$O$9,menu!$H$2:$H$9,"")</f>
        <v>Medium</v>
      </c>
      <c r="AH27" s="81" t="s">
        <v>72</v>
      </c>
      <c r="AI27" t="str">
        <f>_xlfn.LET(_xlpm.x,_xlfn.CONCAT(_xlfn.XLOOKUP(D27,beans!$A$2:$A$300,beans!$J$2:$J$300,"")," / ",_xlfn.XLOOKUP(D27,beans!$A$2:$A$300,beans!$K$2:$K$300,"")," - ",_xlfn.XLOOKUP(D27,beans!$A$2:$A$300,beans!$L$2:$L$300,"")),IF(_xlpm.x=" /  - ","",_xlpm.x))</f>
        <v>班奇 馬吉 / 露西 - Geisha</v>
      </c>
      <c r="AJ27" s="23" t="s">
        <v>104</v>
      </c>
      <c r="AK27" t="s">
        <v>105</v>
      </c>
    </row>
    <row r="28" spans="1:37" ht="32.4" x14ac:dyDescent="0.3">
      <c r="A28">
        <v>11</v>
      </c>
      <c r="B28">
        <v>500</v>
      </c>
      <c r="D28">
        <v>2</v>
      </c>
      <c r="E28" t="str">
        <f>_xlfn.LET(_xlpm.x,_xlfn.XLOOKUP(D28,beans!$A$2:$A$300,beans!$H$2:$H$300,""),IF(_xlpm.x="","",_xlpm.x))</f>
        <v>哥斯大黎加</v>
      </c>
      <c r="F28" s="22" t="str">
        <f>_xlfn.XLOOKUP(E28,menu!$A$2:$A$37,menu!$B$2:$B$37,"")</f>
        <v>Costa Rica</v>
      </c>
      <c r="G28" t="str">
        <f>_xlfn.XLOOKUP(E28,menu!$A$2:$A$37,menu!$C$2:$C$37,"")</f>
        <v>cri</v>
      </c>
      <c r="H28" t="str">
        <f>_xlfn.LET(_xlpm.x,_xlfn.XLOOKUP(_xlfn.XLOOKUP(D28,beans!$A$2:$A$300,beans!$I$2:$I$300),menu!$E$2:$E$20,menu!$F$2:$F$20),IF(_xlpm.x="","",_xlpm.x))</f>
        <v>raisin-honey</v>
      </c>
      <c r="I28">
        <v>210</v>
      </c>
      <c r="J28">
        <v>75</v>
      </c>
      <c r="K28">
        <v>50</v>
      </c>
      <c r="L28">
        <v>95</v>
      </c>
      <c r="M28" s="68" t="s">
        <v>54</v>
      </c>
      <c r="N28">
        <v>90.4</v>
      </c>
      <c r="O28">
        <v>17</v>
      </c>
      <c r="P28" s="67" t="s">
        <v>82</v>
      </c>
      <c r="Q28" s="68">
        <v>202.9</v>
      </c>
      <c r="R28" s="67" t="s">
        <v>106</v>
      </c>
      <c r="S28" s="68">
        <v>211.2</v>
      </c>
      <c r="T28" s="68">
        <f t="shared" ref="T28:T59" si="6">_xlfn.LET(_xlpm.x,S28-Q28,IF(_xlpm.x=0,"",_xlpm.x))</f>
        <v>8.2999999999999829</v>
      </c>
      <c r="U28">
        <f t="shared" ref="U28:U59" si="7">_xlfn.LET(_xlpm.x,(TIMEVALUE("0:"&amp;SUBSTITUTE(R28,"'",":"))-TIMEVALUE("0:"&amp;SUBSTITUTE(P28,"'",":")))*86400,IF(_xlpm.x=0,"",ROUND(_xlpm.x,2)))</f>
        <v>84</v>
      </c>
      <c r="V28">
        <f t="shared" si="5"/>
        <v>5.9</v>
      </c>
      <c r="W28">
        <f t="shared" ref="W28:W59" si="8">_xlfn.LET(_xlpm.x,(TIMEVALUE("0:"&amp;SUBSTITUTE(R28,"'",":"))-TIMEVALUE("0:"&amp;SUBSTITUTE(P28,"'",":")))*86400,IF(_xlpm.x=0,"",ROUND(_xlpm.x/((TIMEVALUE("0:"&amp;SUBSTITUTE(R28,"'",":"))-TIMEVALUE("0:0:0"))*864),2)))</f>
        <v>11.21</v>
      </c>
      <c r="X28" s="19">
        <v>45232</v>
      </c>
      <c r="Y28" s="26">
        <v>434</v>
      </c>
      <c r="Z28" s="61">
        <v>0</v>
      </c>
      <c r="AB28" s="28">
        <f t="shared" si="2"/>
        <v>0.13200000000000001</v>
      </c>
      <c r="AE28" s="61" t="str">
        <f t="shared" ref="AE28:AE59" si="9">_xlfn.LET(_xlpm.x,AD28-AC28,IF(_xlpm.x=0,"",_xlpm.x))</f>
        <v/>
      </c>
      <c r="AF28" s="77" t="str">
        <f>_xlfn.XLOOKUP(AD28,menu!$K$2:$K$9,menu!$J$2:$J$9,"",1)</f>
        <v/>
      </c>
      <c r="AG28" s="80" t="str">
        <f>_xlfn.XLOOKUP(AH28,menu!$O$2:$O$9,menu!$H$2:$H$9,"")</f>
        <v>Medium</v>
      </c>
      <c r="AH28" s="81" t="s">
        <v>72</v>
      </c>
      <c r="AI28" t="str">
        <f>_xlfn.LET(_xlpm.x,_xlfn.CONCAT(_xlfn.XLOOKUP(D28,beans!$A$2:$A$300,beans!$J$2:$J$300,"")," / ",_xlfn.XLOOKUP(D28,beans!$A$2:$A$300,beans!$K$2:$K$300,"")," - ",_xlfn.XLOOKUP(D28,beans!$A$2:$A$300,beans!$L$2:$L$300,"")),IF(_xlpm.x=" /  - ","",_xlpm.x))</f>
        <v xml:space="preserve">Tarrazu / 卡內特 音樂家系列 莫札特 - </v>
      </c>
      <c r="AJ28" s="23" t="s">
        <v>107</v>
      </c>
      <c r="AK28" t="s">
        <v>108</v>
      </c>
    </row>
    <row r="29" spans="1:37" x14ac:dyDescent="0.3">
      <c r="A29">
        <v>12</v>
      </c>
      <c r="B29">
        <v>500</v>
      </c>
      <c r="D29">
        <v>2</v>
      </c>
      <c r="E29" t="str">
        <f>_xlfn.LET(_xlpm.x,_xlfn.XLOOKUP(D29,beans!$A$2:$A$300,beans!$H$2:$H$300,""),IF(_xlpm.x="","",_xlpm.x))</f>
        <v>哥斯大黎加</v>
      </c>
      <c r="F29" s="22" t="str">
        <f>_xlfn.XLOOKUP(E29,menu!$A$2:$A$37,menu!$B$2:$B$37,"")</f>
        <v>Costa Rica</v>
      </c>
      <c r="G29" t="str">
        <f>_xlfn.XLOOKUP(E29,menu!$A$2:$A$37,menu!$C$2:$C$37,"")</f>
        <v>cri</v>
      </c>
      <c r="H29" t="str">
        <f>_xlfn.LET(_xlpm.x,_xlfn.XLOOKUP(_xlfn.XLOOKUP(D29,beans!$A$2:$A$300,beans!$I$2:$I$300),menu!$E$2:$E$20,menu!$F$2:$F$20),IF(_xlpm.x="","",_xlpm.x))</f>
        <v>raisin-honey</v>
      </c>
      <c r="I29">
        <v>210</v>
      </c>
      <c r="J29">
        <v>75</v>
      </c>
      <c r="K29">
        <v>50</v>
      </c>
      <c r="L29">
        <v>95</v>
      </c>
      <c r="M29" s="68" t="s">
        <v>109</v>
      </c>
      <c r="N29">
        <v>89.5</v>
      </c>
      <c r="O29">
        <v>14</v>
      </c>
      <c r="P29" s="67" t="s">
        <v>110</v>
      </c>
      <c r="Q29" s="68">
        <v>186</v>
      </c>
      <c r="R29" s="67" t="s">
        <v>111</v>
      </c>
      <c r="S29" s="68">
        <v>209.1</v>
      </c>
      <c r="T29" s="68">
        <f t="shared" si="6"/>
        <v>23.099999999999994</v>
      </c>
      <c r="U29">
        <f t="shared" si="7"/>
        <v>100</v>
      </c>
      <c r="V29">
        <f t="shared" si="5"/>
        <v>13.9</v>
      </c>
      <c r="W29">
        <f t="shared" si="8"/>
        <v>17.920000000000002</v>
      </c>
      <c r="X29" s="19">
        <v>45233</v>
      </c>
      <c r="Y29" s="26">
        <v>441</v>
      </c>
      <c r="Z29" s="61">
        <v>0</v>
      </c>
      <c r="AB29" s="28">
        <f t="shared" si="2"/>
        <v>0.11799999999999999</v>
      </c>
      <c r="AE29" s="61" t="str">
        <f t="shared" si="9"/>
        <v/>
      </c>
      <c r="AF29" s="77" t="str">
        <f>_xlfn.XLOOKUP(AD29,menu!$K$2:$K$9,menu!$J$2:$J$9,"",1)</f>
        <v/>
      </c>
      <c r="AG29" s="80" t="str">
        <f>_xlfn.XLOOKUP(AH29,menu!$O$2:$O$9,menu!$H$2:$H$9,"")</f>
        <v>Cinamon</v>
      </c>
      <c r="AH29" s="81" t="s">
        <v>78</v>
      </c>
      <c r="AI29" t="str">
        <f>_xlfn.LET(_xlpm.x,_xlfn.CONCAT(_xlfn.XLOOKUP(D29,beans!$A$2:$A$300,beans!$J$2:$J$300,"")," / ",_xlfn.XLOOKUP(D29,beans!$A$2:$A$300,beans!$K$2:$K$300,"")," - ",_xlfn.XLOOKUP(D29,beans!$A$2:$A$300,beans!$L$2:$L$300,"")),IF(_xlpm.x=" /  - ","",_xlpm.x))</f>
        <v xml:space="preserve">Tarrazu / 卡內特 音樂家系列 莫札特 - </v>
      </c>
      <c r="AJ29" s="23" t="s">
        <v>112</v>
      </c>
      <c r="AK29" t="s">
        <v>113</v>
      </c>
    </row>
    <row r="30" spans="1:37" x14ac:dyDescent="0.3">
      <c r="A30">
        <v>13</v>
      </c>
      <c r="B30">
        <v>250</v>
      </c>
      <c r="D30">
        <v>11</v>
      </c>
      <c r="E30" t="str">
        <f>_xlfn.LET(_xlpm.x,_xlfn.XLOOKUP(D30,beans!$A$2:$A$300,beans!$H$2:$H$300,""),IF(_xlpm.x="","",_xlpm.x))</f>
        <v>衣索比亞</v>
      </c>
      <c r="F30" s="22" t="str">
        <f>_xlfn.XLOOKUP(E30,menu!$A$2:$A$37,menu!$B$2:$B$37,"")</f>
        <v>Ethiopia</v>
      </c>
      <c r="G30" t="str">
        <f>_xlfn.XLOOKUP(E30,menu!$A$2:$A$37,menu!$C$2:$C$37,"")</f>
        <v>eth</v>
      </c>
      <c r="H30" t="str">
        <f>_xlfn.LET(_xlpm.x,_xlfn.XLOOKUP(_xlfn.XLOOKUP(D30,beans!$A$2:$A$300,beans!$I$2:$I$300),menu!$E$2:$E$20,menu!$F$2:$F$20),IF(_xlpm.x="","",_xlpm.x))</f>
        <v>natural</v>
      </c>
      <c r="I30">
        <v>210</v>
      </c>
      <c r="J30">
        <v>75</v>
      </c>
      <c r="K30">
        <v>50</v>
      </c>
      <c r="L30">
        <v>65</v>
      </c>
      <c r="M30" s="68" t="s">
        <v>114</v>
      </c>
      <c r="N30">
        <v>94.8</v>
      </c>
      <c r="O30">
        <v>18</v>
      </c>
      <c r="P30" s="67" t="s">
        <v>115</v>
      </c>
      <c r="Q30" s="68">
        <v>203.9</v>
      </c>
      <c r="R30" s="67" t="s">
        <v>116</v>
      </c>
      <c r="S30" s="68">
        <v>212.5</v>
      </c>
      <c r="T30" s="68">
        <f t="shared" si="6"/>
        <v>8.5999999999999943</v>
      </c>
      <c r="U30">
        <f t="shared" si="7"/>
        <v>46</v>
      </c>
      <c r="V30">
        <f t="shared" si="5"/>
        <v>11.2</v>
      </c>
      <c r="W30">
        <f t="shared" si="8"/>
        <v>8.41</v>
      </c>
      <c r="X30" s="19">
        <v>45233</v>
      </c>
      <c r="Y30" s="26">
        <v>219</v>
      </c>
      <c r="Z30" s="61">
        <v>0</v>
      </c>
      <c r="AB30" s="28">
        <f t="shared" si="2"/>
        <v>0.124</v>
      </c>
      <c r="AE30" s="61" t="str">
        <f t="shared" si="9"/>
        <v/>
      </c>
      <c r="AF30" s="77" t="str">
        <f>_xlfn.XLOOKUP(AD30,menu!$K$2:$K$9,menu!$J$2:$J$9,"",1)</f>
        <v/>
      </c>
      <c r="AG30" s="80" t="str">
        <f>_xlfn.XLOOKUP(AH30,menu!$O$2:$O$9,menu!$H$2:$H$9,"")</f>
        <v>Cinamon</v>
      </c>
      <c r="AH30" s="81" t="s">
        <v>78</v>
      </c>
      <c r="AI30" t="str">
        <f>_xlfn.LET(_xlpm.x,_xlfn.CONCAT(_xlfn.XLOOKUP(D30,beans!$A$2:$A$300,beans!$J$2:$J$300,"")," / ",_xlfn.XLOOKUP(D30,beans!$A$2:$A$300,beans!$K$2:$K$300,"")," - ",_xlfn.XLOOKUP(D30,beans!$A$2:$A$300,beans!$L$2:$L$300,"")),IF(_xlpm.x=" /  - ","",_xlpm.x))</f>
        <v>班奇 馬吉 / 格林藝妓森林 - Gori Geisha Forest</v>
      </c>
      <c r="AJ30" s="23" t="s">
        <v>117</v>
      </c>
      <c r="AK30" t="s">
        <v>118</v>
      </c>
    </row>
    <row r="31" spans="1:37" x14ac:dyDescent="0.3">
      <c r="A31">
        <v>14</v>
      </c>
      <c r="B31">
        <v>250</v>
      </c>
      <c r="D31">
        <v>9</v>
      </c>
      <c r="E31" t="str">
        <f>_xlfn.LET(_xlpm.x,_xlfn.XLOOKUP(D31,beans!$A$2:$A$300,beans!$H$2:$H$300,""),IF(_xlpm.x="","",_xlpm.x))</f>
        <v>衣索比亞</v>
      </c>
      <c r="F31" s="22" t="str">
        <f>_xlfn.XLOOKUP(E31,menu!$A$2:$A$37,menu!$B$2:$B$37,"")</f>
        <v>Ethiopia</v>
      </c>
      <c r="G31" t="str">
        <f>_xlfn.XLOOKUP(E31,menu!$A$2:$A$37,menu!$C$2:$C$37,"")</f>
        <v>eth</v>
      </c>
      <c r="H31" t="str">
        <f>_xlfn.LET(_xlpm.x,_xlfn.XLOOKUP(_xlfn.XLOOKUP(D31,beans!$A$2:$A$300,beans!$I$2:$I$300),menu!$E$2:$E$20,menu!$F$2:$F$20),IF(_xlpm.x="","",_xlpm.x))</f>
        <v>natural</v>
      </c>
      <c r="I31">
        <v>200</v>
      </c>
      <c r="J31">
        <v>75</v>
      </c>
      <c r="K31">
        <v>50</v>
      </c>
      <c r="L31">
        <v>65</v>
      </c>
      <c r="M31" s="68" t="s">
        <v>114</v>
      </c>
      <c r="N31">
        <v>91.3</v>
      </c>
      <c r="O31">
        <v>18</v>
      </c>
      <c r="P31" s="67" t="s">
        <v>119</v>
      </c>
      <c r="Q31" s="68">
        <v>205.1</v>
      </c>
      <c r="R31" s="67" t="s">
        <v>98</v>
      </c>
      <c r="S31" s="68">
        <v>214.7</v>
      </c>
      <c r="T31" s="68">
        <f t="shared" si="6"/>
        <v>9.5999999999999943</v>
      </c>
      <c r="U31">
        <f t="shared" si="7"/>
        <v>63</v>
      </c>
      <c r="V31">
        <f t="shared" si="5"/>
        <v>9.1</v>
      </c>
      <c r="W31">
        <f t="shared" si="8"/>
        <v>9.75</v>
      </c>
      <c r="X31" s="19">
        <v>45233</v>
      </c>
      <c r="Y31" s="26">
        <v>216</v>
      </c>
      <c r="Z31" s="61">
        <v>0</v>
      </c>
      <c r="AB31" s="28">
        <f t="shared" si="2"/>
        <v>0.13600000000000001</v>
      </c>
      <c r="AE31" s="61" t="str">
        <f t="shared" si="9"/>
        <v/>
      </c>
      <c r="AF31" s="77" t="str">
        <f>_xlfn.XLOOKUP(AD31,menu!$K$2:$K$9,menu!$J$2:$J$9,"",1)</f>
        <v/>
      </c>
      <c r="AG31" s="80" t="str">
        <f>_xlfn.XLOOKUP(AH31,menu!$O$2:$O$9,menu!$H$2:$H$9,"")</f>
        <v>Cinamon</v>
      </c>
      <c r="AH31" s="81" t="s">
        <v>78</v>
      </c>
      <c r="AI31" t="str">
        <f>_xlfn.LET(_xlpm.x,_xlfn.CONCAT(_xlfn.XLOOKUP(D31,beans!$A$2:$A$300,beans!$J$2:$J$300,"")," / ",_xlfn.XLOOKUP(D31,beans!$A$2:$A$300,beans!$K$2:$K$300,"")," - ",_xlfn.XLOOKUP(D31,beans!$A$2:$A$300,beans!$L$2:$L$300,"")),IF(_xlpm.x=" /  - ","",_xlpm.x))</f>
        <v>吉瑪 利姆 / 果美村 - 寶貝藝妓</v>
      </c>
      <c r="AK31" t="s">
        <v>120</v>
      </c>
    </row>
    <row r="32" spans="1:37" x14ac:dyDescent="0.3">
      <c r="A32">
        <v>15</v>
      </c>
      <c r="B32">
        <v>200</v>
      </c>
      <c r="D32">
        <v>4</v>
      </c>
      <c r="E32" t="str">
        <f>_xlfn.LET(_xlpm.x,_xlfn.XLOOKUP(D32,beans!$A$2:$A$300,beans!$H$2:$H$300,""),IF(_xlpm.x="","",_xlpm.x))</f>
        <v>衣索比亞</v>
      </c>
      <c r="F32" s="22" t="str">
        <f>_xlfn.XLOOKUP(E32,menu!$A$2:$A$37,menu!$B$2:$B$37,"")</f>
        <v>Ethiopia</v>
      </c>
      <c r="G32" t="str">
        <f>_xlfn.XLOOKUP(E32,menu!$A$2:$A$37,menu!$C$2:$C$37,"")</f>
        <v>eth</v>
      </c>
      <c r="H32" t="str">
        <f>_xlfn.LET(_xlpm.x,_xlfn.XLOOKUP(_xlfn.XLOOKUP(D32,beans!$A$2:$A$300,beans!$I$2:$I$300),menu!$E$2:$E$20,menu!$F$2:$F$20),IF(_xlpm.x="","",_xlpm.x))</f>
        <v>red-honey</v>
      </c>
      <c r="I32">
        <v>200</v>
      </c>
      <c r="J32">
        <v>55</v>
      </c>
      <c r="K32">
        <v>40</v>
      </c>
      <c r="L32">
        <v>60</v>
      </c>
      <c r="M32" s="68" t="s">
        <v>121</v>
      </c>
      <c r="N32">
        <v>93.6</v>
      </c>
      <c r="O32">
        <v>13</v>
      </c>
      <c r="P32" s="67" t="s">
        <v>122</v>
      </c>
      <c r="Q32" s="68">
        <v>198.8</v>
      </c>
      <c r="R32" s="67" t="s">
        <v>123</v>
      </c>
      <c r="S32" s="68">
        <v>214.8</v>
      </c>
      <c r="T32" s="68">
        <f t="shared" si="6"/>
        <v>16</v>
      </c>
      <c r="U32">
        <f t="shared" si="7"/>
        <v>87</v>
      </c>
      <c r="V32">
        <f t="shared" si="5"/>
        <v>11</v>
      </c>
      <c r="W32">
        <f t="shared" si="8"/>
        <v>13.3</v>
      </c>
      <c r="X32" s="19">
        <v>45235</v>
      </c>
      <c r="Y32" s="26">
        <v>173.4</v>
      </c>
      <c r="Z32" s="61">
        <v>0</v>
      </c>
      <c r="AB32" s="28">
        <f t="shared" si="2"/>
        <v>0.13299999999999998</v>
      </c>
      <c r="AE32" s="61" t="str">
        <f t="shared" si="9"/>
        <v/>
      </c>
      <c r="AF32" s="77" t="str">
        <f>_xlfn.XLOOKUP(AD32,menu!$K$2:$K$9,menu!$J$2:$J$9,"",1)</f>
        <v/>
      </c>
      <c r="AG32" s="80" t="str">
        <f>_xlfn.XLOOKUP(AH32,menu!$O$2:$O$9,menu!$H$2:$H$9,"")</f>
        <v>Cinamon</v>
      </c>
      <c r="AH32" s="81" t="s">
        <v>78</v>
      </c>
      <c r="AI32" t="str">
        <f>_xlfn.LET(_xlpm.x,_xlfn.CONCAT(_xlfn.XLOOKUP(D32,beans!$A$2:$A$300,beans!$J$2:$J$300,"")," / ",_xlfn.XLOOKUP(D32,beans!$A$2:$A$300,beans!$K$2:$K$300,"")," - ",_xlfn.XLOOKUP(D32,beans!$A$2:$A$300,beans!$L$2:$L$300,"")),IF(_xlpm.x=" /  - ","",_xlpm.x))</f>
        <v>古吉 罕貝拉 / 月見野櫻花 - Heirloom</v>
      </c>
      <c r="AK32" t="s">
        <v>124</v>
      </c>
    </row>
    <row r="33" spans="1:37" x14ac:dyDescent="0.3">
      <c r="A33">
        <v>16</v>
      </c>
      <c r="B33">
        <v>200</v>
      </c>
      <c r="D33">
        <v>4</v>
      </c>
      <c r="E33" t="str">
        <f>_xlfn.LET(_xlpm.x,_xlfn.XLOOKUP(D33,beans!$A$2:$A$300,beans!$H$2:$H$300,""),IF(_xlpm.x="","",_xlpm.x))</f>
        <v>衣索比亞</v>
      </c>
      <c r="F33" s="22" t="str">
        <f>_xlfn.XLOOKUP(E33,menu!$A$2:$A$37,menu!$B$2:$B$37,"")</f>
        <v>Ethiopia</v>
      </c>
      <c r="G33" t="str">
        <f>_xlfn.XLOOKUP(E33,menu!$A$2:$A$37,menu!$C$2:$C$37,"")</f>
        <v>eth</v>
      </c>
      <c r="H33" t="str">
        <f>_xlfn.LET(_xlpm.x,_xlfn.XLOOKUP(_xlfn.XLOOKUP(D33,beans!$A$2:$A$300,beans!$I$2:$I$300),menu!$E$2:$E$20,menu!$F$2:$F$20),IF(_xlpm.x="","",_xlpm.x))</f>
        <v>red-honey</v>
      </c>
      <c r="I33">
        <v>210</v>
      </c>
      <c r="J33">
        <v>70</v>
      </c>
      <c r="K33">
        <v>50</v>
      </c>
      <c r="L33">
        <v>60</v>
      </c>
      <c r="M33" s="68" t="s">
        <v>125</v>
      </c>
      <c r="N33">
        <v>96.2</v>
      </c>
      <c r="O33">
        <v>15</v>
      </c>
      <c r="P33" s="67" t="s">
        <v>126</v>
      </c>
      <c r="Q33" s="68">
        <v>201.4</v>
      </c>
      <c r="R33" s="67" t="s">
        <v>127</v>
      </c>
      <c r="S33" s="68">
        <v>208.8</v>
      </c>
      <c r="T33" s="68">
        <f t="shared" si="6"/>
        <v>7.4000000000000057</v>
      </c>
      <c r="U33">
        <f t="shared" si="7"/>
        <v>67</v>
      </c>
      <c r="V33">
        <f t="shared" si="5"/>
        <v>6.6</v>
      </c>
      <c r="W33">
        <f t="shared" si="8"/>
        <v>10.6</v>
      </c>
      <c r="X33" s="19">
        <v>45235</v>
      </c>
      <c r="Y33" s="26">
        <v>173.2</v>
      </c>
      <c r="Z33" s="61">
        <v>0</v>
      </c>
      <c r="AB33" s="28">
        <f t="shared" si="2"/>
        <v>0.13400000000000006</v>
      </c>
      <c r="AE33" s="61" t="str">
        <f t="shared" si="9"/>
        <v/>
      </c>
      <c r="AF33" s="77" t="str">
        <f>_xlfn.XLOOKUP(AD33,menu!$K$2:$K$9,menu!$J$2:$J$9,"",1)</f>
        <v/>
      </c>
      <c r="AG33" s="80" t="str">
        <f>_xlfn.XLOOKUP(AH33,menu!$O$2:$O$9,menu!$H$2:$H$9,"")</f>
        <v>Cinamon</v>
      </c>
      <c r="AH33" s="81" t="s">
        <v>78</v>
      </c>
      <c r="AI33" t="str">
        <f>_xlfn.LET(_xlpm.x,_xlfn.CONCAT(_xlfn.XLOOKUP(D33,beans!$A$2:$A$300,beans!$J$2:$J$300,"")," / ",_xlfn.XLOOKUP(D33,beans!$A$2:$A$300,beans!$K$2:$K$300,"")," - ",_xlfn.XLOOKUP(D33,beans!$A$2:$A$300,beans!$L$2:$L$300,"")),IF(_xlpm.x=" /  - ","",_xlpm.x))</f>
        <v>古吉 罕貝拉 / 月見野櫻花 - Heirloom</v>
      </c>
      <c r="AJ33" s="23" t="s">
        <v>128</v>
      </c>
      <c r="AK33" t="s">
        <v>129</v>
      </c>
    </row>
    <row r="34" spans="1:37" x14ac:dyDescent="0.3">
      <c r="A34">
        <v>17</v>
      </c>
      <c r="B34">
        <v>150</v>
      </c>
      <c r="D34">
        <v>1</v>
      </c>
      <c r="E34" t="str">
        <f>_xlfn.LET(_xlpm.x,_xlfn.XLOOKUP(D34,beans!$A$2:$A$300,beans!$H$2:$H$300,""),IF(_xlpm.x="","",_xlpm.x))</f>
        <v>尼加拉瓜</v>
      </c>
      <c r="F34" s="22" t="str">
        <f>_xlfn.XLOOKUP(E34,menu!$A$2:$A$37,menu!$B$2:$B$37,"")</f>
        <v>Nicaragua</v>
      </c>
      <c r="G34" t="str">
        <f>_xlfn.XLOOKUP(E34,menu!$A$2:$A$37,menu!$C$2:$C$37,"")</f>
        <v>nic</v>
      </c>
      <c r="H34" t="str">
        <f>_xlfn.LET(_xlpm.x,_xlfn.XLOOKUP(_xlfn.XLOOKUP(D34,beans!$A$2:$A$300,beans!$I$2:$I$300),menu!$E$2:$E$20,menu!$F$2:$F$20),IF(_xlpm.x="","",_xlpm.x))</f>
        <v>washed</v>
      </c>
      <c r="I34">
        <v>210</v>
      </c>
      <c r="J34">
        <v>70</v>
      </c>
      <c r="K34">
        <v>40</v>
      </c>
      <c r="L34">
        <v>60</v>
      </c>
      <c r="M34" s="68" t="s">
        <v>121</v>
      </c>
      <c r="N34">
        <v>107</v>
      </c>
      <c r="O34">
        <v>18.5</v>
      </c>
      <c r="P34" s="67" t="s">
        <v>130</v>
      </c>
      <c r="Q34" s="68">
        <v>206.6</v>
      </c>
      <c r="R34" s="67" t="s">
        <v>131</v>
      </c>
      <c r="S34" s="68">
        <v>216.7</v>
      </c>
      <c r="T34" s="68">
        <f t="shared" si="6"/>
        <v>10.099999999999994</v>
      </c>
      <c r="U34">
        <f t="shared" si="7"/>
        <v>62</v>
      </c>
      <c r="V34">
        <f t="shared" si="5"/>
        <v>9.8000000000000007</v>
      </c>
      <c r="W34">
        <f t="shared" si="8"/>
        <v>10.4</v>
      </c>
      <c r="X34" s="19">
        <v>45238</v>
      </c>
      <c r="Y34" s="26">
        <v>130.1</v>
      </c>
      <c r="Z34" s="61">
        <v>0</v>
      </c>
      <c r="AB34" s="28">
        <f t="shared" si="2"/>
        <v>0.13266666666666671</v>
      </c>
      <c r="AE34" s="61" t="str">
        <f t="shared" si="9"/>
        <v/>
      </c>
      <c r="AF34" s="77" t="str">
        <f>_xlfn.XLOOKUP(AD34,menu!$K$2:$K$9,menu!$J$2:$J$9,"",1)</f>
        <v/>
      </c>
      <c r="AG34" s="80" t="str">
        <f>_xlfn.XLOOKUP(AH34,menu!$O$2:$O$9,menu!$H$2:$H$9,"")</f>
        <v>Medium</v>
      </c>
      <c r="AH34" s="81" t="s">
        <v>72</v>
      </c>
      <c r="AI34" t="str">
        <f>_xlfn.LET(_xlpm.x,_xlfn.CONCAT(_xlfn.XLOOKUP(D34,beans!$A$2:$A$300,beans!$J$2:$J$300,"")," / ",_xlfn.XLOOKUP(D34,beans!$A$2:$A$300,beans!$K$2:$K$300,"")," - ",_xlfn.XLOOKUP(D34,beans!$A$2:$A$300,beans!$L$2:$L$300,"")),IF(_xlpm.x=" /  - ","",_xlpm.x))</f>
        <v>希諾特加  / 阿爾蒂普拉諾莊園 - 爪哇長豆</v>
      </c>
      <c r="AJ34" s="23" t="s">
        <v>132</v>
      </c>
      <c r="AK34" t="s">
        <v>133</v>
      </c>
    </row>
    <row r="35" spans="1:37" x14ac:dyDescent="0.3">
      <c r="A35">
        <v>18</v>
      </c>
      <c r="B35">
        <v>300</v>
      </c>
      <c r="D35">
        <v>2</v>
      </c>
      <c r="E35" t="str">
        <f>_xlfn.LET(_xlpm.x,_xlfn.XLOOKUP(D35,beans!$A$2:$A$300,beans!$H$2:$H$300,""),IF(_xlpm.x="","",_xlpm.x))</f>
        <v>哥斯大黎加</v>
      </c>
      <c r="F35" s="22" t="str">
        <f>_xlfn.XLOOKUP(E35,menu!$A$2:$A$37,menu!$B$2:$B$37,"")</f>
        <v>Costa Rica</v>
      </c>
      <c r="G35" t="str">
        <f>_xlfn.XLOOKUP(E35,menu!$A$2:$A$37,menu!$C$2:$C$37,"")</f>
        <v>cri</v>
      </c>
      <c r="H35" t="str">
        <f>_xlfn.LET(_xlpm.x,_xlfn.XLOOKUP(_xlfn.XLOOKUP(D35,beans!$A$2:$A$300,beans!$I$2:$I$300),menu!$E$2:$E$20,menu!$F$2:$F$20),IF(_xlpm.x="","",_xlpm.x))</f>
        <v>raisin-honey</v>
      </c>
      <c r="I35">
        <v>200</v>
      </c>
      <c r="J35">
        <v>70</v>
      </c>
      <c r="K35">
        <v>40</v>
      </c>
      <c r="L35">
        <v>70</v>
      </c>
      <c r="M35" s="68" t="s">
        <v>109</v>
      </c>
      <c r="N35">
        <v>88.9</v>
      </c>
      <c r="O35">
        <v>17</v>
      </c>
      <c r="P35" s="67" t="s">
        <v>134</v>
      </c>
      <c r="Q35" s="68">
        <v>199.9</v>
      </c>
      <c r="R35" s="67" t="s">
        <v>135</v>
      </c>
      <c r="S35" s="68">
        <v>210.3</v>
      </c>
      <c r="T35" s="68">
        <f t="shared" si="6"/>
        <v>10.400000000000006</v>
      </c>
      <c r="U35">
        <f t="shared" si="7"/>
        <v>72</v>
      </c>
      <c r="V35">
        <f t="shared" si="5"/>
        <v>8.6999999999999993</v>
      </c>
      <c r="W35">
        <f t="shared" si="8"/>
        <v>10.68</v>
      </c>
      <c r="X35" s="19">
        <v>45241</v>
      </c>
      <c r="Y35" s="26">
        <v>262.8</v>
      </c>
      <c r="Z35" s="61">
        <v>0</v>
      </c>
      <c r="AB35" s="28">
        <f t="shared" si="2"/>
        <v>0.12399999999999996</v>
      </c>
      <c r="AE35" s="61" t="str">
        <f t="shared" si="9"/>
        <v/>
      </c>
      <c r="AF35" s="77" t="str">
        <f>_xlfn.XLOOKUP(AD35,menu!$K$2:$K$9,menu!$J$2:$J$9,"",1)</f>
        <v/>
      </c>
      <c r="AG35" s="80" t="str">
        <f>_xlfn.XLOOKUP(AH35,menu!$O$2:$O$9,menu!$H$2:$H$9,"")</f>
        <v>Medium</v>
      </c>
      <c r="AH35" s="81" t="s">
        <v>72</v>
      </c>
      <c r="AI35" t="str">
        <f>_xlfn.LET(_xlpm.x,_xlfn.CONCAT(_xlfn.XLOOKUP(D35,beans!$A$2:$A$300,beans!$J$2:$J$300,"")," / ",_xlfn.XLOOKUP(D35,beans!$A$2:$A$300,beans!$K$2:$K$300,"")," - ",_xlfn.XLOOKUP(D35,beans!$A$2:$A$300,beans!$L$2:$L$300,"")),IF(_xlpm.x=" /  - ","",_xlpm.x))</f>
        <v xml:space="preserve">Tarrazu / 卡內特 音樂家系列 莫札特 - </v>
      </c>
    </row>
    <row r="36" spans="1:37" x14ac:dyDescent="0.3">
      <c r="A36">
        <v>19</v>
      </c>
      <c r="B36">
        <v>250</v>
      </c>
      <c r="D36">
        <v>13</v>
      </c>
      <c r="E36" t="str">
        <f>_xlfn.LET(_xlpm.x,_xlfn.XLOOKUP(D36,beans!$A$2:$A$300,beans!$H$2:$H$300,""),IF(_xlpm.x="","",_xlpm.x))</f>
        <v>衣索比亞</v>
      </c>
      <c r="F36" s="22" t="str">
        <f>_xlfn.XLOOKUP(E36,menu!$A$2:$A$37,menu!$B$2:$B$37,"")</f>
        <v>Ethiopia</v>
      </c>
      <c r="G36" t="str">
        <f>_xlfn.XLOOKUP(E36,menu!$A$2:$A$37,menu!$C$2:$C$37,"")</f>
        <v>eth</v>
      </c>
      <c r="H36" t="str">
        <f>_xlfn.LET(_xlpm.x,_xlfn.XLOOKUP(_xlfn.XLOOKUP(D36,beans!$A$2:$A$300,beans!$I$2:$I$300),menu!$E$2:$E$20,menu!$F$2:$F$20),IF(_xlpm.x="","",_xlpm.x))</f>
        <v>natural</v>
      </c>
      <c r="I36">
        <v>200</v>
      </c>
      <c r="J36">
        <v>70</v>
      </c>
      <c r="K36">
        <v>40</v>
      </c>
      <c r="L36">
        <v>70</v>
      </c>
      <c r="M36" s="68" t="s">
        <v>54</v>
      </c>
      <c r="N36">
        <v>90.2</v>
      </c>
      <c r="O36">
        <v>16.600000000000001</v>
      </c>
      <c r="P36" s="67" t="s">
        <v>40</v>
      </c>
      <c r="Q36" s="68">
        <v>202.2</v>
      </c>
      <c r="R36" s="67" t="s">
        <v>136</v>
      </c>
      <c r="S36" s="68">
        <v>212.3</v>
      </c>
      <c r="T36" s="68">
        <f t="shared" si="6"/>
        <v>10.100000000000023</v>
      </c>
      <c r="U36">
        <f t="shared" si="7"/>
        <v>125</v>
      </c>
      <c r="V36">
        <f t="shared" si="5"/>
        <v>4.8</v>
      </c>
      <c r="W36">
        <f t="shared" si="8"/>
        <v>17.29</v>
      </c>
      <c r="X36" s="19">
        <v>45241</v>
      </c>
      <c r="Y36" s="26">
        <v>214.7</v>
      </c>
      <c r="Z36" s="61">
        <v>0</v>
      </c>
      <c r="AB36" s="28">
        <f t="shared" si="2"/>
        <v>0.14120000000000005</v>
      </c>
      <c r="AE36" s="61" t="str">
        <f t="shared" si="9"/>
        <v/>
      </c>
      <c r="AF36" s="77" t="str">
        <f>_xlfn.XLOOKUP(AD36,menu!$K$2:$K$9,menu!$J$2:$J$9,"",1)</f>
        <v/>
      </c>
      <c r="AG36" s="80" t="str">
        <f>_xlfn.XLOOKUP(AH36,menu!$O$2:$O$9,menu!$H$2:$H$9,"")</f>
        <v>Medium</v>
      </c>
      <c r="AH36" s="81" t="s">
        <v>72</v>
      </c>
      <c r="AI36" t="str">
        <f>_xlfn.LET(_xlpm.x,_xlfn.CONCAT(_xlfn.XLOOKUP(D36,beans!$A$2:$A$300,beans!$J$2:$J$300,"")," / ",_xlfn.XLOOKUP(D36,beans!$A$2:$A$300,beans!$K$2:$K$300,"")," - ",_xlfn.XLOOKUP(D36,beans!$A$2:$A$300,beans!$L$2:$L$300,"")),IF(_xlpm.x=" /  - ","",_xlpm.x))</f>
        <v>西達摩 / 花貝果娜 - 74110</v>
      </c>
    </row>
    <row r="37" spans="1:37" x14ac:dyDescent="0.3">
      <c r="A37">
        <v>20</v>
      </c>
      <c r="B37">
        <v>250</v>
      </c>
      <c r="D37">
        <v>13</v>
      </c>
      <c r="E37" t="str">
        <f>_xlfn.LET(_xlpm.x,_xlfn.XLOOKUP(D37,beans!$A$2:$A$300,beans!$H$2:$H$300,""),IF(_xlpm.x="","",_xlpm.x))</f>
        <v>衣索比亞</v>
      </c>
      <c r="F37" s="22" t="str">
        <f>_xlfn.XLOOKUP(E37,menu!$A$2:$A$37,menu!$B$2:$B$37,"")</f>
        <v>Ethiopia</v>
      </c>
      <c r="G37" t="str">
        <f>_xlfn.XLOOKUP(E37,menu!$A$2:$A$37,menu!$C$2:$C$37,"")</f>
        <v>eth</v>
      </c>
      <c r="H37" t="str">
        <f>_xlfn.LET(_xlpm.x,_xlfn.XLOOKUP(_xlfn.XLOOKUP(D37,beans!$A$2:$A$300,beans!$I$2:$I$300),menu!$E$2:$E$20,menu!$F$2:$F$20),IF(_xlpm.x="","",_xlpm.x))</f>
        <v>natural</v>
      </c>
      <c r="I37">
        <v>200</v>
      </c>
      <c r="J37">
        <v>70</v>
      </c>
      <c r="K37">
        <v>40</v>
      </c>
      <c r="L37">
        <v>70</v>
      </c>
      <c r="M37" s="68" t="s">
        <v>75</v>
      </c>
      <c r="N37">
        <v>90.4</v>
      </c>
      <c r="O37">
        <v>16.3</v>
      </c>
      <c r="P37" s="67" t="s">
        <v>137</v>
      </c>
      <c r="Q37" s="68">
        <v>207.2</v>
      </c>
      <c r="R37" s="67" t="s">
        <v>138</v>
      </c>
      <c r="S37" s="68">
        <v>214.3</v>
      </c>
      <c r="T37" s="68">
        <f t="shared" si="6"/>
        <v>7.1000000000000227</v>
      </c>
      <c r="U37">
        <f t="shared" si="7"/>
        <v>51</v>
      </c>
      <c r="V37">
        <f t="shared" si="5"/>
        <v>8.4</v>
      </c>
      <c r="W37">
        <f t="shared" si="8"/>
        <v>7.07</v>
      </c>
      <c r="X37" s="19">
        <v>45241</v>
      </c>
      <c r="Y37" s="26">
        <v>215.9</v>
      </c>
      <c r="Z37" s="61">
        <v>0</v>
      </c>
      <c r="AB37" s="28">
        <f t="shared" si="2"/>
        <v>0.13639999999999997</v>
      </c>
      <c r="AE37" s="61" t="str">
        <f t="shared" si="9"/>
        <v/>
      </c>
      <c r="AF37" s="77" t="str">
        <f>_xlfn.XLOOKUP(AD37,menu!$K$2:$K$9,menu!$J$2:$J$9,"",1)</f>
        <v/>
      </c>
      <c r="AG37" s="80" t="str">
        <f>_xlfn.XLOOKUP(AH37,menu!$O$2:$O$9,menu!$H$2:$H$9,"")</f>
        <v>Medium</v>
      </c>
      <c r="AH37" s="81" t="s">
        <v>72</v>
      </c>
      <c r="AI37" t="str">
        <f>_xlfn.LET(_xlpm.x,_xlfn.CONCAT(_xlfn.XLOOKUP(D37,beans!$A$2:$A$300,beans!$J$2:$J$300,"")," / ",_xlfn.XLOOKUP(D37,beans!$A$2:$A$300,beans!$K$2:$K$300,"")," - ",_xlfn.XLOOKUP(D37,beans!$A$2:$A$300,beans!$L$2:$L$300,"")),IF(_xlpm.x=" /  - ","",_xlpm.x))</f>
        <v>西達摩 / 花貝果娜 - 74110</v>
      </c>
    </row>
    <row r="38" spans="1:37" x14ac:dyDescent="0.3">
      <c r="A38">
        <v>21</v>
      </c>
      <c r="B38">
        <v>200</v>
      </c>
      <c r="D38">
        <v>4</v>
      </c>
      <c r="E38" t="str">
        <f>_xlfn.LET(_xlpm.x,_xlfn.XLOOKUP(D38,beans!$A$2:$A$300,beans!$H$2:$H$300,""),IF(_xlpm.x="","",_xlpm.x))</f>
        <v>衣索比亞</v>
      </c>
      <c r="F38" s="22" t="str">
        <f>_xlfn.XLOOKUP(E38,menu!$A$2:$A$37,menu!$B$2:$B$37,"")</f>
        <v>Ethiopia</v>
      </c>
      <c r="G38" t="str">
        <f>_xlfn.XLOOKUP(E38,menu!$A$2:$A$37,menu!$C$2:$C$37,"")</f>
        <v>eth</v>
      </c>
      <c r="H38" t="str">
        <f>_xlfn.LET(_xlpm.x,_xlfn.XLOOKUP(_xlfn.XLOOKUP(D38,beans!$A$2:$A$300,beans!$I$2:$I$300),menu!$E$2:$E$20,menu!$F$2:$F$20),IF(_xlpm.x="","",_xlpm.x))</f>
        <v>red-honey</v>
      </c>
      <c r="I38">
        <v>200</v>
      </c>
      <c r="J38">
        <v>70</v>
      </c>
      <c r="K38">
        <v>40</v>
      </c>
      <c r="L38">
        <v>70</v>
      </c>
      <c r="M38" s="68" t="s">
        <v>67</v>
      </c>
      <c r="N38">
        <v>92</v>
      </c>
      <c r="O38">
        <v>15</v>
      </c>
      <c r="P38" s="67" t="s">
        <v>139</v>
      </c>
      <c r="Q38" s="68">
        <v>199.7</v>
      </c>
      <c r="R38" s="67" t="s">
        <v>140</v>
      </c>
      <c r="S38" s="68">
        <v>217</v>
      </c>
      <c r="T38" s="68">
        <f t="shared" si="6"/>
        <v>17.300000000000011</v>
      </c>
      <c r="U38">
        <f t="shared" si="7"/>
        <v>213</v>
      </c>
      <c r="V38">
        <f t="shared" si="5"/>
        <v>4.9000000000000004</v>
      </c>
      <c r="W38">
        <f t="shared" si="8"/>
        <v>25.54</v>
      </c>
      <c r="X38" s="19">
        <v>45242</v>
      </c>
      <c r="Y38" s="26">
        <v>168.2</v>
      </c>
      <c r="Z38" s="61">
        <v>0</v>
      </c>
      <c r="AB38" s="28">
        <f t="shared" si="2"/>
        <v>0.15900000000000006</v>
      </c>
      <c r="AE38" s="61" t="str">
        <f t="shared" si="9"/>
        <v/>
      </c>
      <c r="AF38" s="77" t="str">
        <f>_xlfn.XLOOKUP(AD38,menu!$K$2:$K$9,menu!$J$2:$J$9,"",1)</f>
        <v/>
      </c>
      <c r="AG38" s="80" t="str">
        <f>_xlfn.XLOOKUP(AH38,menu!$O$2:$O$9,menu!$H$2:$H$9,"")</f>
        <v>High</v>
      </c>
      <c r="AH38" s="81" t="s">
        <v>93</v>
      </c>
      <c r="AI38" t="str">
        <f>_xlfn.LET(_xlpm.x,_xlfn.CONCAT(_xlfn.XLOOKUP(D38,beans!$A$2:$A$300,beans!$J$2:$J$300,"")," / ",_xlfn.XLOOKUP(D38,beans!$A$2:$A$300,beans!$K$2:$K$300,"")," - ",_xlfn.XLOOKUP(D38,beans!$A$2:$A$300,beans!$L$2:$L$300,"")),IF(_xlpm.x=" /  - ","",_xlpm.x))</f>
        <v>古吉 罕貝拉 / 月見野櫻花 - Heirloom</v>
      </c>
      <c r="AJ38" s="23" t="s">
        <v>141</v>
      </c>
    </row>
    <row r="39" spans="1:37" x14ac:dyDescent="0.3">
      <c r="A39">
        <v>22</v>
      </c>
      <c r="B39">
        <v>200</v>
      </c>
      <c r="D39">
        <v>4</v>
      </c>
      <c r="E39" t="str">
        <f>_xlfn.LET(_xlpm.x,_xlfn.XLOOKUP(D39,beans!$A$2:$A$300,beans!$H$2:$H$300,""),IF(_xlpm.x="","",_xlpm.x))</f>
        <v>衣索比亞</v>
      </c>
      <c r="F39" s="22" t="str">
        <f>_xlfn.XLOOKUP(E39,menu!$A$2:$A$37,menu!$B$2:$B$37,"")</f>
        <v>Ethiopia</v>
      </c>
      <c r="G39" t="str">
        <f>_xlfn.XLOOKUP(E39,menu!$A$2:$A$37,menu!$C$2:$C$37,"")</f>
        <v>eth</v>
      </c>
      <c r="H39" t="str">
        <f>_xlfn.LET(_xlpm.x,_xlfn.XLOOKUP(_xlfn.XLOOKUP(D39,beans!$A$2:$A$300,beans!$I$2:$I$300),menu!$E$2:$E$20,menu!$F$2:$F$20),IF(_xlpm.x="","",_xlpm.x))</f>
        <v>red-honey</v>
      </c>
      <c r="I39">
        <v>200</v>
      </c>
      <c r="J39">
        <v>70</v>
      </c>
      <c r="K39">
        <v>40</v>
      </c>
      <c r="L39">
        <v>70</v>
      </c>
      <c r="M39" s="68" t="s">
        <v>75</v>
      </c>
      <c r="N39">
        <v>93.7</v>
      </c>
      <c r="O39">
        <v>15</v>
      </c>
      <c r="P39" s="67" t="s">
        <v>142</v>
      </c>
      <c r="Q39" s="68">
        <v>202.8</v>
      </c>
      <c r="R39" s="67" t="s">
        <v>143</v>
      </c>
      <c r="S39" s="68">
        <v>217</v>
      </c>
      <c r="T39" s="68">
        <f t="shared" si="6"/>
        <v>14.199999999999989</v>
      </c>
      <c r="U39">
        <f t="shared" si="7"/>
        <v>187</v>
      </c>
      <c r="V39">
        <f t="shared" si="5"/>
        <v>4.5999999999999996</v>
      </c>
      <c r="W39">
        <f t="shared" si="8"/>
        <v>22.56</v>
      </c>
      <c r="X39" s="19">
        <v>45242</v>
      </c>
      <c r="Y39" s="26">
        <v>168.1</v>
      </c>
      <c r="Z39" s="61">
        <v>0</v>
      </c>
      <c r="AB39" s="28">
        <f t="shared" si="2"/>
        <v>0.15950000000000003</v>
      </c>
      <c r="AE39" s="61" t="str">
        <f t="shared" si="9"/>
        <v/>
      </c>
      <c r="AF39" s="77" t="str">
        <f>_xlfn.XLOOKUP(AD39,menu!$K$2:$K$9,menu!$J$2:$J$9,"",1)</f>
        <v/>
      </c>
      <c r="AG39" s="80" t="str">
        <f>_xlfn.XLOOKUP(AH39,menu!$O$2:$O$9,menu!$H$2:$H$9,"")</f>
        <v>High</v>
      </c>
      <c r="AH39" s="81" t="s">
        <v>93</v>
      </c>
      <c r="AI39" t="str">
        <f>_xlfn.LET(_xlpm.x,_xlfn.CONCAT(_xlfn.XLOOKUP(D39,beans!$A$2:$A$300,beans!$J$2:$J$300,"")," / ",_xlfn.XLOOKUP(D39,beans!$A$2:$A$300,beans!$K$2:$K$300,"")," - ",_xlfn.XLOOKUP(D39,beans!$A$2:$A$300,beans!$L$2:$L$300,"")),IF(_xlpm.x=" /  - ","",_xlpm.x))</f>
        <v>古吉 罕貝拉 / 月見野櫻花 - Heirloom</v>
      </c>
      <c r="AJ39" s="23" t="s">
        <v>144</v>
      </c>
    </row>
    <row r="40" spans="1:37" x14ac:dyDescent="0.3">
      <c r="A40">
        <v>23</v>
      </c>
      <c r="B40">
        <v>200</v>
      </c>
      <c r="D40">
        <v>4</v>
      </c>
      <c r="E40" t="str">
        <f>_xlfn.LET(_xlpm.x,_xlfn.XLOOKUP(D40,beans!$A$2:$A$300,beans!$H$2:$H$300,""),IF(_xlpm.x="","",_xlpm.x))</f>
        <v>衣索比亞</v>
      </c>
      <c r="F40" s="22" t="str">
        <f>_xlfn.XLOOKUP(E40,menu!$A$2:$A$37,menu!$B$2:$B$37,"")</f>
        <v>Ethiopia</v>
      </c>
      <c r="G40" t="str">
        <f>_xlfn.XLOOKUP(E40,menu!$A$2:$A$37,menu!$C$2:$C$37,"")</f>
        <v>eth</v>
      </c>
      <c r="H40" t="str">
        <f>_xlfn.LET(_xlpm.x,_xlfn.XLOOKUP(_xlfn.XLOOKUP(D40,beans!$A$2:$A$300,beans!$I$2:$I$300),menu!$E$2:$E$20,menu!$F$2:$F$20),IF(_xlpm.x="","",_xlpm.x))</f>
        <v>red-honey</v>
      </c>
      <c r="I40">
        <v>200</v>
      </c>
      <c r="J40">
        <v>70</v>
      </c>
      <c r="K40">
        <v>40</v>
      </c>
      <c r="L40">
        <v>70</v>
      </c>
      <c r="M40" s="68" t="s">
        <v>67</v>
      </c>
      <c r="N40">
        <v>95.5</v>
      </c>
      <c r="O40">
        <v>13</v>
      </c>
      <c r="P40" s="67" t="s">
        <v>98</v>
      </c>
      <c r="Q40" s="68">
        <v>203.6</v>
      </c>
      <c r="R40" s="67" t="s">
        <v>145</v>
      </c>
      <c r="S40" s="68">
        <v>217</v>
      </c>
      <c r="T40" s="68">
        <f t="shared" si="6"/>
        <v>13.400000000000006</v>
      </c>
      <c r="U40">
        <f t="shared" si="7"/>
        <v>187</v>
      </c>
      <c r="V40">
        <f t="shared" si="5"/>
        <v>4.3</v>
      </c>
      <c r="W40">
        <f t="shared" si="8"/>
        <v>22.45</v>
      </c>
      <c r="X40" s="19">
        <v>45242</v>
      </c>
      <c r="Y40" s="26">
        <v>167.7</v>
      </c>
      <c r="Z40" s="61">
        <v>0</v>
      </c>
      <c r="AB40" s="28">
        <f t="shared" si="2"/>
        <v>0.16150000000000006</v>
      </c>
      <c r="AE40" s="61" t="str">
        <f t="shared" si="9"/>
        <v/>
      </c>
      <c r="AF40" s="77" t="str">
        <f>_xlfn.XLOOKUP(AD40,menu!$K$2:$K$9,menu!$J$2:$J$9,"",1)</f>
        <v/>
      </c>
      <c r="AG40" s="80" t="str">
        <f>_xlfn.XLOOKUP(AH40,menu!$O$2:$O$9,menu!$H$2:$H$9,"")</f>
        <v>High</v>
      </c>
      <c r="AH40" s="81" t="s">
        <v>93</v>
      </c>
      <c r="AI40" t="str">
        <f>_xlfn.LET(_xlpm.x,_xlfn.CONCAT(_xlfn.XLOOKUP(D40,beans!$A$2:$A$300,beans!$J$2:$J$300,"")," / ",_xlfn.XLOOKUP(D40,beans!$A$2:$A$300,beans!$K$2:$K$300,"")," - ",_xlfn.XLOOKUP(D40,beans!$A$2:$A$300,beans!$L$2:$L$300,"")),IF(_xlpm.x=" /  - ","",_xlpm.x))</f>
        <v>古吉 罕貝拉 / 月見野櫻花 - Heirloom</v>
      </c>
      <c r="AJ40" s="23" t="s">
        <v>144</v>
      </c>
    </row>
    <row r="41" spans="1:37" x14ac:dyDescent="0.3">
      <c r="A41">
        <v>24</v>
      </c>
      <c r="B41">
        <v>550</v>
      </c>
      <c r="D41">
        <v>4</v>
      </c>
      <c r="E41" t="str">
        <f>_xlfn.LET(_xlpm.x,_xlfn.XLOOKUP(D41,beans!$A$2:$A$300,beans!$H$2:$H$300,""),IF(_xlpm.x="","",_xlpm.x))</f>
        <v>衣索比亞</v>
      </c>
      <c r="F41" s="22" t="str">
        <f>_xlfn.XLOOKUP(E41,menu!$A$2:$A$37,menu!$B$2:$B$37,"")</f>
        <v>Ethiopia</v>
      </c>
      <c r="G41" t="str">
        <f>_xlfn.XLOOKUP(E41,menu!$A$2:$A$37,menu!$C$2:$C$37,"")</f>
        <v>eth</v>
      </c>
      <c r="H41" t="str">
        <f>_xlfn.LET(_xlpm.x,_xlfn.XLOOKUP(_xlfn.XLOOKUP(D41,beans!$A$2:$A$300,beans!$I$2:$I$300),menu!$E$2:$E$20,menu!$F$2:$F$20),IF(_xlpm.x="","",_xlpm.x))</f>
        <v>red-honey</v>
      </c>
      <c r="I41">
        <v>210</v>
      </c>
      <c r="J41">
        <v>75</v>
      </c>
      <c r="K41">
        <v>50</v>
      </c>
      <c r="L41">
        <v>95</v>
      </c>
      <c r="M41" s="68" t="s">
        <v>146</v>
      </c>
      <c r="N41">
        <v>89.1</v>
      </c>
      <c r="O41">
        <v>15</v>
      </c>
      <c r="P41" s="67" t="s">
        <v>147</v>
      </c>
      <c r="Q41" s="68">
        <v>200.8</v>
      </c>
      <c r="R41" s="67" t="s">
        <v>148</v>
      </c>
      <c r="S41" s="68">
        <v>213.7</v>
      </c>
      <c r="T41" s="68">
        <f t="shared" si="6"/>
        <v>12.899999999999977</v>
      </c>
      <c r="U41">
        <f t="shared" si="7"/>
        <v>150</v>
      </c>
      <c r="V41">
        <f t="shared" si="5"/>
        <v>5.2</v>
      </c>
      <c r="W41">
        <f t="shared" si="8"/>
        <v>18.12</v>
      </c>
      <c r="X41" s="19">
        <v>45242</v>
      </c>
      <c r="Y41" s="26">
        <v>465.9</v>
      </c>
      <c r="Z41" s="61">
        <v>0</v>
      </c>
      <c r="AB41" s="28">
        <f t="shared" si="2"/>
        <v>0.15290909090909094</v>
      </c>
      <c r="AE41" s="61" t="str">
        <f t="shared" si="9"/>
        <v/>
      </c>
      <c r="AF41" s="77" t="str">
        <f>_xlfn.XLOOKUP(AD41,menu!$K$2:$K$9,menu!$J$2:$J$9,"",1)</f>
        <v/>
      </c>
      <c r="AG41" s="80" t="str">
        <f>_xlfn.XLOOKUP(AH41,menu!$O$2:$O$9,menu!$H$2:$H$9,"")</f>
        <v>High</v>
      </c>
      <c r="AH41" s="81" t="s">
        <v>93</v>
      </c>
      <c r="AI41" t="str">
        <f>_xlfn.LET(_xlpm.x,_xlfn.CONCAT(_xlfn.XLOOKUP(D41,beans!$A$2:$A$300,beans!$J$2:$J$300,"")," / ",_xlfn.XLOOKUP(D41,beans!$A$2:$A$300,beans!$K$2:$K$300,"")," - ",_xlfn.XLOOKUP(D41,beans!$A$2:$A$300,beans!$L$2:$L$300,"")),IF(_xlpm.x=" /  - ","",_xlpm.x))</f>
        <v>古吉 罕貝拉 / 月見野櫻花 - Heirloom</v>
      </c>
      <c r="AJ41" s="23" t="s">
        <v>149</v>
      </c>
    </row>
    <row r="42" spans="1:37" x14ac:dyDescent="0.3">
      <c r="A42">
        <v>25</v>
      </c>
      <c r="B42">
        <v>250</v>
      </c>
      <c r="D42">
        <v>16</v>
      </c>
      <c r="E42" t="str">
        <f>_xlfn.LET(_xlpm.x,_xlfn.XLOOKUP(D42,beans!$A$2:$A$300,beans!$H$2:$H$300,""),IF(_xlpm.x="","",_xlpm.x))</f>
        <v>衣索比亞</v>
      </c>
      <c r="F42" s="22" t="str">
        <f>_xlfn.XLOOKUP(E42,menu!$A$2:$A$37,menu!$B$2:$B$37,"")</f>
        <v>Ethiopia</v>
      </c>
      <c r="G42" t="str">
        <f>_xlfn.XLOOKUP(E42,menu!$A$2:$A$37,menu!$C$2:$C$37,"")</f>
        <v>eth</v>
      </c>
      <c r="H42" t="str">
        <f>_xlfn.LET(_xlpm.x,_xlfn.XLOOKUP(_xlfn.XLOOKUP(D42,beans!$A$2:$A$300,beans!$I$2:$I$300),menu!$E$2:$E$20,menu!$F$2:$F$20),IF(_xlpm.x="","",_xlpm.x))</f>
        <v>natural</v>
      </c>
      <c r="I42">
        <v>200</v>
      </c>
      <c r="J42">
        <v>70</v>
      </c>
      <c r="K42">
        <v>40</v>
      </c>
      <c r="L42">
        <v>60</v>
      </c>
      <c r="M42" s="68" t="s">
        <v>67</v>
      </c>
      <c r="N42">
        <v>86.4</v>
      </c>
      <c r="O42">
        <v>16.600000000000001</v>
      </c>
      <c r="P42" s="67" t="s">
        <v>131</v>
      </c>
      <c r="Q42" s="68">
        <v>205.9</v>
      </c>
      <c r="R42" s="67" t="s">
        <v>150</v>
      </c>
      <c r="S42" s="68">
        <v>212.9</v>
      </c>
      <c r="T42" s="68">
        <f t="shared" si="6"/>
        <v>7</v>
      </c>
      <c r="U42">
        <f t="shared" si="7"/>
        <v>54</v>
      </c>
      <c r="V42">
        <f t="shared" si="5"/>
        <v>7.8</v>
      </c>
      <c r="W42">
        <f t="shared" si="8"/>
        <v>8.31</v>
      </c>
      <c r="X42" s="19">
        <v>45242</v>
      </c>
      <c r="Y42" s="26">
        <v>216.3</v>
      </c>
      <c r="Z42" s="61">
        <v>0</v>
      </c>
      <c r="AB42" s="28">
        <f t="shared" si="2"/>
        <v>0.13479999999999995</v>
      </c>
      <c r="AE42" s="61" t="str">
        <f t="shared" si="9"/>
        <v/>
      </c>
      <c r="AF42" s="77" t="str">
        <f>_xlfn.XLOOKUP(AD42,menu!$K$2:$K$9,menu!$J$2:$J$9,"",1)</f>
        <v/>
      </c>
      <c r="AG42" s="80" t="str">
        <f>_xlfn.XLOOKUP(AH42,menu!$O$2:$O$9,menu!$H$2:$H$9,"")</f>
        <v>Cinamon</v>
      </c>
      <c r="AH42" s="81" t="s">
        <v>78</v>
      </c>
      <c r="AI42" t="str">
        <f>_xlfn.LET(_xlpm.x,_xlfn.CONCAT(_xlfn.XLOOKUP(D42,beans!$A$2:$A$300,beans!$J$2:$J$300,"")," / ",_xlfn.XLOOKUP(D42,beans!$A$2:$A$300,beans!$K$2:$K$300,"")," - ",_xlfn.XLOOKUP(D42,beans!$A$2:$A$300,beans!$L$2:$L$300,"")),IF(_xlpm.x=" /  - ","",_xlpm.x))</f>
        <v>西達摩 龐貝 / 艾菈 - Heirloom</v>
      </c>
      <c r="AJ42" s="23" t="s">
        <v>151</v>
      </c>
    </row>
    <row r="43" spans="1:37" x14ac:dyDescent="0.3">
      <c r="A43">
        <v>26</v>
      </c>
      <c r="B43">
        <v>550</v>
      </c>
      <c r="D43">
        <v>4</v>
      </c>
      <c r="E43" t="str">
        <f>_xlfn.LET(_xlpm.x,_xlfn.XLOOKUP(D43,beans!$A$2:$A$300,beans!$H$2:$H$300,""),IF(_xlpm.x="","",_xlpm.x))</f>
        <v>衣索比亞</v>
      </c>
      <c r="F43" s="22" t="str">
        <f>_xlfn.XLOOKUP(E43,menu!$A$2:$A$37,menu!$B$2:$B$37,"")</f>
        <v>Ethiopia</v>
      </c>
      <c r="G43" t="str">
        <f>_xlfn.XLOOKUP(E43,menu!$A$2:$A$37,menu!$C$2:$C$37,"")</f>
        <v>eth</v>
      </c>
      <c r="H43" t="str">
        <f>_xlfn.LET(_xlpm.x,_xlfn.XLOOKUP(_xlfn.XLOOKUP(D43,beans!$A$2:$A$300,beans!$I$2:$I$300),menu!$E$2:$E$20,menu!$F$2:$F$20),IF(_xlpm.x="","",_xlpm.x))</f>
        <v>red-honey</v>
      </c>
      <c r="I43">
        <v>210</v>
      </c>
      <c r="J43">
        <v>75</v>
      </c>
      <c r="K43">
        <v>50</v>
      </c>
      <c r="L43">
        <v>95</v>
      </c>
      <c r="M43" s="68" t="s">
        <v>71</v>
      </c>
      <c r="N43">
        <v>81.3</v>
      </c>
      <c r="O43">
        <v>21.2</v>
      </c>
      <c r="P43" s="67" t="s">
        <v>135</v>
      </c>
      <c r="Q43" s="68">
        <v>200.8</v>
      </c>
      <c r="R43" s="67" t="s">
        <v>152</v>
      </c>
      <c r="S43" s="68">
        <v>213.8</v>
      </c>
      <c r="T43" s="68">
        <f t="shared" si="6"/>
        <v>13</v>
      </c>
      <c r="U43">
        <f t="shared" si="7"/>
        <v>133</v>
      </c>
      <c r="V43">
        <f t="shared" si="5"/>
        <v>5.9</v>
      </c>
      <c r="W43">
        <f t="shared" si="8"/>
        <v>16.48</v>
      </c>
      <c r="X43" s="19">
        <v>45243</v>
      </c>
      <c r="Y43" s="26">
        <v>466.5</v>
      </c>
      <c r="Z43" s="61">
        <v>0</v>
      </c>
      <c r="AB43" s="28">
        <f t="shared" si="2"/>
        <v>0.15181818181818182</v>
      </c>
      <c r="AE43" s="61" t="str">
        <f t="shared" si="9"/>
        <v/>
      </c>
      <c r="AF43" s="77" t="str">
        <f>_xlfn.XLOOKUP(AD43,menu!$K$2:$K$9,menu!$J$2:$J$9,"",1)</f>
        <v/>
      </c>
      <c r="AG43" s="80" t="str">
        <f>_xlfn.XLOOKUP(AH43,menu!$O$2:$O$9,menu!$H$2:$H$9,"")</f>
        <v>High</v>
      </c>
      <c r="AH43" s="81" t="s">
        <v>93</v>
      </c>
      <c r="AI43" t="str">
        <f>_xlfn.LET(_xlpm.x,_xlfn.CONCAT(_xlfn.XLOOKUP(D43,beans!$A$2:$A$300,beans!$J$2:$J$300,"")," / ",_xlfn.XLOOKUP(D43,beans!$A$2:$A$300,beans!$K$2:$K$300,"")," - ",_xlfn.XLOOKUP(D43,beans!$A$2:$A$300,beans!$L$2:$L$300,"")),IF(_xlpm.x=" /  - ","",_xlpm.x))</f>
        <v>古吉 罕貝拉 / 月見野櫻花 - Heirloom</v>
      </c>
      <c r="AJ43" s="23" t="s">
        <v>153</v>
      </c>
    </row>
    <row r="44" spans="1:37" x14ac:dyDescent="0.3">
      <c r="A44">
        <v>27</v>
      </c>
      <c r="B44">
        <v>550</v>
      </c>
      <c r="D44">
        <v>4</v>
      </c>
      <c r="E44" t="str">
        <f>_xlfn.LET(_xlpm.x,_xlfn.XLOOKUP(D44,beans!$A$2:$A$300,beans!$H$2:$H$300,""),IF(_xlpm.x="","",_xlpm.x))</f>
        <v>衣索比亞</v>
      </c>
      <c r="F44" s="22" t="str">
        <f>_xlfn.XLOOKUP(E44,menu!$A$2:$A$37,menu!$B$2:$B$37,"")</f>
        <v>Ethiopia</v>
      </c>
      <c r="G44" t="str">
        <f>_xlfn.XLOOKUP(E44,menu!$A$2:$A$37,menu!$C$2:$C$37,"")</f>
        <v>eth</v>
      </c>
      <c r="H44" t="str">
        <f>_xlfn.LET(_xlpm.x,_xlfn.XLOOKUP(_xlfn.XLOOKUP(D44,beans!$A$2:$A$300,beans!$I$2:$I$300),menu!$E$2:$E$20,menu!$F$2:$F$20),IF(_xlpm.x="","",_xlpm.x))</f>
        <v>red-honey</v>
      </c>
      <c r="I44">
        <v>200</v>
      </c>
      <c r="J44">
        <v>75</v>
      </c>
      <c r="K44">
        <v>50</v>
      </c>
      <c r="L44">
        <v>95</v>
      </c>
      <c r="M44" s="68" t="s">
        <v>114</v>
      </c>
      <c r="N44">
        <v>83.7</v>
      </c>
      <c r="O44">
        <v>18.100000000000001</v>
      </c>
      <c r="P44" s="67" t="s">
        <v>154</v>
      </c>
      <c r="Q44" s="68">
        <v>202.1</v>
      </c>
      <c r="R44" s="67" t="s">
        <v>155</v>
      </c>
      <c r="S44" s="68">
        <v>213.7</v>
      </c>
      <c r="T44" s="68">
        <f t="shared" si="6"/>
        <v>11.599999999999994</v>
      </c>
      <c r="U44">
        <f t="shared" si="7"/>
        <v>129</v>
      </c>
      <c r="V44">
        <f t="shared" si="5"/>
        <v>5.4</v>
      </c>
      <c r="W44">
        <f t="shared" si="8"/>
        <v>15.85</v>
      </c>
      <c r="X44" s="19">
        <v>45243</v>
      </c>
      <c r="Y44" s="26">
        <v>465.8</v>
      </c>
      <c r="Z44" s="61">
        <v>0</v>
      </c>
      <c r="AB44" s="28">
        <f t="shared" si="2"/>
        <v>0.15309090909090908</v>
      </c>
      <c r="AE44" s="61" t="str">
        <f t="shared" si="9"/>
        <v/>
      </c>
      <c r="AF44" s="77" t="str">
        <f>_xlfn.XLOOKUP(AD44,menu!$K$2:$K$9,menu!$J$2:$J$9,"",1)</f>
        <v/>
      </c>
      <c r="AG44" s="80" t="str">
        <f>_xlfn.XLOOKUP(AH44,menu!$O$2:$O$9,menu!$H$2:$H$9,"")</f>
        <v>High</v>
      </c>
      <c r="AH44" s="81" t="s">
        <v>93</v>
      </c>
      <c r="AI44" t="str">
        <f>_xlfn.LET(_xlpm.x,_xlfn.CONCAT(_xlfn.XLOOKUP(D44,beans!$A$2:$A$300,beans!$J$2:$J$300,"")," / ",_xlfn.XLOOKUP(D44,beans!$A$2:$A$300,beans!$K$2:$K$300,"")," - ",_xlfn.XLOOKUP(D44,beans!$A$2:$A$300,beans!$L$2:$L$300,"")),IF(_xlpm.x=" /  - ","",_xlpm.x))</f>
        <v>古吉 罕貝拉 / 月見野櫻花 - Heirloom</v>
      </c>
      <c r="AJ44" s="23" t="s">
        <v>156</v>
      </c>
    </row>
    <row r="45" spans="1:37" x14ac:dyDescent="0.3">
      <c r="A45">
        <v>28</v>
      </c>
      <c r="B45">
        <v>550</v>
      </c>
      <c r="D45">
        <v>4</v>
      </c>
      <c r="E45" t="str">
        <f>_xlfn.LET(_xlpm.x,_xlfn.XLOOKUP(D45,beans!$A$2:$A$300,beans!$H$2:$H$300,""),IF(_xlpm.x="","",_xlpm.x))</f>
        <v>衣索比亞</v>
      </c>
      <c r="F45" s="22" t="str">
        <f>_xlfn.XLOOKUP(E45,menu!$A$2:$A$37,menu!$B$2:$B$37,"")</f>
        <v>Ethiopia</v>
      </c>
      <c r="G45" t="str">
        <f>_xlfn.XLOOKUP(E45,menu!$A$2:$A$37,menu!$C$2:$C$37,"")</f>
        <v>eth</v>
      </c>
      <c r="H45" t="str">
        <f>_xlfn.LET(_xlpm.x,_xlfn.XLOOKUP(_xlfn.XLOOKUP(D45,beans!$A$2:$A$300,beans!$I$2:$I$300),menu!$E$2:$E$20,menu!$F$2:$F$20),IF(_xlpm.x="","",_xlpm.x))</f>
        <v>red-honey</v>
      </c>
      <c r="I45">
        <v>210</v>
      </c>
      <c r="J45">
        <v>75</v>
      </c>
      <c r="K45">
        <v>50</v>
      </c>
      <c r="L45">
        <v>95</v>
      </c>
      <c r="M45" s="68" t="s">
        <v>157</v>
      </c>
      <c r="N45">
        <v>85.9</v>
      </c>
      <c r="O45">
        <v>16.7</v>
      </c>
      <c r="P45" s="67" t="s">
        <v>158</v>
      </c>
      <c r="Q45" s="68">
        <v>203.2</v>
      </c>
      <c r="R45" s="67" t="s">
        <v>159</v>
      </c>
      <c r="S45" s="68">
        <v>213.7</v>
      </c>
      <c r="T45" s="68">
        <f t="shared" si="6"/>
        <v>10.5</v>
      </c>
      <c r="U45">
        <f t="shared" si="7"/>
        <v>129</v>
      </c>
      <c r="V45">
        <f t="shared" si="5"/>
        <v>4.9000000000000004</v>
      </c>
      <c r="W45">
        <f t="shared" si="8"/>
        <v>15.81</v>
      </c>
      <c r="X45" s="19">
        <v>45243</v>
      </c>
      <c r="Y45" s="26">
        <v>466.1</v>
      </c>
      <c r="Z45" s="61">
        <v>0</v>
      </c>
      <c r="AB45" s="28">
        <f t="shared" si="2"/>
        <v>0.15254545454545451</v>
      </c>
      <c r="AE45" s="61" t="str">
        <f t="shared" si="9"/>
        <v/>
      </c>
      <c r="AF45" s="77" t="str">
        <f>_xlfn.XLOOKUP(AD45,menu!$K$2:$K$9,menu!$J$2:$J$9,"",1)</f>
        <v/>
      </c>
      <c r="AG45" s="80" t="str">
        <f>_xlfn.XLOOKUP(AH45,menu!$O$2:$O$9,menu!$H$2:$H$9,"")</f>
        <v>High</v>
      </c>
      <c r="AH45" s="81" t="s">
        <v>93</v>
      </c>
      <c r="AI45" t="str">
        <f>_xlfn.LET(_xlpm.x,_xlfn.CONCAT(_xlfn.XLOOKUP(D45,beans!$A$2:$A$300,beans!$J$2:$J$300,"")," / ",_xlfn.XLOOKUP(D45,beans!$A$2:$A$300,beans!$K$2:$K$300,"")," - ",_xlfn.XLOOKUP(D45,beans!$A$2:$A$300,beans!$L$2:$L$300,"")),IF(_xlpm.x=" /  - ","",_xlpm.x))</f>
        <v>古吉 罕貝拉 / 月見野櫻花 - Heirloom</v>
      </c>
      <c r="AJ45" s="23" t="s">
        <v>153</v>
      </c>
    </row>
    <row r="46" spans="1:37" x14ac:dyDescent="0.3">
      <c r="A46">
        <v>29</v>
      </c>
      <c r="B46">
        <v>550</v>
      </c>
      <c r="D46">
        <v>4</v>
      </c>
      <c r="E46" t="str">
        <f>_xlfn.LET(_xlpm.x,_xlfn.XLOOKUP(D46,beans!$A$2:$A$300,beans!$H$2:$H$300,""),IF(_xlpm.x="","",_xlpm.x))</f>
        <v>衣索比亞</v>
      </c>
      <c r="F46" s="22" t="str">
        <f>_xlfn.XLOOKUP(E46,menu!$A$2:$A$37,menu!$B$2:$B$37,"")</f>
        <v>Ethiopia</v>
      </c>
      <c r="G46" t="str">
        <f>_xlfn.XLOOKUP(E46,menu!$A$2:$A$37,menu!$C$2:$C$37,"")</f>
        <v>eth</v>
      </c>
      <c r="H46" t="str">
        <f>_xlfn.LET(_xlpm.x,_xlfn.XLOOKUP(_xlfn.XLOOKUP(D46,beans!$A$2:$A$300,beans!$I$2:$I$300),menu!$E$2:$E$20,menu!$F$2:$F$20),IF(_xlpm.x="","",_xlpm.x))</f>
        <v>red-honey</v>
      </c>
      <c r="I46">
        <v>185</v>
      </c>
      <c r="J46">
        <v>75</v>
      </c>
      <c r="K46">
        <v>50</v>
      </c>
      <c r="L46">
        <v>95</v>
      </c>
      <c r="M46" s="68" t="s">
        <v>160</v>
      </c>
      <c r="N46">
        <v>82.3</v>
      </c>
      <c r="O46">
        <v>19</v>
      </c>
      <c r="P46" s="67" t="s">
        <v>161</v>
      </c>
      <c r="Q46" s="68">
        <v>200.5</v>
      </c>
      <c r="R46" s="67" t="s">
        <v>162</v>
      </c>
      <c r="S46" s="68">
        <v>213.7</v>
      </c>
      <c r="T46" s="68">
        <f t="shared" si="6"/>
        <v>13.199999999999989</v>
      </c>
      <c r="U46">
        <f t="shared" si="7"/>
        <v>134</v>
      </c>
      <c r="V46">
        <f t="shared" si="5"/>
        <v>5.9</v>
      </c>
      <c r="W46">
        <f t="shared" si="8"/>
        <v>16.52</v>
      </c>
      <c r="X46" s="19">
        <v>45243</v>
      </c>
      <c r="Y46" s="26">
        <v>466.9</v>
      </c>
      <c r="Z46" s="61">
        <v>0</v>
      </c>
      <c r="AB46" s="28">
        <f t="shared" si="2"/>
        <v>0.15109090909090914</v>
      </c>
      <c r="AE46" s="61" t="str">
        <f t="shared" si="9"/>
        <v/>
      </c>
      <c r="AF46" s="77" t="str">
        <f>_xlfn.XLOOKUP(AD46,menu!$K$2:$K$9,menu!$J$2:$J$9,"",1)</f>
        <v/>
      </c>
      <c r="AG46" s="80" t="str">
        <f>_xlfn.XLOOKUP(AH46,menu!$O$2:$O$9,menu!$H$2:$H$9,"")</f>
        <v>High</v>
      </c>
      <c r="AH46" s="81" t="s">
        <v>93</v>
      </c>
      <c r="AI46" t="str">
        <f>_xlfn.LET(_xlpm.x,_xlfn.CONCAT(_xlfn.XLOOKUP(D46,beans!$A$2:$A$300,beans!$J$2:$J$300,"")," / ",_xlfn.XLOOKUP(D46,beans!$A$2:$A$300,beans!$K$2:$K$300,"")," - ",_xlfn.XLOOKUP(D46,beans!$A$2:$A$300,beans!$L$2:$L$300,"")),IF(_xlpm.x=" /  - ","",_xlpm.x))</f>
        <v>古吉 罕貝拉 / 月見野櫻花 - Heirloom</v>
      </c>
      <c r="AJ46" s="23" t="s">
        <v>156</v>
      </c>
    </row>
    <row r="47" spans="1:37" x14ac:dyDescent="0.3">
      <c r="A47">
        <v>30</v>
      </c>
      <c r="B47">
        <v>250</v>
      </c>
      <c r="C47">
        <v>8</v>
      </c>
      <c r="D47">
        <v>16</v>
      </c>
      <c r="E47" t="str">
        <f>_xlfn.LET(_xlpm.x,_xlfn.XLOOKUP(D47,beans!$A$2:$A$300,beans!$H$2:$H$300,""),IF(_xlpm.x="","",_xlpm.x))</f>
        <v>衣索比亞</v>
      </c>
      <c r="F47" s="22" t="str">
        <f>_xlfn.XLOOKUP(E47,menu!$A$2:$A$37,menu!$B$2:$B$37,"")</f>
        <v>Ethiopia</v>
      </c>
      <c r="G47" t="str">
        <f>_xlfn.XLOOKUP(E47,menu!$A$2:$A$37,menu!$C$2:$C$37,"")</f>
        <v>eth</v>
      </c>
      <c r="H47" t="str">
        <f>_xlfn.LET(_xlpm.x,_xlfn.XLOOKUP(_xlfn.XLOOKUP(D47,beans!$A$2:$A$300,beans!$I$2:$I$300),menu!$E$2:$E$20,menu!$F$2:$F$20),IF(_xlpm.x="","",_xlpm.x))</f>
        <v>natural</v>
      </c>
      <c r="I47">
        <v>200</v>
      </c>
      <c r="J47">
        <v>70</v>
      </c>
      <c r="K47">
        <v>35</v>
      </c>
      <c r="L47">
        <v>60</v>
      </c>
      <c r="M47" s="68" t="s">
        <v>163</v>
      </c>
      <c r="N47">
        <v>85.7</v>
      </c>
      <c r="O47">
        <v>16.2</v>
      </c>
      <c r="P47" s="67" t="s">
        <v>164</v>
      </c>
      <c r="Q47" s="68">
        <v>204.2</v>
      </c>
      <c r="R47" s="67" t="s">
        <v>165</v>
      </c>
      <c r="S47" s="68">
        <v>214.7</v>
      </c>
      <c r="T47" s="68">
        <f t="shared" si="6"/>
        <v>10.5</v>
      </c>
      <c r="U47">
        <f t="shared" si="7"/>
        <v>45</v>
      </c>
      <c r="V47">
        <f t="shared" si="5"/>
        <v>14</v>
      </c>
      <c r="W47">
        <f t="shared" si="8"/>
        <v>7.06</v>
      </c>
      <c r="X47" s="19">
        <v>45244</v>
      </c>
      <c r="Y47" s="26">
        <v>216</v>
      </c>
      <c r="Z47" s="61">
        <v>0</v>
      </c>
      <c r="AB47" s="28">
        <f t="shared" si="2"/>
        <v>0.13600000000000001</v>
      </c>
      <c r="AE47" s="61" t="str">
        <f t="shared" si="9"/>
        <v/>
      </c>
      <c r="AF47" s="77" t="str">
        <f>_xlfn.XLOOKUP(AD47,menu!$K$2:$K$9,menu!$J$2:$J$9,"",1)</f>
        <v/>
      </c>
      <c r="AG47" s="80" t="str">
        <f>_xlfn.XLOOKUP(AH47,menu!$O$2:$O$9,menu!$H$2:$H$9,"")</f>
        <v>Cinamon</v>
      </c>
      <c r="AH47" s="81" t="s">
        <v>78</v>
      </c>
      <c r="AI47" t="str">
        <f>_xlfn.LET(_xlpm.x,_xlfn.CONCAT(_xlfn.XLOOKUP(D47,beans!$A$2:$A$300,beans!$J$2:$J$300,"")," / ",_xlfn.XLOOKUP(D47,beans!$A$2:$A$300,beans!$K$2:$K$300,"")," - ",_xlfn.XLOOKUP(D47,beans!$A$2:$A$300,beans!$L$2:$L$300,"")),IF(_xlpm.x=" /  - ","",_xlpm.x))</f>
        <v>西達摩 龐貝 / 艾菈 - Heirloom</v>
      </c>
      <c r="AJ47" s="23" t="s">
        <v>166</v>
      </c>
    </row>
    <row r="48" spans="1:37" x14ac:dyDescent="0.3">
      <c r="A48">
        <v>31</v>
      </c>
      <c r="B48">
        <v>250</v>
      </c>
      <c r="D48">
        <v>24</v>
      </c>
      <c r="E48" t="str">
        <f>_xlfn.LET(_xlpm.x,_xlfn.XLOOKUP(D48,beans!$A$2:$A$300,beans!$H$2:$H$300,""),IF(_xlpm.x="","",_xlpm.x))</f>
        <v>肯亞</v>
      </c>
      <c r="F48" s="22" t="str">
        <f>_xlfn.XLOOKUP(E48,menu!$A$2:$A$37,menu!$B$2:$B$37,"")</f>
        <v>Kenya</v>
      </c>
      <c r="G48" t="str">
        <f>_xlfn.XLOOKUP(E48,menu!$A$2:$A$37,menu!$C$2:$C$37,"")</f>
        <v>ken</v>
      </c>
      <c r="H48" t="str">
        <f>_xlfn.LET(_xlpm.x,_xlfn.XLOOKUP(_xlfn.XLOOKUP(D48,beans!$A$2:$A$300,beans!$I$2:$I$300),menu!$E$2:$E$20,menu!$F$2:$F$20),IF(_xlpm.x="","",_xlpm.x))</f>
        <v>washed</v>
      </c>
      <c r="I48">
        <v>210</v>
      </c>
      <c r="J48">
        <v>75</v>
      </c>
      <c r="K48">
        <v>35</v>
      </c>
      <c r="L48">
        <v>60</v>
      </c>
      <c r="M48" s="68" t="s">
        <v>67</v>
      </c>
      <c r="N48">
        <v>96.2</v>
      </c>
      <c r="O48">
        <v>19.399999999999999</v>
      </c>
      <c r="P48" s="67" t="s">
        <v>167</v>
      </c>
      <c r="Q48" s="68">
        <v>198.8</v>
      </c>
      <c r="R48" s="67" t="s">
        <v>98</v>
      </c>
      <c r="S48" s="68">
        <v>218.1</v>
      </c>
      <c r="T48" s="68">
        <f t="shared" si="6"/>
        <v>19.299999999999983</v>
      </c>
      <c r="U48">
        <f t="shared" si="7"/>
        <v>143</v>
      </c>
      <c r="V48">
        <f t="shared" si="5"/>
        <v>8.1</v>
      </c>
      <c r="W48">
        <f t="shared" si="8"/>
        <v>22.14</v>
      </c>
      <c r="X48" s="19">
        <v>45244</v>
      </c>
      <c r="Y48" s="26">
        <v>214.7</v>
      </c>
      <c r="Z48" s="61">
        <v>0</v>
      </c>
      <c r="AB48" s="28">
        <f t="shared" si="2"/>
        <v>0.14120000000000005</v>
      </c>
      <c r="AC48" s="110">
        <v>46</v>
      </c>
      <c r="AD48" s="26">
        <v>61</v>
      </c>
      <c r="AE48" s="61">
        <f t="shared" si="9"/>
        <v>15</v>
      </c>
      <c r="AF48" s="77" t="str">
        <f>_xlfn.XLOOKUP(AD48,menu!$K$2:$K$9,menu!$J$2:$J$9,"",1)</f>
        <v>中淺</v>
      </c>
      <c r="AG48" s="80" t="str">
        <f>_xlfn.XLOOKUP(AH48,menu!$O$2:$O$9,menu!$H$2:$H$9,"")</f>
        <v>High</v>
      </c>
      <c r="AH48" s="81" t="s">
        <v>93</v>
      </c>
      <c r="AI48" t="str">
        <f>_xlfn.LET(_xlpm.x,_xlfn.CONCAT(_xlfn.XLOOKUP(D48,beans!$A$2:$A$300,beans!$J$2:$J$300,"")," / ",_xlfn.XLOOKUP(D48,beans!$A$2:$A$300,beans!$K$2:$K$300,"")," - ",_xlfn.XLOOKUP(D48,beans!$A$2:$A$300,beans!$L$2:$L$300,"")),IF(_xlpm.x=" /  - ","",_xlpm.x))</f>
        <v>麒麟雅加 / 奇雅沐谷 - SL28 / Ruiru 11 / Batian</v>
      </c>
      <c r="AJ48" s="23" t="s">
        <v>168</v>
      </c>
    </row>
    <row r="49" spans="1:36" x14ac:dyDescent="0.3">
      <c r="A49">
        <v>32</v>
      </c>
      <c r="B49">
        <v>250</v>
      </c>
      <c r="D49">
        <v>20</v>
      </c>
      <c r="E49" t="str">
        <f>_xlfn.LET(_xlpm.x,_xlfn.XLOOKUP(D49,beans!$A$2:$A$300,beans!$H$2:$H$300,""),IF(_xlpm.x="","",_xlpm.x))</f>
        <v>衣索比亞</v>
      </c>
      <c r="F49" s="22" t="str">
        <f>_xlfn.XLOOKUP(E49,menu!$A$2:$A$37,menu!$B$2:$B$37,"")</f>
        <v>Ethiopia</v>
      </c>
      <c r="G49" t="str">
        <f>_xlfn.XLOOKUP(E49,menu!$A$2:$A$37,menu!$C$2:$C$37,"")</f>
        <v>eth</v>
      </c>
      <c r="H49" t="str">
        <f>_xlfn.LET(_xlpm.x,_xlfn.XLOOKUP(_xlfn.XLOOKUP(D49,beans!$A$2:$A$300,beans!$I$2:$I$300),menu!$E$2:$E$20,menu!$F$2:$F$20),IF(_xlpm.x="","",_xlpm.x))</f>
        <v>washed</v>
      </c>
      <c r="I49">
        <v>210</v>
      </c>
      <c r="J49">
        <v>75</v>
      </c>
      <c r="K49">
        <v>35</v>
      </c>
      <c r="L49">
        <v>60</v>
      </c>
      <c r="M49" s="68" t="s">
        <v>114</v>
      </c>
      <c r="N49">
        <v>93.4</v>
      </c>
      <c r="O49">
        <v>19.2</v>
      </c>
      <c r="P49" s="67" t="s">
        <v>169</v>
      </c>
      <c r="Q49" s="68">
        <v>196.1</v>
      </c>
      <c r="R49" s="67" t="s">
        <v>170</v>
      </c>
      <c r="S49" s="68">
        <v>208.7</v>
      </c>
      <c r="T49" s="68">
        <f t="shared" si="6"/>
        <v>12.599999999999994</v>
      </c>
      <c r="U49">
        <f t="shared" si="7"/>
        <v>100</v>
      </c>
      <c r="V49">
        <f t="shared" si="5"/>
        <v>7.6</v>
      </c>
      <c r="W49">
        <f t="shared" si="8"/>
        <v>17.45</v>
      </c>
      <c r="X49" s="19">
        <v>45244</v>
      </c>
      <c r="Y49" s="26">
        <v>222</v>
      </c>
      <c r="Z49" s="61">
        <v>0</v>
      </c>
      <c r="AB49" s="28">
        <f t="shared" si="2"/>
        <v>0.112</v>
      </c>
      <c r="AC49" s="110">
        <v>59</v>
      </c>
      <c r="AD49" s="26">
        <v>84</v>
      </c>
      <c r="AE49" s="61">
        <f t="shared" si="9"/>
        <v>25</v>
      </c>
      <c r="AF49" s="77" t="str">
        <f>_xlfn.XLOOKUP(AD49,menu!$K$2:$K$9,menu!$J$2:$J$9,"",1)</f>
        <v>極淺</v>
      </c>
      <c r="AG49" s="80" t="str">
        <f>_xlfn.XLOOKUP(AH49,menu!$O$2:$O$9,menu!$H$2:$H$9,"")</f>
        <v>Cinamon</v>
      </c>
      <c r="AH49" s="81" t="s">
        <v>78</v>
      </c>
      <c r="AI49" t="str">
        <f>_xlfn.LET(_xlpm.x,_xlfn.CONCAT(_xlfn.XLOOKUP(D49,beans!$A$2:$A$300,beans!$J$2:$J$300,"")," / ",_xlfn.XLOOKUP(D49,beans!$A$2:$A$300,beans!$K$2:$K$300,"")," - ",_xlfn.XLOOKUP(D49,beans!$A$2:$A$300,beans!$L$2:$L$300,"")),IF(_xlpm.x=" /  - ","",_xlpm.x))</f>
        <v>古吉 / 蔻薩村 格蕾娜 - Geisha</v>
      </c>
      <c r="AJ49" s="23" t="s">
        <v>168</v>
      </c>
    </row>
    <row r="50" spans="1:36" x14ac:dyDescent="0.3">
      <c r="A50">
        <v>33</v>
      </c>
      <c r="B50">
        <v>250</v>
      </c>
      <c r="D50">
        <v>17</v>
      </c>
      <c r="E50" t="str">
        <f>_xlfn.LET(_xlpm.x,_xlfn.XLOOKUP(D50,beans!$A$2:$A$300,beans!$H$2:$H$300,""),IF(_xlpm.x="","",_xlpm.x))</f>
        <v>衣索比亞</v>
      </c>
      <c r="F50" s="22" t="str">
        <f>_xlfn.XLOOKUP(E50,menu!$A$2:$A$37,menu!$B$2:$B$37,"")</f>
        <v>Ethiopia</v>
      </c>
      <c r="G50" t="str">
        <f>_xlfn.XLOOKUP(E50,menu!$A$2:$A$37,menu!$C$2:$C$37,"")</f>
        <v>eth</v>
      </c>
      <c r="H50" t="str">
        <f>_xlfn.LET(_xlpm.x,_xlfn.XLOOKUP(_xlfn.XLOOKUP(D50,beans!$A$2:$A$300,beans!$I$2:$I$300),menu!$E$2:$E$20,menu!$F$2:$F$20),IF(_xlpm.x="","",_xlpm.x))</f>
        <v>Carbonic Natural</v>
      </c>
      <c r="I50">
        <v>210</v>
      </c>
      <c r="J50">
        <v>75</v>
      </c>
      <c r="K50">
        <v>35</v>
      </c>
      <c r="L50">
        <v>60</v>
      </c>
      <c r="M50" s="68" t="s">
        <v>101</v>
      </c>
      <c r="N50">
        <v>95.3</v>
      </c>
      <c r="O50">
        <v>20.7</v>
      </c>
      <c r="P50" s="67" t="s">
        <v>171</v>
      </c>
      <c r="Q50" s="68">
        <v>203.9</v>
      </c>
      <c r="R50" s="67" t="s">
        <v>172</v>
      </c>
      <c r="S50" s="68">
        <v>210.5</v>
      </c>
      <c r="T50" s="68">
        <f t="shared" si="6"/>
        <v>6.5999999999999943</v>
      </c>
      <c r="U50">
        <f t="shared" si="7"/>
        <v>63</v>
      </c>
      <c r="V50">
        <f t="shared" si="5"/>
        <v>6.3</v>
      </c>
      <c r="W50">
        <f t="shared" si="8"/>
        <v>10.11</v>
      </c>
      <c r="X50" s="19">
        <v>45244</v>
      </c>
      <c r="Y50" s="26">
        <v>222</v>
      </c>
      <c r="Z50" s="61">
        <v>0</v>
      </c>
      <c r="AB50" s="28">
        <f t="shared" si="2"/>
        <v>0.112</v>
      </c>
      <c r="AC50" s="110">
        <v>59</v>
      </c>
      <c r="AD50" s="26">
        <v>79</v>
      </c>
      <c r="AE50" s="61">
        <f t="shared" si="9"/>
        <v>20</v>
      </c>
      <c r="AF50" s="77" t="str">
        <f>_xlfn.XLOOKUP(AD50,menu!$K$2:$K$9,menu!$J$2:$J$9,"",1)</f>
        <v>淺</v>
      </c>
      <c r="AG50" s="80" t="str">
        <f>_xlfn.XLOOKUP(AH50,menu!$O$2:$O$9,menu!$H$2:$H$9,"")</f>
        <v>Cinamon</v>
      </c>
      <c r="AH50" s="81" t="s">
        <v>78</v>
      </c>
      <c r="AI50" t="str">
        <f>_xlfn.LET(_xlpm.x,_xlfn.CONCAT(_xlfn.XLOOKUP(D50,beans!$A$2:$A$300,beans!$J$2:$J$300,"")," / ",_xlfn.XLOOKUP(D50,beans!$A$2:$A$300,beans!$K$2:$K$300,"")," - ",_xlfn.XLOOKUP(D50,beans!$A$2:$A$300,beans!$L$2:$L$300,"")),IF(_xlpm.x=" /  - ","",_xlpm.x))</f>
        <v>古吉 / 艾朵 - Heirloom</v>
      </c>
      <c r="AJ50" s="23" t="s">
        <v>168</v>
      </c>
    </row>
    <row r="51" spans="1:36" x14ac:dyDescent="0.3">
      <c r="A51">
        <v>34</v>
      </c>
      <c r="B51">
        <v>500</v>
      </c>
      <c r="C51">
        <v>7</v>
      </c>
      <c r="D51">
        <v>2</v>
      </c>
      <c r="E51" t="str">
        <f>_xlfn.LET(_xlpm.x,_xlfn.XLOOKUP(D51,beans!$A$2:$A$300,beans!$H$2:$H$300,""),IF(_xlpm.x="","",_xlpm.x))</f>
        <v>哥斯大黎加</v>
      </c>
      <c r="F51" s="22" t="str">
        <f>_xlfn.XLOOKUP(E51,menu!$A$2:$A$37,menu!$B$2:$B$37,"")</f>
        <v>Costa Rica</v>
      </c>
      <c r="G51" t="str">
        <f>_xlfn.XLOOKUP(E51,menu!$A$2:$A$37,menu!$C$2:$C$37,"")</f>
        <v>cri</v>
      </c>
      <c r="H51" t="str">
        <f>_xlfn.LET(_xlpm.x,_xlfn.XLOOKUP(_xlfn.XLOOKUP(D51,beans!$A$2:$A$300,beans!$I$2:$I$300),menu!$E$2:$E$20,menu!$F$2:$F$20),IF(_xlpm.x="","",_xlpm.x))</f>
        <v>raisin-honey</v>
      </c>
      <c r="I51">
        <v>210</v>
      </c>
      <c r="J51">
        <v>80</v>
      </c>
      <c r="K51">
        <v>40</v>
      </c>
      <c r="L51">
        <v>95</v>
      </c>
      <c r="M51" s="68" t="s">
        <v>157</v>
      </c>
      <c r="N51">
        <v>82.8</v>
      </c>
      <c r="O51">
        <v>22</v>
      </c>
      <c r="P51" s="67" t="s">
        <v>173</v>
      </c>
      <c r="Q51" s="68">
        <v>201.1</v>
      </c>
      <c r="R51" s="67" t="s">
        <v>174</v>
      </c>
      <c r="S51" s="68">
        <v>208.6</v>
      </c>
      <c r="T51" s="68">
        <f t="shared" si="6"/>
        <v>7.5</v>
      </c>
      <c r="U51">
        <f t="shared" si="7"/>
        <v>60</v>
      </c>
      <c r="V51">
        <f t="shared" si="5"/>
        <v>7.5</v>
      </c>
      <c r="W51">
        <f t="shared" si="8"/>
        <v>9.4</v>
      </c>
      <c r="X51" s="19">
        <v>45245</v>
      </c>
      <c r="Y51" s="26">
        <v>438</v>
      </c>
      <c r="Z51" s="61">
        <v>0</v>
      </c>
      <c r="AB51" s="28">
        <f t="shared" si="2"/>
        <v>0.124</v>
      </c>
      <c r="AE51" s="61" t="str">
        <f t="shared" si="9"/>
        <v/>
      </c>
      <c r="AF51" s="77" t="str">
        <f>_xlfn.XLOOKUP(AD51,menu!$K$2:$K$9,menu!$J$2:$J$9,"",1)</f>
        <v/>
      </c>
      <c r="AG51" s="80" t="str">
        <f>_xlfn.XLOOKUP(AH51,menu!$O$2:$O$9,menu!$H$2:$H$9,"")</f>
        <v>Medium</v>
      </c>
      <c r="AH51" s="81" t="s">
        <v>72</v>
      </c>
      <c r="AI51" t="str">
        <f>_xlfn.LET(_xlpm.x,_xlfn.CONCAT(_xlfn.XLOOKUP(D51,beans!$A$2:$A$300,beans!$J$2:$J$300,"")," / ",_xlfn.XLOOKUP(D51,beans!$A$2:$A$300,beans!$K$2:$K$300,"")," - ",_xlfn.XLOOKUP(D51,beans!$A$2:$A$300,beans!$L$2:$L$300,"")),IF(_xlpm.x=" /  - ","",_xlpm.x))</f>
        <v xml:space="preserve">Tarrazu / 卡內特 音樂家系列 莫札特 - </v>
      </c>
      <c r="AJ51" s="23" t="s">
        <v>175</v>
      </c>
    </row>
    <row r="52" spans="1:36" x14ac:dyDescent="0.3">
      <c r="A52">
        <v>35</v>
      </c>
      <c r="B52">
        <v>250</v>
      </c>
      <c r="D52">
        <v>13</v>
      </c>
      <c r="E52" t="str">
        <f>_xlfn.LET(_xlpm.x,_xlfn.XLOOKUP(D52,beans!$A$2:$A$300,beans!$H$2:$H$300,""),IF(_xlpm.x="","",_xlpm.x))</f>
        <v>衣索比亞</v>
      </c>
      <c r="F52" s="22" t="str">
        <f>_xlfn.XLOOKUP(E52,menu!$A$2:$A$37,menu!$B$2:$B$37,"")</f>
        <v>Ethiopia</v>
      </c>
      <c r="G52" t="str">
        <f>_xlfn.XLOOKUP(E52,menu!$A$2:$A$37,menu!$C$2:$C$37,"")</f>
        <v>eth</v>
      </c>
      <c r="H52" t="str">
        <f>_xlfn.LET(_xlpm.x,_xlfn.XLOOKUP(_xlfn.XLOOKUP(D52,beans!$A$2:$A$300,beans!$I$2:$I$300),menu!$E$2:$E$20,menu!$F$2:$F$20),IF(_xlpm.x="","",_xlpm.x))</f>
        <v>natural</v>
      </c>
      <c r="I52">
        <v>210</v>
      </c>
      <c r="J52">
        <v>70</v>
      </c>
      <c r="K52">
        <v>35</v>
      </c>
      <c r="L52">
        <v>70</v>
      </c>
      <c r="M52" s="68" t="s">
        <v>87</v>
      </c>
      <c r="N52">
        <v>91</v>
      </c>
      <c r="O52">
        <v>18</v>
      </c>
      <c r="P52" s="67" t="s">
        <v>170</v>
      </c>
      <c r="Q52" s="68">
        <v>204.2</v>
      </c>
      <c r="R52" s="67" t="s">
        <v>98</v>
      </c>
      <c r="S52" s="68">
        <v>215</v>
      </c>
      <c r="T52" s="68">
        <f t="shared" si="6"/>
        <v>10.800000000000011</v>
      </c>
      <c r="U52">
        <f t="shared" si="7"/>
        <v>73</v>
      </c>
      <c r="V52">
        <f t="shared" si="5"/>
        <v>8.9</v>
      </c>
      <c r="W52">
        <f t="shared" si="8"/>
        <v>11.3</v>
      </c>
      <c r="X52" s="19">
        <v>45245</v>
      </c>
      <c r="Y52" s="26">
        <v>216.8</v>
      </c>
      <c r="Z52" s="61">
        <f>180-60-120</f>
        <v>0</v>
      </c>
      <c r="AB52" s="28">
        <f t="shared" si="2"/>
        <v>0.13279999999999995</v>
      </c>
      <c r="AE52" s="61" t="str">
        <f t="shared" si="9"/>
        <v/>
      </c>
      <c r="AF52" s="77" t="str">
        <f>_xlfn.XLOOKUP(AD52,menu!$K$2:$K$9,menu!$J$2:$J$9,"",1)</f>
        <v/>
      </c>
      <c r="AG52" s="80" t="str">
        <f>_xlfn.XLOOKUP(AH52,menu!$O$2:$O$9,menu!$H$2:$H$9,"")</f>
        <v>Medium</v>
      </c>
      <c r="AH52" s="81" t="s">
        <v>72</v>
      </c>
      <c r="AI52" t="str">
        <f>_xlfn.LET(_xlpm.x,_xlfn.CONCAT(_xlfn.XLOOKUP(D52,beans!$A$2:$A$300,beans!$J$2:$J$300,"")," / ",_xlfn.XLOOKUP(D52,beans!$A$2:$A$300,beans!$K$2:$K$300,"")," - ",_xlfn.XLOOKUP(D52,beans!$A$2:$A$300,beans!$L$2:$L$300,"")),IF(_xlpm.x=" /  - ","",_xlpm.x))</f>
        <v>西達摩 / 花貝果娜 - 74110</v>
      </c>
      <c r="AJ52" s="23" t="s">
        <v>176</v>
      </c>
    </row>
    <row r="53" spans="1:36" x14ac:dyDescent="0.3">
      <c r="A53">
        <v>36</v>
      </c>
      <c r="B53">
        <v>259.2</v>
      </c>
      <c r="D53">
        <v>9</v>
      </c>
      <c r="E53" t="str">
        <f>_xlfn.LET(_xlpm.x,_xlfn.XLOOKUP(D53,beans!$A$2:$A$300,beans!$H$2:$H$300,""),IF(_xlpm.x="","",_xlpm.x))</f>
        <v>衣索比亞</v>
      </c>
      <c r="F53" s="22" t="str">
        <f>_xlfn.XLOOKUP(E53,menu!$A$2:$A$37,menu!$B$2:$B$37,"")</f>
        <v>Ethiopia</v>
      </c>
      <c r="G53" t="str">
        <f>_xlfn.XLOOKUP(E53,menu!$A$2:$A$37,menu!$C$2:$C$37,"")</f>
        <v>eth</v>
      </c>
      <c r="H53" t="str">
        <f>_xlfn.LET(_xlpm.x,_xlfn.XLOOKUP(_xlfn.XLOOKUP(D53,beans!$A$2:$A$300,beans!$I$2:$I$300),menu!$E$2:$E$20,menu!$F$2:$F$20),IF(_xlpm.x="","",_xlpm.x))</f>
        <v>natural</v>
      </c>
      <c r="I53">
        <v>210</v>
      </c>
      <c r="J53">
        <v>75</v>
      </c>
      <c r="K53">
        <v>35</v>
      </c>
      <c r="L53">
        <v>70</v>
      </c>
      <c r="M53" s="68" t="s">
        <v>67</v>
      </c>
      <c r="N53">
        <v>90.9</v>
      </c>
      <c r="O53">
        <v>21</v>
      </c>
      <c r="P53" s="67" t="s">
        <v>177</v>
      </c>
      <c r="Q53" s="68">
        <v>204.3</v>
      </c>
      <c r="R53" s="67" t="s">
        <v>139</v>
      </c>
      <c r="S53" s="68">
        <v>211.4</v>
      </c>
      <c r="T53" s="68">
        <f t="shared" si="6"/>
        <v>7.0999999999999943</v>
      </c>
      <c r="U53">
        <f t="shared" si="7"/>
        <v>46</v>
      </c>
      <c r="V53">
        <f t="shared" si="5"/>
        <v>9.3000000000000007</v>
      </c>
      <c r="W53">
        <f t="shared" si="8"/>
        <v>7.41</v>
      </c>
      <c r="X53" s="19">
        <v>45245</v>
      </c>
      <c r="Y53" s="26">
        <v>226.3</v>
      </c>
      <c r="Z53" s="61">
        <v>0</v>
      </c>
      <c r="AB53" s="28">
        <f t="shared" si="2"/>
        <v>0.12692901234567894</v>
      </c>
      <c r="AC53" s="110">
        <v>49</v>
      </c>
      <c r="AD53" s="26">
        <v>82</v>
      </c>
      <c r="AE53" s="61">
        <f t="shared" si="9"/>
        <v>33</v>
      </c>
      <c r="AF53" s="77" t="str">
        <f>_xlfn.XLOOKUP(AD53,menu!$K$2:$K$9,menu!$J$2:$J$9,"",1)</f>
        <v>極淺</v>
      </c>
      <c r="AG53" s="80" t="str">
        <f>_xlfn.XLOOKUP(AH53,menu!$O$2:$O$9,menu!$H$2:$H$9,"")</f>
        <v>Cinamon</v>
      </c>
      <c r="AH53" s="81" t="s">
        <v>78</v>
      </c>
      <c r="AI53" t="str">
        <f>_xlfn.LET(_xlpm.x,_xlfn.CONCAT(_xlfn.XLOOKUP(D53,beans!$A$2:$A$300,beans!$J$2:$J$300,"")," / ",_xlfn.XLOOKUP(D53,beans!$A$2:$A$300,beans!$K$2:$K$300,"")," - ",_xlfn.XLOOKUP(D53,beans!$A$2:$A$300,beans!$L$2:$L$300,"")),IF(_xlpm.x=" /  - ","",_xlpm.x))</f>
        <v>吉瑪 利姆 / 果美村 - 寶貝藝妓</v>
      </c>
      <c r="AJ53" s="23" t="s">
        <v>178</v>
      </c>
    </row>
    <row r="54" spans="1:36" x14ac:dyDescent="0.3">
      <c r="A54">
        <v>37</v>
      </c>
      <c r="B54">
        <v>250</v>
      </c>
      <c r="D54">
        <v>16</v>
      </c>
      <c r="E54" t="str">
        <f>_xlfn.LET(_xlpm.x,_xlfn.XLOOKUP(D54,beans!$A$2:$A$300,beans!$H$2:$H$300,""),IF(_xlpm.x="","",_xlpm.x))</f>
        <v>衣索比亞</v>
      </c>
      <c r="F54" s="22" t="str">
        <f>_xlfn.XLOOKUP(E54,menu!$A$2:$A$37,menu!$B$2:$B$37,"")</f>
        <v>Ethiopia</v>
      </c>
      <c r="G54" t="str">
        <f>_xlfn.XLOOKUP(E54,menu!$A$2:$A$37,menu!$C$2:$C$37,"")</f>
        <v>eth</v>
      </c>
      <c r="H54" t="str">
        <f>_xlfn.LET(_xlpm.x,_xlfn.XLOOKUP(_xlfn.XLOOKUP(D54,beans!$A$2:$A$300,beans!$I$2:$I$300),menu!$E$2:$E$20,menu!$F$2:$F$20),IF(_xlpm.x="","",_xlpm.x))</f>
        <v>natural</v>
      </c>
      <c r="I54">
        <v>210</v>
      </c>
      <c r="J54">
        <v>80</v>
      </c>
      <c r="K54">
        <v>35</v>
      </c>
      <c r="L54">
        <v>70</v>
      </c>
      <c r="M54" s="68" t="s">
        <v>109</v>
      </c>
      <c r="N54">
        <v>89.9</v>
      </c>
      <c r="P54" s="67" t="s">
        <v>179</v>
      </c>
      <c r="Q54" s="68">
        <v>205.7</v>
      </c>
      <c r="R54" s="67" t="s">
        <v>180</v>
      </c>
      <c r="S54" s="68">
        <v>215.1</v>
      </c>
      <c r="T54" s="68">
        <f t="shared" si="6"/>
        <v>9.4000000000000057</v>
      </c>
      <c r="U54">
        <f t="shared" si="7"/>
        <v>51</v>
      </c>
      <c r="V54">
        <f t="shared" si="5"/>
        <v>11.1</v>
      </c>
      <c r="W54">
        <f t="shared" si="8"/>
        <v>8.73</v>
      </c>
      <c r="X54" s="19">
        <v>45247</v>
      </c>
      <c r="Y54" s="26">
        <v>215.7</v>
      </c>
      <c r="Z54" s="61">
        <v>0</v>
      </c>
      <c r="AB54" s="28">
        <f t="shared" si="2"/>
        <v>0.13720000000000004</v>
      </c>
      <c r="AC54" s="110">
        <v>56</v>
      </c>
      <c r="AD54" s="26">
        <v>76.2</v>
      </c>
      <c r="AE54" s="61">
        <f t="shared" si="9"/>
        <v>20.200000000000003</v>
      </c>
      <c r="AF54" s="77" t="str">
        <f>_xlfn.XLOOKUP(AD54,menu!$K$2:$K$9,menu!$J$2:$J$9,"",1)</f>
        <v>淺</v>
      </c>
      <c r="AG54" s="80" t="str">
        <f>_xlfn.XLOOKUP(AH54,menu!$O$2:$O$9,menu!$H$2:$H$9,"")</f>
        <v>Medium</v>
      </c>
      <c r="AH54" s="81" t="s">
        <v>72</v>
      </c>
      <c r="AI54" t="str">
        <f>_xlfn.LET(_xlpm.x,_xlfn.CONCAT(_xlfn.XLOOKUP(D54,beans!$A$2:$A$300,beans!$J$2:$J$300,"")," / ",_xlfn.XLOOKUP(D54,beans!$A$2:$A$300,beans!$K$2:$K$300,"")," - ",_xlfn.XLOOKUP(D54,beans!$A$2:$A$300,beans!$L$2:$L$300,"")),IF(_xlpm.x=" /  - ","",_xlpm.x))</f>
        <v>西達摩 龐貝 / 艾菈 - Heirloom</v>
      </c>
      <c r="AJ54" s="23" t="s">
        <v>181</v>
      </c>
    </row>
    <row r="55" spans="1:36" x14ac:dyDescent="0.3">
      <c r="A55">
        <v>38</v>
      </c>
      <c r="B55">
        <v>250</v>
      </c>
      <c r="D55">
        <v>16</v>
      </c>
      <c r="E55" t="str">
        <f>_xlfn.LET(_xlpm.x,_xlfn.XLOOKUP(D55,beans!$A$2:$A$300,beans!$H$2:$H$300,""),IF(_xlpm.x="","",_xlpm.x))</f>
        <v>衣索比亞</v>
      </c>
      <c r="F55" s="22" t="str">
        <f>_xlfn.XLOOKUP(E55,menu!$A$2:$A$37,menu!$B$2:$B$37,"")</f>
        <v>Ethiopia</v>
      </c>
      <c r="G55" t="str">
        <f>_xlfn.XLOOKUP(E55,menu!$A$2:$A$37,menu!$C$2:$C$37,"")</f>
        <v>eth</v>
      </c>
      <c r="H55" t="str">
        <f>_xlfn.LET(_xlpm.x,_xlfn.XLOOKUP(_xlfn.XLOOKUP(D55,beans!$A$2:$A$300,beans!$I$2:$I$300),menu!$E$2:$E$20,menu!$F$2:$F$20),IF(_xlpm.x="","",_xlpm.x))</f>
        <v>natural</v>
      </c>
      <c r="I55">
        <v>200</v>
      </c>
      <c r="J55">
        <v>70</v>
      </c>
      <c r="K55">
        <v>35</v>
      </c>
      <c r="L55">
        <v>70</v>
      </c>
      <c r="M55" s="68" t="s">
        <v>109</v>
      </c>
      <c r="N55">
        <v>90.9</v>
      </c>
      <c r="P55" s="67" t="s">
        <v>182</v>
      </c>
      <c r="Q55" s="68">
        <v>208.4</v>
      </c>
      <c r="R55" s="67" t="s">
        <v>183</v>
      </c>
      <c r="S55" s="68">
        <v>212.8</v>
      </c>
      <c r="T55" s="68">
        <f t="shared" si="6"/>
        <v>4.4000000000000057</v>
      </c>
      <c r="U55">
        <f t="shared" si="7"/>
        <v>32</v>
      </c>
      <c r="V55">
        <f t="shared" si="5"/>
        <v>8.3000000000000007</v>
      </c>
      <c r="W55">
        <f t="shared" si="8"/>
        <v>4.32</v>
      </c>
      <c r="X55" s="19">
        <v>45247</v>
      </c>
      <c r="Y55" s="26">
        <v>183.99</v>
      </c>
      <c r="Z55" s="61">
        <f>160-40-120</f>
        <v>0</v>
      </c>
      <c r="AB55" s="28">
        <f t="shared" si="2"/>
        <v>0.26403999999999994</v>
      </c>
      <c r="AC55" s="110">
        <v>53.1</v>
      </c>
      <c r="AD55" s="26">
        <v>84.2</v>
      </c>
      <c r="AE55" s="61">
        <f t="shared" si="9"/>
        <v>31.1</v>
      </c>
      <c r="AF55" s="77" t="str">
        <f>_xlfn.XLOOKUP(AD55,menu!$K$2:$K$9,menu!$J$2:$J$9,"",1)</f>
        <v>極淺</v>
      </c>
      <c r="AG55" s="80" t="str">
        <f>_xlfn.XLOOKUP(AH55,menu!$O$2:$O$9,menu!$H$2:$H$9,"")</f>
        <v>Cinamon</v>
      </c>
      <c r="AH55" s="81" t="s">
        <v>78</v>
      </c>
      <c r="AI55" t="str">
        <f>_xlfn.LET(_xlpm.x,_xlfn.CONCAT(_xlfn.XLOOKUP(D55,beans!$A$2:$A$300,beans!$J$2:$J$300,"")," / ",_xlfn.XLOOKUP(D55,beans!$A$2:$A$300,beans!$K$2:$K$300,"")," - ",_xlfn.XLOOKUP(D55,beans!$A$2:$A$300,beans!$L$2:$L$300,"")),IF(_xlpm.x=" /  - ","",_xlpm.x))</f>
        <v>西達摩 龐貝 / 艾菈 - Heirloom</v>
      </c>
      <c r="AJ55" s="23" t="s">
        <v>184</v>
      </c>
    </row>
    <row r="56" spans="1:36" x14ac:dyDescent="0.3">
      <c r="A56">
        <v>39</v>
      </c>
      <c r="B56">
        <v>336</v>
      </c>
      <c r="D56">
        <v>13</v>
      </c>
      <c r="E56" t="str">
        <f>_xlfn.LET(_xlpm.x,_xlfn.XLOOKUP(D56,beans!$A$2:$A$300,beans!$H$2:$H$300,""),IF(_xlpm.x="","",_xlpm.x))</f>
        <v>衣索比亞</v>
      </c>
      <c r="F56" s="22" t="str">
        <f>_xlfn.XLOOKUP(E56,menu!$A$2:$A$37,menu!$B$2:$B$37,"")</f>
        <v>Ethiopia</v>
      </c>
      <c r="G56" t="str">
        <f>_xlfn.XLOOKUP(E56,menu!$A$2:$A$37,menu!$C$2:$C$37,"")</f>
        <v>eth</v>
      </c>
      <c r="H56" t="str">
        <f>_xlfn.LET(_xlpm.x,_xlfn.XLOOKUP(_xlfn.XLOOKUP(D56,beans!$A$2:$A$300,beans!$I$2:$I$300),menu!$E$2:$E$20,menu!$F$2:$F$20),IF(_xlpm.x="","",_xlpm.x))</f>
        <v>natural</v>
      </c>
      <c r="I56">
        <v>200</v>
      </c>
      <c r="J56">
        <v>70</v>
      </c>
      <c r="K56">
        <v>35</v>
      </c>
      <c r="L56">
        <v>70</v>
      </c>
      <c r="M56" s="68" t="s">
        <v>157</v>
      </c>
      <c r="N56">
        <v>81.400000000000006</v>
      </c>
      <c r="P56" s="67" t="s">
        <v>185</v>
      </c>
      <c r="Q56" s="68">
        <v>203.6</v>
      </c>
      <c r="R56" s="67" t="s">
        <v>186</v>
      </c>
      <c r="S56" s="68">
        <v>210.2</v>
      </c>
      <c r="T56" s="68">
        <f t="shared" si="6"/>
        <v>6.5999999999999943</v>
      </c>
      <c r="U56">
        <f t="shared" si="7"/>
        <v>47</v>
      </c>
      <c r="V56">
        <f t="shared" si="5"/>
        <v>8.4</v>
      </c>
      <c r="W56">
        <f t="shared" si="8"/>
        <v>6.37</v>
      </c>
      <c r="X56" s="19">
        <v>45247</v>
      </c>
      <c r="Y56" s="26">
        <v>292.7</v>
      </c>
      <c r="Z56" s="61">
        <v>0</v>
      </c>
      <c r="AB56" s="28">
        <f t="shared" si="2"/>
        <v>0.12886904761904766</v>
      </c>
      <c r="AC56" s="110">
        <v>51.8</v>
      </c>
      <c r="AD56" s="26">
        <v>84.1</v>
      </c>
      <c r="AE56" s="61">
        <f t="shared" si="9"/>
        <v>32.299999999999997</v>
      </c>
      <c r="AF56" s="77" t="str">
        <f>_xlfn.XLOOKUP(AD56,menu!$K$2:$K$9,menu!$J$2:$J$9,"",1)</f>
        <v>極淺</v>
      </c>
      <c r="AG56" s="80" t="str">
        <f>_xlfn.XLOOKUP(AH56,menu!$O$2:$O$9,menu!$H$2:$H$9,"")</f>
        <v>Cinamon</v>
      </c>
      <c r="AH56" s="81" t="s">
        <v>78</v>
      </c>
      <c r="AI56" t="str">
        <f>_xlfn.LET(_xlpm.x,_xlfn.CONCAT(_xlfn.XLOOKUP(D56,beans!$A$2:$A$300,beans!$J$2:$J$300,"")," / ",_xlfn.XLOOKUP(D56,beans!$A$2:$A$300,beans!$K$2:$K$300,"")," - ",_xlfn.XLOOKUP(D56,beans!$A$2:$A$300,beans!$L$2:$L$300,"")),IF(_xlpm.x=" /  - ","",_xlpm.x))</f>
        <v>西達摩 / 花貝果娜 - 74110</v>
      </c>
      <c r="AJ56" s="23" t="s">
        <v>187</v>
      </c>
    </row>
    <row r="57" spans="1:36" x14ac:dyDescent="0.3">
      <c r="A57">
        <v>40</v>
      </c>
      <c r="B57">
        <v>250</v>
      </c>
      <c r="D57">
        <v>9</v>
      </c>
      <c r="E57" t="str">
        <f>_xlfn.LET(_xlpm.x,_xlfn.XLOOKUP(D57,beans!$A$2:$A$300,beans!$H$2:$H$300,""),IF(_xlpm.x="","",_xlpm.x))</f>
        <v>衣索比亞</v>
      </c>
      <c r="F57" s="22" t="str">
        <f>_xlfn.XLOOKUP(E57,menu!$A$2:$A$37,menu!$B$2:$B$37,"")</f>
        <v>Ethiopia</v>
      </c>
      <c r="G57" t="str">
        <f>_xlfn.XLOOKUP(E57,menu!$A$2:$A$37,menu!$C$2:$C$37,"")</f>
        <v>eth</v>
      </c>
      <c r="H57" t="str">
        <f>_xlfn.LET(_xlpm.x,_xlfn.XLOOKUP(_xlfn.XLOOKUP(D57,beans!$A$2:$A$300,beans!$I$2:$I$300),menu!$E$2:$E$20,menu!$F$2:$F$20),IF(_xlpm.x="","",_xlpm.x))</f>
        <v>natural</v>
      </c>
      <c r="I57">
        <v>210</v>
      </c>
      <c r="J57">
        <v>75</v>
      </c>
      <c r="K57">
        <v>30</v>
      </c>
      <c r="L57">
        <v>75</v>
      </c>
      <c r="M57" s="68" t="s">
        <v>188</v>
      </c>
      <c r="N57">
        <v>88.2</v>
      </c>
      <c r="P57" s="67" t="s">
        <v>88</v>
      </c>
      <c r="Q57" s="68">
        <v>205.3</v>
      </c>
      <c r="R57" s="67" t="s">
        <v>170</v>
      </c>
      <c r="S57" s="68">
        <v>211.1</v>
      </c>
      <c r="T57" s="68">
        <f t="shared" si="6"/>
        <v>5.7999999999999829</v>
      </c>
      <c r="U57">
        <f t="shared" si="7"/>
        <v>36</v>
      </c>
      <c r="V57">
        <f t="shared" si="5"/>
        <v>9.6999999999999993</v>
      </c>
      <c r="W57">
        <f t="shared" si="8"/>
        <v>6.28</v>
      </c>
      <c r="X57" s="19">
        <v>45248</v>
      </c>
      <c r="Y57" s="26">
        <v>213.5</v>
      </c>
      <c r="Z57" s="61">
        <v>0</v>
      </c>
      <c r="AB57" s="28">
        <f t="shared" si="2"/>
        <v>0.14599999999999999</v>
      </c>
      <c r="AC57" s="110">
        <v>57.9</v>
      </c>
      <c r="AD57" s="26">
        <v>84.8</v>
      </c>
      <c r="AE57" s="61">
        <f t="shared" si="9"/>
        <v>26.9</v>
      </c>
      <c r="AF57" s="77" t="str">
        <f>_xlfn.XLOOKUP(AD57,menu!$K$2:$K$9,menu!$J$2:$J$9,"",1)</f>
        <v>極淺</v>
      </c>
      <c r="AG57" s="80" t="str">
        <f>_xlfn.XLOOKUP(AH57,menu!$O$2:$O$9,menu!$H$2:$H$9,"")</f>
        <v>Cinamon</v>
      </c>
      <c r="AH57" s="81" t="s">
        <v>78</v>
      </c>
      <c r="AI57" t="str">
        <f>_xlfn.LET(_xlpm.x,_xlfn.CONCAT(_xlfn.XLOOKUP(D57,beans!$A$2:$A$300,beans!$J$2:$J$300,"")," / ",_xlfn.XLOOKUP(D57,beans!$A$2:$A$300,beans!$K$2:$K$300,"")," - ",_xlfn.XLOOKUP(D57,beans!$A$2:$A$300,beans!$L$2:$L$300,"")),IF(_xlpm.x=" /  - ","",_xlpm.x))</f>
        <v>吉瑪 利姆 / 果美村 - 寶貝藝妓</v>
      </c>
      <c r="AJ57" s="23" t="s">
        <v>189</v>
      </c>
    </row>
    <row r="58" spans="1:36" x14ac:dyDescent="0.3">
      <c r="A58">
        <v>41</v>
      </c>
      <c r="B58">
        <v>250</v>
      </c>
      <c r="D58">
        <v>9</v>
      </c>
      <c r="E58" t="str">
        <f>_xlfn.LET(_xlpm.x,_xlfn.XLOOKUP(D58,beans!$A$2:$A$300,beans!$H$2:$H$300,""),IF(_xlpm.x="","",_xlpm.x))</f>
        <v>衣索比亞</v>
      </c>
      <c r="F58" s="22" t="str">
        <f>_xlfn.XLOOKUP(E58,menu!$A$2:$A$37,menu!$B$2:$B$37,"")</f>
        <v>Ethiopia</v>
      </c>
      <c r="G58" t="str">
        <f>_xlfn.XLOOKUP(E58,menu!$A$2:$A$37,menu!$C$2:$C$37,"")</f>
        <v>eth</v>
      </c>
      <c r="H58" t="str">
        <f>_xlfn.LET(_xlpm.x,_xlfn.XLOOKUP(_xlfn.XLOOKUP(D58,beans!$A$2:$A$300,beans!$I$2:$I$300),menu!$E$2:$E$20,menu!$F$2:$F$20),IF(_xlpm.x="","",_xlpm.x))</f>
        <v>natural</v>
      </c>
      <c r="I58">
        <v>210</v>
      </c>
      <c r="J58">
        <v>70</v>
      </c>
      <c r="K58">
        <v>30</v>
      </c>
      <c r="L58">
        <v>75</v>
      </c>
      <c r="M58" s="68" t="s">
        <v>190</v>
      </c>
      <c r="N58">
        <v>88.6</v>
      </c>
      <c r="P58" s="67" t="s">
        <v>191</v>
      </c>
      <c r="Q58" s="68">
        <v>209.5</v>
      </c>
      <c r="R58" s="67" t="s">
        <v>192</v>
      </c>
      <c r="S58" s="68">
        <v>211.9</v>
      </c>
      <c r="T58" s="68">
        <f t="shared" si="6"/>
        <v>2.4000000000000057</v>
      </c>
      <c r="U58">
        <f t="shared" si="7"/>
        <v>20</v>
      </c>
      <c r="V58">
        <f t="shared" si="5"/>
        <v>7.2</v>
      </c>
      <c r="W58">
        <f t="shared" si="8"/>
        <v>2.54</v>
      </c>
      <c r="X58" s="19">
        <v>45248</v>
      </c>
      <c r="Y58" s="26">
        <v>219.1</v>
      </c>
      <c r="Z58" s="61">
        <v>0</v>
      </c>
      <c r="AB58" s="28">
        <f t="shared" si="2"/>
        <v>0.12360000000000003</v>
      </c>
      <c r="AC58" s="110">
        <v>51.5</v>
      </c>
      <c r="AD58" s="26">
        <v>88.1</v>
      </c>
      <c r="AE58" s="61">
        <f t="shared" si="9"/>
        <v>36.599999999999994</v>
      </c>
      <c r="AF58" s="77" t="str">
        <f>_xlfn.XLOOKUP(AD58,menu!$K$2:$K$9,menu!$J$2:$J$9,"",1)</f>
        <v>極淺</v>
      </c>
      <c r="AG58" s="80" t="str">
        <f>_xlfn.XLOOKUP(AH58,menu!$O$2:$O$9,menu!$H$2:$H$9,"")</f>
        <v>Light</v>
      </c>
      <c r="AH58" s="81" t="s">
        <v>193</v>
      </c>
      <c r="AI58" t="str">
        <f>_xlfn.LET(_xlpm.x,_xlfn.CONCAT(_xlfn.XLOOKUP(D58,beans!$A$2:$A$300,beans!$J$2:$J$300,"")," / ",_xlfn.XLOOKUP(D58,beans!$A$2:$A$300,beans!$K$2:$K$300,"")," - ",_xlfn.XLOOKUP(D58,beans!$A$2:$A$300,beans!$L$2:$L$300,"")),IF(_xlpm.x=" /  - ","",_xlpm.x))</f>
        <v>吉瑪 利姆 / 果美村 - 寶貝藝妓</v>
      </c>
    </row>
    <row r="59" spans="1:36" x14ac:dyDescent="0.3">
      <c r="A59">
        <v>42</v>
      </c>
      <c r="B59">
        <v>250</v>
      </c>
      <c r="D59">
        <v>9</v>
      </c>
      <c r="E59" t="str">
        <f>_xlfn.LET(_xlpm.x,_xlfn.XLOOKUP(D59,beans!$A$2:$A$300,beans!$H$2:$H$300,""),IF(_xlpm.x="","",_xlpm.x))</f>
        <v>衣索比亞</v>
      </c>
      <c r="F59" s="22" t="str">
        <f>_xlfn.XLOOKUP(E59,menu!$A$2:$A$37,menu!$B$2:$B$37,"")</f>
        <v>Ethiopia</v>
      </c>
      <c r="G59" t="str">
        <f>_xlfn.XLOOKUP(E59,menu!$A$2:$A$37,menu!$C$2:$C$37,"")</f>
        <v>eth</v>
      </c>
      <c r="H59" t="str">
        <f>_xlfn.LET(_xlpm.x,_xlfn.XLOOKUP(_xlfn.XLOOKUP(D59,beans!$A$2:$A$300,beans!$I$2:$I$300),menu!$E$2:$E$20,menu!$F$2:$F$20),IF(_xlpm.x="","",_xlpm.x))</f>
        <v>natural</v>
      </c>
      <c r="I59">
        <v>210</v>
      </c>
      <c r="J59">
        <v>80</v>
      </c>
      <c r="K59">
        <v>25</v>
      </c>
      <c r="L59">
        <v>80</v>
      </c>
      <c r="M59" s="68" t="s">
        <v>121</v>
      </c>
      <c r="N59">
        <v>89.8</v>
      </c>
      <c r="P59" s="67" t="s">
        <v>194</v>
      </c>
      <c r="Q59" s="68">
        <v>204.6</v>
      </c>
      <c r="R59" s="67" t="s">
        <v>165</v>
      </c>
      <c r="S59" s="68">
        <v>218</v>
      </c>
      <c r="T59" s="68">
        <f t="shared" si="6"/>
        <v>13.400000000000006</v>
      </c>
      <c r="U59">
        <f t="shared" si="7"/>
        <v>125</v>
      </c>
      <c r="V59">
        <f t="shared" si="5"/>
        <v>6.4</v>
      </c>
      <c r="W59">
        <f t="shared" si="8"/>
        <v>19.62</v>
      </c>
      <c r="X59" s="19">
        <v>45249</v>
      </c>
      <c r="Y59" s="26">
        <v>209.3</v>
      </c>
      <c r="Z59" s="61">
        <v>0</v>
      </c>
      <c r="AB59" s="28">
        <f t="shared" si="2"/>
        <v>0.16279999999999994</v>
      </c>
      <c r="AC59" s="110">
        <v>39.6</v>
      </c>
      <c r="AD59" s="26">
        <v>58.5</v>
      </c>
      <c r="AE59" s="61">
        <f t="shared" si="9"/>
        <v>18.899999999999999</v>
      </c>
      <c r="AF59" s="77" t="str">
        <f>_xlfn.XLOOKUP(AD59,menu!$K$2:$K$9,menu!$J$2:$J$9,"",1)</f>
        <v>中</v>
      </c>
      <c r="AG59" s="80" t="str">
        <f>_xlfn.XLOOKUP(AH59,menu!$O$2:$O$9,menu!$H$2:$H$9,"")</f>
        <v>High</v>
      </c>
      <c r="AH59" s="81" t="s">
        <v>93</v>
      </c>
      <c r="AI59" t="str">
        <f>_xlfn.LET(_xlpm.x,_xlfn.CONCAT(_xlfn.XLOOKUP(D59,beans!$A$2:$A$300,beans!$J$2:$J$300,"")," / ",_xlfn.XLOOKUP(D59,beans!$A$2:$A$300,beans!$K$2:$K$300,"")," - ",_xlfn.XLOOKUP(D59,beans!$A$2:$A$300,beans!$L$2:$L$300,"")),IF(_xlpm.x=" /  - ","",_xlpm.x))</f>
        <v>吉瑪 利姆 / 果美村 - 寶貝藝妓</v>
      </c>
      <c r="AJ59" s="23" t="s">
        <v>195</v>
      </c>
    </row>
    <row r="60" spans="1:36" x14ac:dyDescent="0.3">
      <c r="A60">
        <v>43</v>
      </c>
      <c r="B60">
        <v>250</v>
      </c>
      <c r="C60">
        <v>8</v>
      </c>
      <c r="D60">
        <v>9</v>
      </c>
      <c r="E60" t="str">
        <f>_xlfn.LET(_xlpm.x,_xlfn.XLOOKUP(D60,beans!$A$2:$A$300,beans!$H$2:$H$300,""),IF(_xlpm.x="","",_xlpm.x))</f>
        <v>衣索比亞</v>
      </c>
      <c r="F60" s="22" t="str">
        <f>_xlfn.XLOOKUP(E60,menu!$A$2:$A$37,menu!$B$2:$B$37,"")</f>
        <v>Ethiopia</v>
      </c>
      <c r="G60" t="str">
        <f>_xlfn.XLOOKUP(E60,menu!$A$2:$A$37,menu!$C$2:$C$37,"")</f>
        <v>eth</v>
      </c>
      <c r="H60" t="str">
        <f>_xlfn.LET(_xlpm.x,_xlfn.XLOOKUP(_xlfn.XLOOKUP(D60,beans!$A$2:$A$300,beans!$I$2:$I$300),menu!$E$2:$E$20,menu!$F$2:$F$20),IF(_xlpm.x="","",_xlpm.x))</f>
        <v>natural</v>
      </c>
      <c r="I60">
        <v>210</v>
      </c>
      <c r="J60">
        <v>80</v>
      </c>
      <c r="K60">
        <v>30</v>
      </c>
      <c r="L60">
        <v>80</v>
      </c>
      <c r="M60" s="68" t="s">
        <v>109</v>
      </c>
      <c r="N60">
        <v>93.6</v>
      </c>
      <c r="P60" s="67" t="s">
        <v>196</v>
      </c>
      <c r="Q60" s="68">
        <v>203.3</v>
      </c>
      <c r="R60" s="67" t="s">
        <v>197</v>
      </c>
      <c r="S60" s="68">
        <v>210.4</v>
      </c>
      <c r="T60" s="68">
        <f t="shared" ref="T60:T91" si="10">_xlfn.LET(_xlpm.x,S60-Q60,IF(_xlpm.x=0,"",_xlpm.x))</f>
        <v>7.0999999999999943</v>
      </c>
      <c r="U60">
        <f t="shared" ref="U60:U91" si="11">_xlfn.LET(_xlpm.x,(TIMEVALUE("0:"&amp;SUBSTITUTE(R60,"'",":"))-TIMEVALUE("0:"&amp;SUBSTITUTE(P60,"'",":")))*86400,IF(_xlpm.x=0,"",ROUND(_xlpm.x,2)))</f>
        <v>41</v>
      </c>
      <c r="V60">
        <f t="shared" si="5"/>
        <v>10.4</v>
      </c>
      <c r="W60">
        <f t="shared" ref="W60:W91" si="12">_xlfn.LET(_xlpm.x,(TIMEVALUE("0:"&amp;SUBSTITUTE(R60,"'",":"))-TIMEVALUE("0:"&amp;SUBSTITUTE(P60,"'",":")))*86400,IF(_xlpm.x=0,"",ROUND(_xlpm.x/((TIMEVALUE("0:"&amp;SUBSTITUTE(R60,"'",":"))-TIMEVALUE("0:0:0"))*864),2)))</f>
        <v>7.99</v>
      </c>
      <c r="X60" s="19">
        <v>45249</v>
      </c>
      <c r="Y60" s="26">
        <v>215.4</v>
      </c>
      <c r="Z60" s="61">
        <v>0</v>
      </c>
      <c r="AB60" s="28">
        <f t="shared" si="2"/>
        <v>0.13839999999999997</v>
      </c>
      <c r="AC60" s="110">
        <v>63.8</v>
      </c>
      <c r="AD60" s="26">
        <v>83.8</v>
      </c>
      <c r="AE60" s="61">
        <f t="shared" ref="AE60:AE91" si="13">_xlfn.LET(_xlpm.x,AD60-AC60,IF(_xlpm.x=0,"",_xlpm.x))</f>
        <v>20</v>
      </c>
      <c r="AF60" s="77" t="str">
        <f>_xlfn.XLOOKUP(AD60,menu!$K$2:$K$9,menu!$J$2:$J$9,"",1)</f>
        <v>極淺</v>
      </c>
      <c r="AG60" s="80" t="str">
        <f>_xlfn.XLOOKUP(AH60,menu!$O$2:$O$9,menu!$H$2:$H$9,"")</f>
        <v>Cinamon</v>
      </c>
      <c r="AH60" s="81" t="s">
        <v>78</v>
      </c>
      <c r="AI60" t="str">
        <f>_xlfn.LET(_xlpm.x,_xlfn.CONCAT(_xlfn.XLOOKUP(D60,beans!$A$2:$A$300,beans!$J$2:$J$300,"")," / ",_xlfn.XLOOKUP(D60,beans!$A$2:$A$300,beans!$K$2:$K$300,"")," - ",_xlfn.XLOOKUP(D60,beans!$A$2:$A$300,beans!$L$2:$L$300,"")),IF(_xlpm.x=" /  - ","",_xlpm.x))</f>
        <v>吉瑪 利姆 / 果美村 - 寶貝藝妓</v>
      </c>
      <c r="AJ60" s="23" t="s">
        <v>198</v>
      </c>
    </row>
    <row r="61" spans="1:36" x14ac:dyDescent="0.3">
      <c r="A61">
        <v>44</v>
      </c>
      <c r="B61">
        <v>250</v>
      </c>
      <c r="C61">
        <v>7</v>
      </c>
      <c r="D61">
        <v>20</v>
      </c>
      <c r="E61" t="str">
        <f>_xlfn.LET(_xlpm.x,_xlfn.XLOOKUP(D61,beans!$A$2:$A$300,beans!$H$2:$H$300,""),IF(_xlpm.x="","",_xlpm.x))</f>
        <v>衣索比亞</v>
      </c>
      <c r="F61" s="22" t="str">
        <f>_xlfn.XLOOKUP(E61,menu!$A$2:$A$37,menu!$B$2:$B$37,"")</f>
        <v>Ethiopia</v>
      </c>
      <c r="G61" t="str">
        <f>_xlfn.XLOOKUP(E61,menu!$A$2:$A$37,menu!$C$2:$C$37,"")</f>
        <v>eth</v>
      </c>
      <c r="H61" t="str">
        <f>_xlfn.LET(_xlpm.x,_xlfn.XLOOKUP(_xlfn.XLOOKUP(D61,beans!$A$2:$A$300,beans!$I$2:$I$300),menu!$E$2:$E$20,menu!$F$2:$F$20),IF(_xlpm.x="","",_xlpm.x))</f>
        <v>washed</v>
      </c>
      <c r="I61">
        <v>210</v>
      </c>
      <c r="J61">
        <v>70</v>
      </c>
      <c r="K61">
        <v>30</v>
      </c>
      <c r="L61">
        <v>80</v>
      </c>
      <c r="M61" s="68" t="s">
        <v>157</v>
      </c>
      <c r="N61">
        <v>88.9</v>
      </c>
      <c r="O61">
        <v>17</v>
      </c>
      <c r="P61" s="67" t="s">
        <v>172</v>
      </c>
      <c r="Q61" s="68">
        <v>199.5</v>
      </c>
      <c r="R61" s="67" t="s">
        <v>199</v>
      </c>
      <c r="S61" s="68">
        <v>208.6</v>
      </c>
      <c r="T61" s="68">
        <f t="shared" si="10"/>
        <v>9.0999999999999943</v>
      </c>
      <c r="U61">
        <f t="shared" si="11"/>
        <v>95</v>
      </c>
      <c r="V61">
        <f t="shared" si="5"/>
        <v>5.7</v>
      </c>
      <c r="W61">
        <f t="shared" si="12"/>
        <v>13.23</v>
      </c>
      <c r="X61" s="19">
        <v>45253</v>
      </c>
      <c r="Y61" s="26">
        <v>217.8</v>
      </c>
      <c r="Z61" s="61">
        <v>0</v>
      </c>
      <c r="AB61" s="28">
        <f t="shared" si="2"/>
        <v>0.12879999999999994</v>
      </c>
      <c r="AC61" s="110">
        <v>58</v>
      </c>
      <c r="AD61" s="26">
        <v>76</v>
      </c>
      <c r="AE61" s="61">
        <f t="shared" si="13"/>
        <v>18</v>
      </c>
      <c r="AF61" s="77" t="str">
        <f>_xlfn.XLOOKUP(AD61,menu!$K$2:$K$9,menu!$J$2:$J$9,"",1)</f>
        <v>淺</v>
      </c>
      <c r="AG61" s="80" t="str">
        <f>_xlfn.XLOOKUP(AH61,menu!$O$2:$O$9,menu!$H$2:$H$9,"")</f>
        <v>Medium</v>
      </c>
      <c r="AH61" s="81" t="s">
        <v>72</v>
      </c>
      <c r="AI61" t="str">
        <f>_xlfn.LET(_xlpm.x,_xlfn.CONCAT(_xlfn.XLOOKUP(D61,beans!$A$2:$A$300,beans!$J$2:$J$300,"")," / ",_xlfn.XLOOKUP(D61,beans!$A$2:$A$300,beans!$K$2:$K$300,"")," - ",_xlfn.XLOOKUP(D61,beans!$A$2:$A$300,beans!$L$2:$L$300,"")),IF(_xlpm.x=" /  - ","",_xlpm.x))</f>
        <v>古吉 / 蔻薩村 格蕾娜 - Geisha</v>
      </c>
      <c r="AJ61" s="23" t="s">
        <v>200</v>
      </c>
    </row>
    <row r="62" spans="1:36" x14ac:dyDescent="0.3">
      <c r="A62">
        <v>45</v>
      </c>
      <c r="B62">
        <v>347</v>
      </c>
      <c r="C62">
        <v>5</v>
      </c>
      <c r="D62">
        <v>1</v>
      </c>
      <c r="E62" t="str">
        <f>_xlfn.LET(_xlpm.x,_xlfn.XLOOKUP(D62,beans!$A$2:$A$300,beans!$H$2:$H$300,""),IF(_xlpm.x="","",_xlpm.x))</f>
        <v>尼加拉瓜</v>
      </c>
      <c r="F62" s="22" t="str">
        <f>_xlfn.XLOOKUP(E62,menu!$A$2:$A$37,menu!$B$2:$B$37,"")</f>
        <v>Nicaragua</v>
      </c>
      <c r="G62" t="str">
        <f>_xlfn.XLOOKUP(E62,menu!$A$2:$A$37,menu!$C$2:$C$37,"")</f>
        <v>nic</v>
      </c>
      <c r="H62" t="str">
        <f>_xlfn.LET(_xlpm.x,_xlfn.XLOOKUP(_xlfn.XLOOKUP(D62,beans!$A$2:$A$300,beans!$I$2:$I$300),menu!$E$2:$E$20,menu!$F$2:$F$20),IF(_xlpm.x="","",_xlpm.x))</f>
        <v>washed</v>
      </c>
      <c r="I62">
        <v>210</v>
      </c>
      <c r="J62">
        <v>80</v>
      </c>
      <c r="K62">
        <v>30</v>
      </c>
      <c r="L62">
        <v>80</v>
      </c>
      <c r="M62" s="68" t="s">
        <v>157</v>
      </c>
      <c r="N62">
        <v>87.8</v>
      </c>
      <c r="O62">
        <v>21</v>
      </c>
      <c r="P62" s="67" t="s">
        <v>201</v>
      </c>
      <c r="Q62" s="68">
        <v>200.7</v>
      </c>
      <c r="R62" s="67" t="s">
        <v>202</v>
      </c>
      <c r="S62" s="68">
        <v>207.3</v>
      </c>
      <c r="T62" s="68">
        <f t="shared" si="10"/>
        <v>6.6000000000000227</v>
      </c>
      <c r="U62">
        <f t="shared" si="11"/>
        <v>93</v>
      </c>
      <c r="V62">
        <f t="shared" si="5"/>
        <v>4.3</v>
      </c>
      <c r="W62">
        <f t="shared" si="12"/>
        <v>14.95</v>
      </c>
      <c r="X62" s="19">
        <v>45253</v>
      </c>
      <c r="Y62" s="26">
        <v>304</v>
      </c>
      <c r="Z62" s="61">
        <v>0</v>
      </c>
      <c r="AB62" s="28">
        <f t="shared" si="2"/>
        <v>0.1239193083573487</v>
      </c>
      <c r="AC62" s="110">
        <v>60</v>
      </c>
      <c r="AE62" s="61">
        <f t="shared" si="13"/>
        <v>-60</v>
      </c>
      <c r="AF62" s="77" t="str">
        <f>_xlfn.XLOOKUP(AD62,menu!$K$2:$K$9,menu!$J$2:$J$9,"",1)</f>
        <v/>
      </c>
      <c r="AG62" s="80" t="str">
        <f>_xlfn.XLOOKUP(AH62,menu!$O$2:$O$9,menu!$H$2:$H$9,"")</f>
        <v>Medium</v>
      </c>
      <c r="AH62" s="81" t="s">
        <v>72</v>
      </c>
      <c r="AI62" t="str">
        <f>_xlfn.LET(_xlpm.x,_xlfn.CONCAT(_xlfn.XLOOKUP(D62,beans!$A$2:$A$300,beans!$J$2:$J$300,"")," / ",_xlfn.XLOOKUP(D62,beans!$A$2:$A$300,beans!$K$2:$K$300,"")," - ",_xlfn.XLOOKUP(D62,beans!$A$2:$A$300,beans!$L$2:$L$300,"")),IF(_xlpm.x=" /  - ","",_xlpm.x))</f>
        <v>希諾特加  / 阿爾蒂普拉諾莊園 - 爪哇長豆</v>
      </c>
      <c r="AJ62" s="23" t="s">
        <v>203</v>
      </c>
    </row>
    <row r="63" spans="1:36" x14ac:dyDescent="0.3">
      <c r="A63">
        <v>46</v>
      </c>
      <c r="B63">
        <v>198</v>
      </c>
      <c r="D63">
        <v>10</v>
      </c>
      <c r="E63" t="str">
        <f>_xlfn.LET(_xlpm.x,_xlfn.XLOOKUP(D63,beans!$A$2:$A$300,beans!$H$2:$H$300,""),IF(_xlpm.x="","",_xlpm.x))</f>
        <v>衣索比亞</v>
      </c>
      <c r="F63" s="22" t="str">
        <f>_xlfn.XLOOKUP(E63,menu!$A$2:$A$37,menu!$B$2:$B$37,"")</f>
        <v>Ethiopia</v>
      </c>
      <c r="G63" t="str">
        <f>_xlfn.XLOOKUP(E63,menu!$A$2:$A$37,menu!$C$2:$C$37,"")</f>
        <v>eth</v>
      </c>
      <c r="H63" t="str">
        <f>_xlfn.LET(_xlpm.x,_xlfn.XLOOKUP(_xlfn.XLOOKUP(D63,beans!$A$2:$A$300,beans!$I$2:$I$300),menu!$E$2:$E$20,menu!$F$2:$F$20),IF(_xlpm.x="","",_xlpm.x))</f>
        <v>natural</v>
      </c>
      <c r="I63">
        <v>190</v>
      </c>
      <c r="J63">
        <v>70</v>
      </c>
      <c r="K63">
        <v>30</v>
      </c>
      <c r="L63">
        <v>60</v>
      </c>
      <c r="M63" s="68" t="s">
        <v>125</v>
      </c>
      <c r="N63">
        <v>86.6</v>
      </c>
      <c r="O63">
        <v>19</v>
      </c>
      <c r="P63" s="67" t="s">
        <v>161</v>
      </c>
      <c r="Q63" s="68">
        <v>205</v>
      </c>
      <c r="R63" s="67" t="s">
        <v>204</v>
      </c>
      <c r="S63" s="68">
        <v>213.2</v>
      </c>
      <c r="T63" s="68">
        <f t="shared" si="10"/>
        <v>8.1999999999999886</v>
      </c>
      <c r="U63">
        <f t="shared" si="11"/>
        <v>52</v>
      </c>
      <c r="V63">
        <f t="shared" si="5"/>
        <v>9.5</v>
      </c>
      <c r="W63">
        <f t="shared" si="12"/>
        <v>7.13</v>
      </c>
      <c r="X63" s="19">
        <v>45255</v>
      </c>
      <c r="Y63" s="26">
        <v>170.9</v>
      </c>
      <c r="Z63" s="61">
        <v>0</v>
      </c>
      <c r="AB63" s="28">
        <f t="shared" si="2"/>
        <v>0.13686868686868683</v>
      </c>
      <c r="AC63" s="110">
        <v>58</v>
      </c>
      <c r="AE63" s="61">
        <f t="shared" si="13"/>
        <v>-58</v>
      </c>
      <c r="AF63" s="77" t="str">
        <f>_xlfn.XLOOKUP(AD63,menu!$K$2:$K$9,menu!$J$2:$J$9,"",1)</f>
        <v/>
      </c>
      <c r="AG63" s="80" t="str">
        <f>_xlfn.XLOOKUP(AH63,menu!$O$2:$O$9,menu!$H$2:$H$9,"")</f>
        <v>Cinamon</v>
      </c>
      <c r="AH63" s="81" t="s">
        <v>78</v>
      </c>
      <c r="AI63" t="str">
        <f>_xlfn.LET(_xlpm.x,_xlfn.CONCAT(_xlfn.XLOOKUP(D63,beans!$A$2:$A$300,beans!$J$2:$J$300,"")," / ",_xlfn.XLOOKUP(D63,beans!$A$2:$A$300,beans!$K$2:$K$300,"")," - ",_xlfn.XLOOKUP(D63,beans!$A$2:$A$300,beans!$L$2:$L$300,"")),IF(_xlpm.x=" /  - ","",_xlpm.x))</f>
        <v>古吉 罕貝拉 / 花蝶 - Heirloom</v>
      </c>
      <c r="AJ63" s="23" t="s">
        <v>187</v>
      </c>
    </row>
    <row r="64" spans="1:36" x14ac:dyDescent="0.3">
      <c r="A64">
        <v>47</v>
      </c>
      <c r="B64">
        <v>192</v>
      </c>
      <c r="D64">
        <v>10</v>
      </c>
      <c r="E64" t="str">
        <f>_xlfn.LET(_xlpm.x,_xlfn.XLOOKUP(D64,beans!$A$2:$A$300,beans!$H$2:$H$300,""),IF(_xlpm.x="","",_xlpm.x))</f>
        <v>衣索比亞</v>
      </c>
      <c r="F64" s="22" t="str">
        <f>_xlfn.XLOOKUP(E64,menu!$A$2:$A$37,menu!$B$2:$B$37,"")</f>
        <v>Ethiopia</v>
      </c>
      <c r="G64" t="str">
        <f>_xlfn.XLOOKUP(E64,menu!$A$2:$A$37,menu!$C$2:$C$37,"")</f>
        <v>eth</v>
      </c>
      <c r="H64" t="str">
        <f>_xlfn.LET(_xlpm.x,_xlfn.XLOOKUP(_xlfn.XLOOKUP(D64,beans!$A$2:$A$300,beans!$I$2:$I$300),menu!$E$2:$E$20,menu!$F$2:$F$20),IF(_xlpm.x="","",_xlpm.x))</f>
        <v>natural</v>
      </c>
      <c r="I64">
        <v>190</v>
      </c>
      <c r="J64">
        <v>70</v>
      </c>
      <c r="K64">
        <v>30</v>
      </c>
      <c r="L64">
        <v>60</v>
      </c>
      <c r="M64" s="68" t="s">
        <v>96</v>
      </c>
      <c r="N64">
        <v>87.4</v>
      </c>
      <c r="O64">
        <v>19</v>
      </c>
      <c r="P64" s="67" t="s">
        <v>205</v>
      </c>
      <c r="Q64" s="68">
        <v>207.5</v>
      </c>
      <c r="R64" s="67" t="s">
        <v>206</v>
      </c>
      <c r="S64" s="68">
        <v>209.8</v>
      </c>
      <c r="T64" s="68">
        <f t="shared" si="10"/>
        <v>2.3000000000000114</v>
      </c>
      <c r="U64">
        <f t="shared" si="11"/>
        <v>36</v>
      </c>
      <c r="V64">
        <f t="shared" si="5"/>
        <v>3.8</v>
      </c>
      <c r="W64">
        <f t="shared" si="12"/>
        <v>4.7</v>
      </c>
      <c r="X64" s="19">
        <v>45255</v>
      </c>
      <c r="Y64" s="26">
        <v>165.2</v>
      </c>
      <c r="Z64" s="61">
        <v>0</v>
      </c>
      <c r="AB64" s="28">
        <f t="shared" si="2"/>
        <v>0.13958333333333339</v>
      </c>
      <c r="AC64" s="110">
        <v>56</v>
      </c>
      <c r="AE64" s="61">
        <f t="shared" si="13"/>
        <v>-56</v>
      </c>
      <c r="AF64" s="77" t="str">
        <f>_xlfn.XLOOKUP(AD64,menu!$K$2:$K$9,menu!$J$2:$J$9,"",1)</f>
        <v/>
      </c>
      <c r="AG64" s="80" t="str">
        <f>_xlfn.XLOOKUP(AH64,menu!$O$2:$O$9,menu!$H$2:$H$9,"")</f>
        <v>Cinamon</v>
      </c>
      <c r="AH64" s="81" t="s">
        <v>78</v>
      </c>
      <c r="AI64" t="str">
        <f>_xlfn.LET(_xlpm.x,_xlfn.CONCAT(_xlfn.XLOOKUP(D64,beans!$A$2:$A$300,beans!$J$2:$J$300,"")," / ",_xlfn.XLOOKUP(D64,beans!$A$2:$A$300,beans!$K$2:$K$300,"")," - ",_xlfn.XLOOKUP(D64,beans!$A$2:$A$300,beans!$L$2:$L$300,"")),IF(_xlpm.x=" /  - ","",_xlpm.x))</f>
        <v>古吉 罕貝拉 / 花蝶 - Heirloom</v>
      </c>
      <c r="AJ64" s="23" t="s">
        <v>187</v>
      </c>
    </row>
    <row r="65" spans="1:36" x14ac:dyDescent="0.3">
      <c r="A65">
        <v>48</v>
      </c>
      <c r="B65">
        <v>240</v>
      </c>
      <c r="C65">
        <v>8</v>
      </c>
      <c r="D65">
        <v>47</v>
      </c>
      <c r="E65" t="str">
        <f>_xlfn.LET(_xlpm.x,_xlfn.XLOOKUP(D65,beans!$A$2:$A$300,beans!$H$2:$H$300,""),IF(_xlpm.x="","",_xlpm.x))</f>
        <v>衣索比亞</v>
      </c>
      <c r="F65" s="22" t="str">
        <f>_xlfn.XLOOKUP(E65,menu!$A$2:$A$37,menu!$B$2:$B$37,"")</f>
        <v>Ethiopia</v>
      </c>
      <c r="G65" t="str">
        <f>_xlfn.XLOOKUP(E65,menu!$A$2:$A$37,menu!$C$2:$C$37,"")</f>
        <v>eth</v>
      </c>
      <c r="H65" t="str">
        <f>_xlfn.LET(_xlpm.x,_xlfn.XLOOKUP(_xlfn.XLOOKUP(D65,beans!$A$2:$A$300,beans!$I$2:$I$300),menu!$E$2:$E$20,menu!$F$2:$F$20),IF(_xlpm.x="","",_xlpm.x))</f>
        <v>washed</v>
      </c>
      <c r="I65">
        <v>200</v>
      </c>
      <c r="J65">
        <v>65</v>
      </c>
      <c r="K65">
        <v>30</v>
      </c>
      <c r="L65">
        <v>70</v>
      </c>
      <c r="M65" s="68" t="s">
        <v>207</v>
      </c>
      <c r="N65">
        <v>84.7</v>
      </c>
      <c r="O65">
        <v>15</v>
      </c>
      <c r="P65" s="67" t="s">
        <v>208</v>
      </c>
      <c r="Q65" s="68">
        <v>196.6</v>
      </c>
      <c r="R65" s="67" t="s">
        <v>204</v>
      </c>
      <c r="S65" s="68">
        <v>205</v>
      </c>
      <c r="T65" s="68">
        <f t="shared" si="10"/>
        <v>8.4000000000000057</v>
      </c>
      <c r="U65">
        <f t="shared" si="11"/>
        <v>82</v>
      </c>
      <c r="V65">
        <f t="shared" si="5"/>
        <v>6.1</v>
      </c>
      <c r="W65">
        <f t="shared" si="12"/>
        <v>11.25</v>
      </c>
      <c r="X65" s="19">
        <v>45256</v>
      </c>
      <c r="Y65" s="26">
        <v>208.6</v>
      </c>
      <c r="Z65" s="61">
        <v>0</v>
      </c>
      <c r="AB65" s="28">
        <f t="shared" si="2"/>
        <v>0.13083333333333336</v>
      </c>
      <c r="AC65" s="110">
        <v>56</v>
      </c>
      <c r="AD65" s="26">
        <v>87</v>
      </c>
      <c r="AE65" s="61">
        <f t="shared" si="13"/>
        <v>31</v>
      </c>
      <c r="AF65" s="77" t="str">
        <f>_xlfn.XLOOKUP(AD65,menu!$K$2:$K$9,menu!$J$2:$J$9,"",1)</f>
        <v>極淺</v>
      </c>
      <c r="AG65" s="80" t="str">
        <f>_xlfn.XLOOKUP(AH65,menu!$O$2:$O$9,menu!$H$2:$H$9,"")</f>
        <v>Light</v>
      </c>
      <c r="AH65" s="81" t="s">
        <v>193</v>
      </c>
      <c r="AI65" t="str">
        <f>_xlfn.LET(_xlpm.x,_xlfn.CONCAT(_xlfn.XLOOKUP(D65,beans!$A$2:$A$300,beans!$J$2:$J$300,"")," / ",_xlfn.XLOOKUP(D65,beans!$A$2:$A$300,beans!$K$2:$K$300,"")," - ",_xlfn.XLOOKUP(D65,beans!$A$2:$A$300,beans!$L$2:$L$300,"")),IF(_xlpm.x=" /  - ","",_xlpm.x))</f>
        <v>吉馬莉姆 / 果美村 - 寶貝藝妓</v>
      </c>
      <c r="AJ65" s="23" t="s">
        <v>209</v>
      </c>
    </row>
    <row r="66" spans="1:36" x14ac:dyDescent="0.3">
      <c r="A66">
        <v>49</v>
      </c>
      <c r="B66">
        <v>237</v>
      </c>
      <c r="D66">
        <v>47</v>
      </c>
      <c r="E66" t="str">
        <f>_xlfn.LET(_xlpm.x,_xlfn.XLOOKUP(D66,beans!$A$2:$A$300,beans!$H$2:$H$300,""),IF(_xlpm.x="","",_xlpm.x))</f>
        <v>衣索比亞</v>
      </c>
      <c r="F66" s="22" t="str">
        <f>_xlfn.XLOOKUP(E66,menu!$A$2:$A$37,menu!$B$2:$B$37,"")</f>
        <v>Ethiopia</v>
      </c>
      <c r="G66" t="str">
        <f>_xlfn.XLOOKUP(E66,menu!$A$2:$A$37,menu!$C$2:$C$37,"")</f>
        <v>eth</v>
      </c>
      <c r="H66" t="str">
        <f>_xlfn.LET(_xlpm.x,_xlfn.XLOOKUP(_xlfn.XLOOKUP(D66,beans!$A$2:$A$300,beans!$I$2:$I$300),menu!$E$2:$E$20,menu!$F$2:$F$20),IF(_xlpm.x="","",_xlpm.x))</f>
        <v>washed</v>
      </c>
      <c r="I66">
        <v>220</v>
      </c>
      <c r="J66">
        <v>65</v>
      </c>
      <c r="K66">
        <v>30</v>
      </c>
      <c r="L66">
        <v>70</v>
      </c>
      <c r="M66" s="68" t="s">
        <v>121</v>
      </c>
      <c r="N66">
        <v>90.8</v>
      </c>
      <c r="O66">
        <v>17</v>
      </c>
      <c r="P66" s="67" t="s">
        <v>210</v>
      </c>
      <c r="Q66" s="68">
        <v>196.2</v>
      </c>
      <c r="R66" s="67" t="s">
        <v>211</v>
      </c>
      <c r="S66" s="68">
        <v>205.2</v>
      </c>
      <c r="T66" s="68">
        <f t="shared" si="10"/>
        <v>9</v>
      </c>
      <c r="U66">
        <f t="shared" si="11"/>
        <v>71</v>
      </c>
      <c r="V66">
        <f t="shared" si="5"/>
        <v>7.6</v>
      </c>
      <c r="W66">
        <f t="shared" si="12"/>
        <v>10.4</v>
      </c>
      <c r="X66" s="19">
        <v>45256</v>
      </c>
      <c r="Y66" s="26">
        <v>207</v>
      </c>
      <c r="Z66" s="61">
        <v>0</v>
      </c>
      <c r="AB66" s="28">
        <f t="shared" ref="AB66:AB129" si="14">IF(Y66 &gt; 0,(B66-Y66)/B66," ")</f>
        <v>0.12658227848101267</v>
      </c>
      <c r="AC66" s="110">
        <v>77</v>
      </c>
      <c r="AD66" s="26">
        <v>90</v>
      </c>
      <c r="AE66" s="61">
        <f t="shared" si="13"/>
        <v>13</v>
      </c>
      <c r="AF66" s="77" t="str">
        <f>_xlfn.XLOOKUP(AD66,menu!$K$2:$K$9,menu!$J$2:$J$9,"",1)</f>
        <v>極淺</v>
      </c>
      <c r="AG66" s="80" t="str">
        <f>_xlfn.XLOOKUP(AH66,menu!$O$2:$O$9,menu!$H$2:$H$9,"")</f>
        <v>Light</v>
      </c>
      <c r="AH66" s="81" t="s">
        <v>193</v>
      </c>
      <c r="AI66" t="str">
        <f>_xlfn.LET(_xlpm.x,_xlfn.CONCAT(_xlfn.XLOOKUP(D66,beans!$A$2:$A$300,beans!$J$2:$J$300,"")," / ",_xlfn.XLOOKUP(D66,beans!$A$2:$A$300,beans!$K$2:$K$300,"")," - ",_xlfn.XLOOKUP(D66,beans!$A$2:$A$300,beans!$L$2:$L$300,"")),IF(_xlpm.x=" /  - ","",_xlpm.x))</f>
        <v>吉馬莉姆 / 果美村 - 寶貝藝妓</v>
      </c>
      <c r="AJ66" s="23" t="s">
        <v>212</v>
      </c>
    </row>
    <row r="67" spans="1:36" x14ac:dyDescent="0.3">
      <c r="A67">
        <v>50</v>
      </c>
      <c r="B67">
        <v>250</v>
      </c>
      <c r="D67">
        <v>26</v>
      </c>
      <c r="E67" t="str">
        <f>_xlfn.LET(_xlpm.x,_xlfn.XLOOKUP(D67,beans!$A$2:$A$300,beans!$H$2:$H$300,""),IF(_xlpm.x="","",_xlpm.x))</f>
        <v>肯亞</v>
      </c>
      <c r="F67" s="22" t="str">
        <f>_xlfn.XLOOKUP(E67,menu!$A$2:$A$37,menu!$B$2:$B$37,"")</f>
        <v>Kenya</v>
      </c>
      <c r="G67" t="str">
        <f>_xlfn.XLOOKUP(E67,menu!$A$2:$A$37,menu!$C$2:$C$37,"")</f>
        <v>ken</v>
      </c>
      <c r="H67" t="str">
        <f>_xlfn.LET(_xlpm.x,_xlfn.XLOOKUP(_xlfn.XLOOKUP(D67,beans!$A$2:$A$300,beans!$I$2:$I$300),menu!$E$2:$E$20,menu!$F$2:$F$20),IF(_xlpm.x="","",_xlpm.x))</f>
        <v>washed</v>
      </c>
      <c r="I67">
        <v>180</v>
      </c>
      <c r="J67">
        <v>60</v>
      </c>
      <c r="K67">
        <v>30</v>
      </c>
      <c r="L67">
        <v>70</v>
      </c>
      <c r="M67" s="68" t="s">
        <v>213</v>
      </c>
      <c r="N67">
        <v>77.8</v>
      </c>
      <c r="P67" s="67" t="s">
        <v>214</v>
      </c>
      <c r="Q67" s="68">
        <v>201.7</v>
      </c>
      <c r="R67" s="67" t="s">
        <v>215</v>
      </c>
      <c r="S67" s="68">
        <v>217</v>
      </c>
      <c r="T67" s="68">
        <f t="shared" si="10"/>
        <v>15.300000000000011</v>
      </c>
      <c r="U67">
        <f t="shared" si="11"/>
        <v>147</v>
      </c>
      <c r="V67">
        <f t="shared" ref="V67:V130" si="15">IFERROR(ROUND(T67*60/U67,1), )</f>
        <v>6.2</v>
      </c>
      <c r="W67">
        <f t="shared" si="12"/>
        <v>16.670000000000002</v>
      </c>
      <c r="X67" s="19">
        <v>45262</v>
      </c>
      <c r="Y67" s="26">
        <v>213</v>
      </c>
      <c r="Z67" s="61">
        <v>0</v>
      </c>
      <c r="AB67" s="28">
        <f t="shared" si="14"/>
        <v>0.14799999999999999</v>
      </c>
      <c r="AC67" s="110">
        <v>44</v>
      </c>
      <c r="AD67" s="26">
        <v>59</v>
      </c>
      <c r="AE67" s="61">
        <f t="shared" si="13"/>
        <v>15</v>
      </c>
      <c r="AF67" s="77" t="str">
        <f>_xlfn.XLOOKUP(AD67,menu!$K$2:$K$9,menu!$J$2:$J$9,"",1)</f>
        <v>中</v>
      </c>
      <c r="AG67" s="80" t="str">
        <f>_xlfn.XLOOKUP(AH67,menu!$O$2:$O$9,menu!$H$2:$H$9,"")</f>
        <v>Medium</v>
      </c>
      <c r="AH67" s="81" t="s">
        <v>72</v>
      </c>
      <c r="AI67" t="str">
        <f>_xlfn.LET(_xlpm.x,_xlfn.CONCAT(_xlfn.XLOOKUP(D67,beans!$A$2:$A$300,beans!$J$2:$J$300,"")," / ",_xlfn.XLOOKUP(D67,beans!$A$2:$A$300,beans!$K$2:$K$300,"")," - ",_xlfn.XLOOKUP(D67,beans!$A$2:$A$300,beans!$L$2:$L$300,"")),IF(_xlpm.x=" /  - ","",_xlpm.x))</f>
        <v>恩布 / 吉查羅利 - SL28 / Ruiru 11 / Batian</v>
      </c>
      <c r="AJ67" s="23" t="s">
        <v>216</v>
      </c>
    </row>
    <row r="68" spans="1:36" x14ac:dyDescent="0.3">
      <c r="A68">
        <v>51</v>
      </c>
      <c r="B68">
        <v>250</v>
      </c>
      <c r="C68">
        <v>10</v>
      </c>
      <c r="D68">
        <v>2</v>
      </c>
      <c r="E68" t="str">
        <f>_xlfn.LET(_xlpm.x,_xlfn.XLOOKUP(D68,beans!$A$2:$A$300,beans!$H$2:$H$300,""),IF(_xlpm.x="","",_xlpm.x))</f>
        <v>哥斯大黎加</v>
      </c>
      <c r="F68" s="22" t="str">
        <f>_xlfn.XLOOKUP(E68,menu!$A$2:$A$37,menu!$B$2:$B$37,"")</f>
        <v>Costa Rica</v>
      </c>
      <c r="G68" t="str">
        <f>_xlfn.XLOOKUP(E68,menu!$A$2:$A$37,menu!$C$2:$C$37,"")</f>
        <v>cri</v>
      </c>
      <c r="H68" t="str">
        <f>_xlfn.LET(_xlpm.x,_xlfn.XLOOKUP(_xlfn.XLOOKUP(D68,beans!$A$2:$A$300,beans!$I$2:$I$300),menu!$E$2:$E$20,menu!$F$2:$F$20),IF(_xlpm.x="","",_xlpm.x))</f>
        <v>raisin-honey</v>
      </c>
      <c r="I68">
        <v>180</v>
      </c>
      <c r="J68">
        <v>60</v>
      </c>
      <c r="K68">
        <v>30</v>
      </c>
      <c r="L68">
        <v>70</v>
      </c>
      <c r="M68" s="68" t="s">
        <v>217</v>
      </c>
      <c r="N68">
        <v>78.5</v>
      </c>
      <c r="P68" s="67" t="s">
        <v>218</v>
      </c>
      <c r="Q68" s="68">
        <v>203</v>
      </c>
      <c r="R68" s="67" t="s">
        <v>219</v>
      </c>
      <c r="S68" s="68">
        <v>216.9</v>
      </c>
      <c r="T68" s="68">
        <f t="shared" si="10"/>
        <v>13.900000000000006</v>
      </c>
      <c r="U68">
        <f t="shared" si="11"/>
        <v>83</v>
      </c>
      <c r="V68">
        <f t="shared" si="15"/>
        <v>10</v>
      </c>
      <c r="W68">
        <f t="shared" si="12"/>
        <v>9.14</v>
      </c>
      <c r="X68" s="19">
        <v>45262</v>
      </c>
      <c r="Y68" s="26">
        <v>215</v>
      </c>
      <c r="Z68" s="61">
        <v>0</v>
      </c>
      <c r="AB68" s="28">
        <f t="shared" si="14"/>
        <v>0.14000000000000001</v>
      </c>
      <c r="AC68" s="110">
        <v>44</v>
      </c>
      <c r="AD68" s="26">
        <v>69</v>
      </c>
      <c r="AE68" s="61">
        <f t="shared" si="13"/>
        <v>25</v>
      </c>
      <c r="AF68" s="77" t="str">
        <f>_xlfn.XLOOKUP(AD68,menu!$K$2:$K$9,menu!$J$2:$J$9,"",1)</f>
        <v>中淺</v>
      </c>
      <c r="AG68" s="80" t="str">
        <f>_xlfn.XLOOKUP(AH68,menu!$O$2:$O$9,menu!$H$2:$H$9,"")</f>
        <v>Medium</v>
      </c>
      <c r="AH68" s="81" t="s">
        <v>72</v>
      </c>
      <c r="AI68" t="str">
        <f>_xlfn.LET(_xlpm.x,_xlfn.CONCAT(_xlfn.XLOOKUP(D68,beans!$A$2:$A$300,beans!$J$2:$J$300,"")," / ",_xlfn.XLOOKUP(D68,beans!$A$2:$A$300,beans!$K$2:$K$300,"")," - ",_xlfn.XLOOKUP(D68,beans!$A$2:$A$300,beans!$L$2:$L$300,"")),IF(_xlpm.x=" /  - ","",_xlpm.x))</f>
        <v xml:space="preserve">Tarrazu / 卡內特 音樂家系列 莫札特 - </v>
      </c>
      <c r="AJ68" s="23" t="s">
        <v>220</v>
      </c>
    </row>
    <row r="69" spans="1:36" x14ac:dyDescent="0.3">
      <c r="A69">
        <v>52</v>
      </c>
      <c r="B69">
        <v>250</v>
      </c>
      <c r="D69">
        <v>2</v>
      </c>
      <c r="E69" t="str">
        <f>_xlfn.LET(_xlpm.x,_xlfn.XLOOKUP(D69,beans!$A$2:$A$300,beans!$H$2:$H$300,""),IF(_xlpm.x="","",_xlpm.x))</f>
        <v>哥斯大黎加</v>
      </c>
      <c r="F69" s="22" t="str">
        <f>_xlfn.XLOOKUP(E69,menu!$A$2:$A$37,menu!$B$2:$B$37,"")</f>
        <v>Costa Rica</v>
      </c>
      <c r="G69" t="str">
        <f>_xlfn.XLOOKUP(E69,menu!$A$2:$A$37,menu!$C$2:$C$37,"")</f>
        <v>cri</v>
      </c>
      <c r="H69" t="str">
        <f>_xlfn.LET(_xlpm.x,_xlfn.XLOOKUP(_xlfn.XLOOKUP(D69,beans!$A$2:$A$300,beans!$I$2:$I$300),menu!$E$2:$E$20,menu!$F$2:$F$20),IF(_xlpm.x="","",_xlpm.x))</f>
        <v>raisin-honey</v>
      </c>
      <c r="I69">
        <v>180</v>
      </c>
      <c r="J69">
        <v>60</v>
      </c>
      <c r="K69">
        <v>30</v>
      </c>
      <c r="L69">
        <v>70</v>
      </c>
      <c r="M69" s="68" t="s">
        <v>190</v>
      </c>
      <c r="N69">
        <v>78.599999999999994</v>
      </c>
      <c r="P69" s="67" t="s">
        <v>183</v>
      </c>
      <c r="Q69" s="68">
        <v>198.7</v>
      </c>
      <c r="R69" s="67" t="s">
        <v>221</v>
      </c>
      <c r="S69" s="68">
        <v>209.6</v>
      </c>
      <c r="T69" s="68">
        <f t="shared" si="10"/>
        <v>10.900000000000006</v>
      </c>
      <c r="U69">
        <f t="shared" si="11"/>
        <v>66</v>
      </c>
      <c r="V69">
        <f t="shared" si="15"/>
        <v>9.9</v>
      </c>
      <c r="W69">
        <f t="shared" si="12"/>
        <v>8.19</v>
      </c>
      <c r="X69" s="19">
        <v>45262</v>
      </c>
      <c r="Y69" s="26">
        <v>220</v>
      </c>
      <c r="Z69" s="61">
        <v>0</v>
      </c>
      <c r="AB69" s="28">
        <f t="shared" si="14"/>
        <v>0.12</v>
      </c>
      <c r="AC69" s="110">
        <v>58</v>
      </c>
      <c r="AD69" s="26">
        <v>82</v>
      </c>
      <c r="AE69" s="61">
        <f t="shared" si="13"/>
        <v>24</v>
      </c>
      <c r="AF69" s="77" t="str">
        <f>_xlfn.XLOOKUP(AD69,menu!$K$2:$K$9,menu!$J$2:$J$9,"",1)</f>
        <v>極淺</v>
      </c>
      <c r="AG69" s="80" t="str">
        <f>_xlfn.XLOOKUP(AH69,menu!$O$2:$O$9,menu!$H$2:$H$9,"")</f>
        <v>Cinamon</v>
      </c>
      <c r="AH69" s="81" t="s">
        <v>78</v>
      </c>
      <c r="AI69" t="str">
        <f>_xlfn.LET(_xlpm.x,_xlfn.CONCAT(_xlfn.XLOOKUP(D69,beans!$A$2:$A$300,beans!$J$2:$J$300,"")," / ",_xlfn.XLOOKUP(D69,beans!$A$2:$A$300,beans!$K$2:$K$300,"")," - ",_xlfn.XLOOKUP(D69,beans!$A$2:$A$300,beans!$L$2:$L$300,"")),IF(_xlpm.x=" /  - ","",_xlpm.x))</f>
        <v xml:space="preserve">Tarrazu / 卡內特 音樂家系列 莫札特 - </v>
      </c>
      <c r="AJ69" s="23" t="s">
        <v>222</v>
      </c>
    </row>
    <row r="70" spans="1:36" x14ac:dyDescent="0.3">
      <c r="A70">
        <v>53</v>
      </c>
      <c r="B70">
        <v>250</v>
      </c>
      <c r="D70">
        <v>9</v>
      </c>
      <c r="E70" t="str">
        <f>_xlfn.LET(_xlpm.x,_xlfn.XLOOKUP(D70,beans!$A$2:$A$300,beans!$H$2:$H$300,""),IF(_xlpm.x="","",_xlpm.x))</f>
        <v>衣索比亞</v>
      </c>
      <c r="F70" s="22" t="str">
        <f>_xlfn.XLOOKUP(E70,menu!$A$2:$A$37,menu!$B$2:$B$37,"")</f>
        <v>Ethiopia</v>
      </c>
      <c r="G70" t="str">
        <f>_xlfn.XLOOKUP(E70,menu!$A$2:$A$37,menu!$C$2:$C$37,"")</f>
        <v>eth</v>
      </c>
      <c r="H70" t="str">
        <f>_xlfn.LET(_xlpm.x,_xlfn.XLOOKUP(_xlfn.XLOOKUP(D70,beans!$A$2:$A$300,beans!$I$2:$I$300),menu!$E$2:$E$20,menu!$F$2:$F$20),IF(_xlpm.x="","",_xlpm.x))</f>
        <v>natural</v>
      </c>
      <c r="I70">
        <v>180</v>
      </c>
      <c r="J70">
        <v>60</v>
      </c>
      <c r="K70">
        <v>30</v>
      </c>
      <c r="L70">
        <v>70</v>
      </c>
      <c r="M70" s="68" t="s">
        <v>217</v>
      </c>
      <c r="N70">
        <v>75.3</v>
      </c>
      <c r="O70">
        <v>14</v>
      </c>
      <c r="P70" s="67" t="s">
        <v>223</v>
      </c>
      <c r="Q70" s="68">
        <v>207.2</v>
      </c>
      <c r="R70" s="67" t="s">
        <v>224</v>
      </c>
      <c r="S70" s="68">
        <v>214.8</v>
      </c>
      <c r="T70" s="68">
        <f t="shared" si="10"/>
        <v>7.6000000000000227</v>
      </c>
      <c r="U70">
        <f t="shared" si="11"/>
        <v>41</v>
      </c>
      <c r="V70">
        <f t="shared" si="15"/>
        <v>11.1</v>
      </c>
      <c r="W70">
        <f t="shared" si="12"/>
        <v>5.44</v>
      </c>
      <c r="X70" s="19">
        <v>45267</v>
      </c>
      <c r="Y70" s="26">
        <v>211</v>
      </c>
      <c r="Z70" s="61">
        <v>0</v>
      </c>
      <c r="AB70" s="28">
        <f t="shared" si="14"/>
        <v>0.156</v>
      </c>
      <c r="AE70" s="61" t="str">
        <f t="shared" si="13"/>
        <v/>
      </c>
      <c r="AF70" s="77" t="str">
        <f>_xlfn.XLOOKUP(AD70,menu!$K$2:$K$9,menu!$J$2:$J$9,"",1)</f>
        <v/>
      </c>
      <c r="AG70" s="80" t="str">
        <f>_xlfn.XLOOKUP(AH70,menu!$O$2:$O$9,menu!$H$2:$H$9,"")</f>
        <v>Cinamon</v>
      </c>
      <c r="AH70" s="81" t="s">
        <v>78</v>
      </c>
      <c r="AI70" t="str">
        <f>_xlfn.LET(_xlpm.x,_xlfn.CONCAT(_xlfn.XLOOKUP(D70,beans!$A$2:$A$300,beans!$J$2:$J$300,"")," / ",_xlfn.XLOOKUP(D70,beans!$A$2:$A$300,beans!$K$2:$K$300,"")," - ",_xlfn.XLOOKUP(D70,beans!$A$2:$A$300,beans!$L$2:$L$300,"")),IF(_xlpm.x=" /  - ","",_xlpm.x))</f>
        <v>吉瑪 利姆 / 果美村 - 寶貝藝妓</v>
      </c>
      <c r="AJ70" s="23" t="s">
        <v>225</v>
      </c>
    </row>
    <row r="71" spans="1:36" x14ac:dyDescent="0.3">
      <c r="A71">
        <v>54</v>
      </c>
      <c r="B71">
        <v>250</v>
      </c>
      <c r="D71">
        <v>2</v>
      </c>
      <c r="E71" t="str">
        <f>_xlfn.LET(_xlpm.x,_xlfn.XLOOKUP(D71,beans!$A$2:$A$300,beans!$H$2:$H$300,""),IF(_xlpm.x="","",_xlpm.x))</f>
        <v>哥斯大黎加</v>
      </c>
      <c r="F71" s="22" t="str">
        <f>_xlfn.XLOOKUP(E71,menu!$A$2:$A$37,menu!$B$2:$B$37,"")</f>
        <v>Costa Rica</v>
      </c>
      <c r="G71" t="str">
        <f>_xlfn.XLOOKUP(E71,menu!$A$2:$A$37,menu!$C$2:$C$37,"")</f>
        <v>cri</v>
      </c>
      <c r="H71" t="str">
        <f>_xlfn.LET(_xlpm.x,_xlfn.XLOOKUP(_xlfn.XLOOKUP(D71,beans!$A$2:$A$300,beans!$I$2:$I$300),menu!$E$2:$E$20,menu!$F$2:$F$20),IF(_xlpm.x="","",_xlpm.x))</f>
        <v>raisin-honey</v>
      </c>
      <c r="I71">
        <v>180</v>
      </c>
      <c r="J71">
        <v>60</v>
      </c>
      <c r="K71">
        <v>30</v>
      </c>
      <c r="L71">
        <v>70</v>
      </c>
      <c r="M71" s="68" t="s">
        <v>188</v>
      </c>
      <c r="N71">
        <v>78.3</v>
      </c>
      <c r="O71">
        <v>13</v>
      </c>
      <c r="P71" s="67" t="s">
        <v>226</v>
      </c>
      <c r="Q71" s="68">
        <v>203.4</v>
      </c>
      <c r="R71" s="67" t="s">
        <v>227</v>
      </c>
      <c r="S71" s="68">
        <v>217</v>
      </c>
      <c r="T71" s="68">
        <f t="shared" si="10"/>
        <v>13.599999999999994</v>
      </c>
      <c r="U71">
        <f t="shared" si="11"/>
        <v>68</v>
      </c>
      <c r="V71">
        <f t="shared" si="15"/>
        <v>12</v>
      </c>
      <c r="W71">
        <f t="shared" si="12"/>
        <v>7.63</v>
      </c>
      <c r="X71" s="19">
        <v>45267</v>
      </c>
      <c r="Y71" s="26">
        <v>217</v>
      </c>
      <c r="Z71" s="61">
        <v>0</v>
      </c>
      <c r="AB71" s="28">
        <f t="shared" si="14"/>
        <v>0.13200000000000001</v>
      </c>
      <c r="AE71" s="61" t="str">
        <f t="shared" si="13"/>
        <v/>
      </c>
      <c r="AF71" s="77" t="str">
        <f>_xlfn.XLOOKUP(AD71,menu!$K$2:$K$9,menu!$J$2:$J$9,"",1)</f>
        <v/>
      </c>
      <c r="AG71" s="80" t="str">
        <f>_xlfn.XLOOKUP(AH71,menu!$O$2:$O$9,menu!$H$2:$H$9,"")</f>
        <v>Medium</v>
      </c>
      <c r="AH71" s="81" t="s">
        <v>72</v>
      </c>
      <c r="AI71" t="str">
        <f>_xlfn.LET(_xlpm.x,_xlfn.CONCAT(_xlfn.XLOOKUP(D71,beans!$A$2:$A$300,beans!$J$2:$J$300,"")," / ",_xlfn.XLOOKUP(D71,beans!$A$2:$A$300,beans!$K$2:$K$300,"")," - ",_xlfn.XLOOKUP(D71,beans!$A$2:$A$300,beans!$L$2:$L$300,"")),IF(_xlpm.x=" /  - ","",_xlpm.x))</f>
        <v xml:space="preserve">Tarrazu / 卡內特 音樂家系列 莫札特 - </v>
      </c>
      <c r="AJ71" s="23" t="s">
        <v>228</v>
      </c>
    </row>
    <row r="72" spans="1:36" x14ac:dyDescent="0.3">
      <c r="A72">
        <v>55</v>
      </c>
      <c r="B72">
        <v>250</v>
      </c>
      <c r="C72">
        <v>8</v>
      </c>
      <c r="D72">
        <v>47</v>
      </c>
      <c r="E72" t="str">
        <f>_xlfn.LET(_xlpm.x,_xlfn.XLOOKUP(D72,beans!$A$2:$A$300,beans!$H$2:$H$300,""),IF(_xlpm.x="","",_xlpm.x))</f>
        <v>衣索比亞</v>
      </c>
      <c r="F72" s="22" t="str">
        <f>_xlfn.XLOOKUP(E72,menu!$A$2:$A$37,menu!$B$2:$B$37,"")</f>
        <v>Ethiopia</v>
      </c>
      <c r="G72" t="str">
        <f>_xlfn.XLOOKUP(E72,menu!$A$2:$A$37,menu!$C$2:$C$37,"")</f>
        <v>eth</v>
      </c>
      <c r="H72" t="str">
        <f>_xlfn.LET(_xlpm.x,_xlfn.XLOOKUP(_xlfn.XLOOKUP(D72,beans!$A$2:$A$300,beans!$I$2:$I$300),menu!$E$2:$E$20,menu!$F$2:$F$20),IF(_xlpm.x="","",_xlpm.x))</f>
        <v>washed</v>
      </c>
      <c r="I72">
        <v>180</v>
      </c>
      <c r="J72">
        <v>60</v>
      </c>
      <c r="K72">
        <v>30</v>
      </c>
      <c r="L72">
        <v>70</v>
      </c>
      <c r="M72" s="68" t="s">
        <v>229</v>
      </c>
      <c r="N72">
        <v>76.3</v>
      </c>
      <c r="P72" s="67" t="s">
        <v>230</v>
      </c>
      <c r="Q72" s="68">
        <v>200.8</v>
      </c>
      <c r="R72" s="67" t="s">
        <v>231</v>
      </c>
      <c r="S72" s="68">
        <v>210.7</v>
      </c>
      <c r="T72" s="68">
        <f t="shared" si="10"/>
        <v>9.8999999999999773</v>
      </c>
      <c r="U72">
        <f t="shared" si="11"/>
        <v>82</v>
      </c>
      <c r="V72">
        <f t="shared" si="15"/>
        <v>7.2</v>
      </c>
      <c r="W72">
        <f t="shared" si="12"/>
        <v>10.26</v>
      </c>
      <c r="X72" s="19">
        <v>45269</v>
      </c>
      <c r="Y72" s="26">
        <v>215</v>
      </c>
      <c r="Z72" s="61">
        <v>0</v>
      </c>
      <c r="AB72" s="28">
        <f t="shared" si="14"/>
        <v>0.14000000000000001</v>
      </c>
      <c r="AC72" s="110">
        <v>61.6</v>
      </c>
      <c r="AD72" s="26">
        <v>77.099999999999994</v>
      </c>
      <c r="AE72" s="61">
        <f t="shared" si="13"/>
        <v>15.499999999999993</v>
      </c>
      <c r="AF72" s="77" t="str">
        <f>_xlfn.XLOOKUP(AD72,menu!$K$2:$K$9,menu!$J$2:$J$9,"",1)</f>
        <v>淺</v>
      </c>
      <c r="AG72" s="80" t="str">
        <f>_xlfn.XLOOKUP(AH72,menu!$O$2:$O$9,menu!$H$2:$H$9,"")</f>
        <v>Cinamon</v>
      </c>
      <c r="AH72" s="81" t="s">
        <v>78</v>
      </c>
      <c r="AI72" t="str">
        <f>_xlfn.LET(_xlpm.x,_xlfn.CONCAT(_xlfn.XLOOKUP(D72,beans!$A$2:$A$300,beans!$J$2:$J$300,"")," / ",_xlfn.XLOOKUP(D72,beans!$A$2:$A$300,beans!$K$2:$K$300,"")," - ",_xlfn.XLOOKUP(D72,beans!$A$2:$A$300,beans!$L$2:$L$300,"")),IF(_xlpm.x=" /  - ","",_xlpm.x))</f>
        <v>吉馬莉姆 / 果美村 - 寶貝藝妓</v>
      </c>
      <c r="AJ72" s="23" t="s">
        <v>232</v>
      </c>
    </row>
    <row r="73" spans="1:36" x14ac:dyDescent="0.3">
      <c r="A73">
        <v>56</v>
      </c>
      <c r="B73">
        <v>250</v>
      </c>
      <c r="D73">
        <v>2</v>
      </c>
      <c r="E73" t="str">
        <f>_xlfn.LET(_xlpm.x,_xlfn.XLOOKUP(D73,beans!$A$2:$A$300,beans!$H$2:$H$300,""),IF(_xlpm.x="","",_xlpm.x))</f>
        <v>哥斯大黎加</v>
      </c>
      <c r="F73" s="22" t="str">
        <f>_xlfn.XLOOKUP(E73,menu!$A$2:$A$37,menu!$B$2:$B$37,"")</f>
        <v>Costa Rica</v>
      </c>
      <c r="G73" t="str">
        <f>_xlfn.XLOOKUP(E73,menu!$A$2:$A$37,menu!$C$2:$C$37,"")</f>
        <v>cri</v>
      </c>
      <c r="H73" t="str">
        <f>_xlfn.LET(_xlpm.x,_xlfn.XLOOKUP(_xlfn.XLOOKUP(D73,beans!$A$2:$A$300,beans!$I$2:$I$300),menu!$E$2:$E$20,menu!$F$2:$F$20),IF(_xlpm.x="","",_xlpm.x))</f>
        <v>raisin-honey</v>
      </c>
      <c r="I73">
        <v>180</v>
      </c>
      <c r="J73">
        <v>60</v>
      </c>
      <c r="K73">
        <v>30</v>
      </c>
      <c r="L73">
        <v>70</v>
      </c>
      <c r="M73" s="68" t="s">
        <v>54</v>
      </c>
      <c r="N73">
        <v>79.2</v>
      </c>
      <c r="O73">
        <v>11</v>
      </c>
      <c r="P73" s="67" t="s">
        <v>221</v>
      </c>
      <c r="Q73" s="68">
        <v>199.5</v>
      </c>
      <c r="R73" s="67" t="s">
        <v>227</v>
      </c>
      <c r="S73" s="68">
        <v>216.9</v>
      </c>
      <c r="T73" s="68">
        <f t="shared" si="10"/>
        <v>17.400000000000006</v>
      </c>
      <c r="U73">
        <f t="shared" si="11"/>
        <v>85</v>
      </c>
      <c r="V73">
        <f t="shared" si="15"/>
        <v>12.3</v>
      </c>
      <c r="W73">
        <f t="shared" si="12"/>
        <v>9.5399999999999991</v>
      </c>
      <c r="X73" s="19">
        <v>45269</v>
      </c>
      <c r="Y73" s="26">
        <v>217.6</v>
      </c>
      <c r="Z73" s="61">
        <v>0</v>
      </c>
      <c r="AB73" s="28">
        <f t="shared" si="14"/>
        <v>0.12960000000000002</v>
      </c>
      <c r="AC73" s="110">
        <v>55.6</v>
      </c>
      <c r="AD73" s="26">
        <v>67.8</v>
      </c>
      <c r="AE73" s="61">
        <f t="shared" si="13"/>
        <v>12.199999999999996</v>
      </c>
      <c r="AF73" s="77" t="str">
        <f>_xlfn.XLOOKUP(AD73,menu!$K$2:$K$9,menu!$J$2:$J$9,"",1)</f>
        <v>中淺</v>
      </c>
      <c r="AG73" s="80" t="str">
        <f>_xlfn.XLOOKUP(AH73,menu!$O$2:$O$9,menu!$H$2:$H$9,"")</f>
        <v>Medium</v>
      </c>
      <c r="AH73" s="81" t="s">
        <v>72</v>
      </c>
      <c r="AI73" t="str">
        <f>_xlfn.LET(_xlpm.x,_xlfn.CONCAT(_xlfn.XLOOKUP(D73,beans!$A$2:$A$300,beans!$J$2:$J$300,"")," / ",_xlfn.XLOOKUP(D73,beans!$A$2:$A$300,beans!$K$2:$K$300,"")," - ",_xlfn.XLOOKUP(D73,beans!$A$2:$A$300,beans!$L$2:$L$300,"")),IF(_xlpm.x=" /  - ","",_xlpm.x))</f>
        <v xml:space="preserve">Tarrazu / 卡內特 音樂家系列 莫札特 - </v>
      </c>
      <c r="AJ73" s="23" t="s">
        <v>233</v>
      </c>
    </row>
    <row r="74" spans="1:36" x14ac:dyDescent="0.3">
      <c r="A74">
        <v>57</v>
      </c>
      <c r="B74">
        <v>250</v>
      </c>
      <c r="D74">
        <v>2</v>
      </c>
      <c r="E74" t="str">
        <f>_xlfn.LET(_xlpm.x,_xlfn.XLOOKUP(D74,beans!$A$2:$A$300,beans!$H$2:$H$300,""),IF(_xlpm.x="","",_xlpm.x))</f>
        <v>哥斯大黎加</v>
      </c>
      <c r="F74" s="22" t="str">
        <f>_xlfn.XLOOKUP(E74,menu!$A$2:$A$37,menu!$B$2:$B$37,"")</f>
        <v>Costa Rica</v>
      </c>
      <c r="G74" t="str">
        <f>_xlfn.XLOOKUP(E74,menu!$A$2:$A$37,menu!$C$2:$C$37,"")</f>
        <v>cri</v>
      </c>
      <c r="H74" t="str">
        <f>_xlfn.LET(_xlpm.x,_xlfn.XLOOKUP(_xlfn.XLOOKUP(D74,beans!$A$2:$A$300,beans!$I$2:$I$300),menu!$E$2:$E$20,menu!$F$2:$F$20),IF(_xlpm.x="","",_xlpm.x))</f>
        <v>raisin-honey</v>
      </c>
      <c r="I74">
        <v>180</v>
      </c>
      <c r="J74">
        <v>60</v>
      </c>
      <c r="K74">
        <v>30</v>
      </c>
      <c r="L74">
        <v>70</v>
      </c>
      <c r="M74" s="68" t="s">
        <v>157</v>
      </c>
      <c r="N74">
        <v>82.9</v>
      </c>
      <c r="O74">
        <v>9</v>
      </c>
      <c r="P74" s="67" t="s">
        <v>148</v>
      </c>
      <c r="Q74" s="68">
        <v>204.5</v>
      </c>
      <c r="R74" s="67" t="s">
        <v>227</v>
      </c>
      <c r="S74" s="68">
        <v>216.9</v>
      </c>
      <c r="T74" s="68">
        <f t="shared" si="10"/>
        <v>12.400000000000006</v>
      </c>
      <c r="U74">
        <f t="shared" si="11"/>
        <v>63</v>
      </c>
      <c r="V74">
        <f t="shared" si="15"/>
        <v>11.8</v>
      </c>
      <c r="W74">
        <f t="shared" si="12"/>
        <v>7.07</v>
      </c>
      <c r="X74" s="19">
        <v>45269</v>
      </c>
      <c r="Y74" s="26">
        <v>216.8</v>
      </c>
      <c r="Z74" s="61">
        <v>0</v>
      </c>
      <c r="AB74" s="28">
        <f t="shared" si="14"/>
        <v>0.13279999999999995</v>
      </c>
      <c r="AC74" s="110">
        <v>50.5</v>
      </c>
      <c r="AD74" s="26">
        <v>67.7</v>
      </c>
      <c r="AE74" s="61">
        <f t="shared" si="13"/>
        <v>17.200000000000003</v>
      </c>
      <c r="AF74" s="77" t="str">
        <f>_xlfn.XLOOKUP(AD74,menu!$K$2:$K$9,menu!$J$2:$J$9,"",1)</f>
        <v>中淺</v>
      </c>
      <c r="AG74" s="80" t="str">
        <f>_xlfn.XLOOKUP(AH74,menu!$O$2:$O$9,menu!$H$2:$H$9,"")</f>
        <v>Medium</v>
      </c>
      <c r="AH74" s="81" t="s">
        <v>72</v>
      </c>
      <c r="AI74" t="str">
        <f>_xlfn.LET(_xlpm.x,_xlfn.CONCAT(_xlfn.XLOOKUP(D74,beans!$A$2:$A$300,beans!$J$2:$J$300,"")," / ",_xlfn.XLOOKUP(D74,beans!$A$2:$A$300,beans!$K$2:$K$300,"")," - ",_xlfn.XLOOKUP(D74,beans!$A$2:$A$300,beans!$L$2:$L$300,"")),IF(_xlpm.x=" /  - ","",_xlpm.x))</f>
        <v xml:space="preserve">Tarrazu / 卡內特 音樂家系列 莫札特 - </v>
      </c>
      <c r="AJ74" s="23" t="s">
        <v>233</v>
      </c>
    </row>
    <row r="75" spans="1:36" x14ac:dyDescent="0.3">
      <c r="A75">
        <v>58</v>
      </c>
      <c r="B75">
        <v>250</v>
      </c>
      <c r="D75">
        <v>2</v>
      </c>
      <c r="E75" t="str">
        <f>_xlfn.LET(_xlpm.x,_xlfn.XLOOKUP(D75,beans!$A$2:$A$300,beans!$H$2:$H$300,""),IF(_xlpm.x="","",_xlpm.x))</f>
        <v>哥斯大黎加</v>
      </c>
      <c r="F75" s="22" t="str">
        <f>_xlfn.XLOOKUP(E75,menu!$A$2:$A$37,menu!$B$2:$B$37,"")</f>
        <v>Costa Rica</v>
      </c>
      <c r="G75" t="str">
        <f>_xlfn.XLOOKUP(E75,menu!$A$2:$A$37,menu!$C$2:$C$37,"")</f>
        <v>cri</v>
      </c>
      <c r="H75" t="str">
        <f>_xlfn.LET(_xlpm.x,_xlfn.XLOOKUP(_xlfn.XLOOKUP(D75,beans!$A$2:$A$300,beans!$I$2:$I$300),menu!$E$2:$E$20,menu!$F$2:$F$20),IF(_xlpm.x="","",_xlpm.x))</f>
        <v>raisin-honey</v>
      </c>
      <c r="I75">
        <v>180</v>
      </c>
      <c r="J75">
        <v>60</v>
      </c>
      <c r="K75">
        <v>30</v>
      </c>
      <c r="L75">
        <v>70</v>
      </c>
      <c r="M75" s="68" t="s">
        <v>54</v>
      </c>
      <c r="N75">
        <v>80.8</v>
      </c>
      <c r="O75">
        <v>11</v>
      </c>
      <c r="P75" s="67" t="s">
        <v>234</v>
      </c>
      <c r="Q75" s="68">
        <v>195.1</v>
      </c>
      <c r="R75" s="67" t="s">
        <v>235</v>
      </c>
      <c r="S75" s="68">
        <v>216.8</v>
      </c>
      <c r="T75" s="68">
        <f t="shared" si="10"/>
        <v>21.700000000000017</v>
      </c>
      <c r="U75">
        <f t="shared" si="11"/>
        <v>119</v>
      </c>
      <c r="V75">
        <f t="shared" si="15"/>
        <v>10.9</v>
      </c>
      <c r="W75">
        <f t="shared" si="12"/>
        <v>13.12</v>
      </c>
      <c r="X75" s="19">
        <v>45269</v>
      </c>
      <c r="Y75" s="26">
        <v>218.6</v>
      </c>
      <c r="Z75" s="61">
        <v>0</v>
      </c>
      <c r="AB75" s="28">
        <f t="shared" si="14"/>
        <v>0.12560000000000002</v>
      </c>
      <c r="AC75" s="110">
        <v>60.8</v>
      </c>
      <c r="AD75" s="26">
        <v>71.3</v>
      </c>
      <c r="AE75" s="61">
        <f t="shared" si="13"/>
        <v>10.5</v>
      </c>
      <c r="AF75" s="77" t="str">
        <f>_xlfn.XLOOKUP(AD75,menu!$K$2:$K$9,menu!$J$2:$J$9,"",1)</f>
        <v>淺</v>
      </c>
      <c r="AG75" s="80" t="str">
        <f>_xlfn.XLOOKUP(AH75,menu!$O$2:$O$9,menu!$H$2:$H$9,"")</f>
        <v>Medium</v>
      </c>
      <c r="AH75" s="81" t="s">
        <v>72</v>
      </c>
      <c r="AI75" t="str">
        <f>_xlfn.LET(_xlpm.x,_xlfn.CONCAT(_xlfn.XLOOKUP(D75,beans!$A$2:$A$300,beans!$J$2:$J$300,"")," / ",_xlfn.XLOOKUP(D75,beans!$A$2:$A$300,beans!$K$2:$K$300,"")," - ",_xlfn.XLOOKUP(D75,beans!$A$2:$A$300,beans!$L$2:$L$300,"")),IF(_xlpm.x=" /  - ","",_xlpm.x))</f>
        <v xml:space="preserve">Tarrazu / 卡內特 音樂家系列 莫札特 - </v>
      </c>
      <c r="AJ75" s="23" t="s">
        <v>233</v>
      </c>
    </row>
    <row r="76" spans="1:36" x14ac:dyDescent="0.3">
      <c r="A76">
        <v>59</v>
      </c>
      <c r="B76">
        <v>500</v>
      </c>
      <c r="D76">
        <v>2</v>
      </c>
      <c r="E76" t="str">
        <f>_xlfn.LET(_xlpm.x,_xlfn.XLOOKUP(D76,beans!$A$2:$A$300,beans!$H$2:$H$300,""),IF(_xlpm.x="","",_xlpm.x))</f>
        <v>哥斯大黎加</v>
      </c>
      <c r="F76" s="22" t="str">
        <f>_xlfn.XLOOKUP(E76,menu!$A$2:$A$37,menu!$B$2:$B$37,"")</f>
        <v>Costa Rica</v>
      </c>
      <c r="G76" t="str">
        <f>_xlfn.XLOOKUP(E76,menu!$A$2:$A$37,menu!$C$2:$C$37,"")</f>
        <v>cri</v>
      </c>
      <c r="H76" t="str">
        <f>_xlfn.LET(_xlpm.x,_xlfn.XLOOKUP(_xlfn.XLOOKUP(D76,beans!$A$2:$A$300,beans!$I$2:$I$300),menu!$E$2:$E$20,menu!$F$2:$F$20),IF(_xlpm.x="","",_xlpm.x))</f>
        <v>raisin-honey</v>
      </c>
      <c r="I76">
        <v>210</v>
      </c>
      <c r="J76">
        <v>80</v>
      </c>
      <c r="K76">
        <v>40</v>
      </c>
      <c r="L76">
        <v>95</v>
      </c>
      <c r="M76" s="68" t="s">
        <v>207</v>
      </c>
      <c r="N76">
        <v>90.2</v>
      </c>
      <c r="O76">
        <v>21</v>
      </c>
      <c r="P76" s="67" t="s">
        <v>236</v>
      </c>
      <c r="Q76" s="68">
        <v>201.4</v>
      </c>
      <c r="R76" s="67" t="s">
        <v>237</v>
      </c>
      <c r="S76" s="68">
        <v>208.7</v>
      </c>
      <c r="T76" s="68">
        <f t="shared" si="10"/>
        <v>7.2999999999999829</v>
      </c>
      <c r="U76">
        <f t="shared" si="11"/>
        <v>45</v>
      </c>
      <c r="V76">
        <f t="shared" si="15"/>
        <v>9.6999999999999993</v>
      </c>
      <c r="W76">
        <f t="shared" si="12"/>
        <v>7.2</v>
      </c>
      <c r="X76" s="19">
        <v>45269</v>
      </c>
      <c r="Y76" s="26">
        <v>440</v>
      </c>
      <c r="Z76" s="61">
        <v>0</v>
      </c>
      <c r="AB76" s="28">
        <f t="shared" si="14"/>
        <v>0.12</v>
      </c>
      <c r="AE76" s="61" t="str">
        <f t="shared" si="13"/>
        <v/>
      </c>
      <c r="AF76" s="77" t="str">
        <f>_xlfn.XLOOKUP(AD76,menu!$K$2:$K$9,menu!$J$2:$J$9,"",1)</f>
        <v/>
      </c>
      <c r="AG76" s="80" t="str">
        <f>_xlfn.XLOOKUP(AH76,menu!$O$2:$O$9,menu!$H$2:$H$9,"")</f>
        <v>Cinamon</v>
      </c>
      <c r="AH76" s="81" t="s">
        <v>78</v>
      </c>
      <c r="AI76" t="str">
        <f>_xlfn.LET(_xlpm.x,_xlfn.CONCAT(_xlfn.XLOOKUP(D76,beans!$A$2:$A$300,beans!$J$2:$J$300,"")," / ",_xlfn.XLOOKUP(D76,beans!$A$2:$A$300,beans!$K$2:$K$300,"")," - ",_xlfn.XLOOKUP(D76,beans!$A$2:$A$300,beans!$L$2:$L$300,"")),IF(_xlpm.x=" /  - ","",_xlpm.x))</f>
        <v xml:space="preserve">Tarrazu / 卡內特 音樂家系列 莫札特 - </v>
      </c>
      <c r="AJ76" s="23" t="s">
        <v>238</v>
      </c>
    </row>
    <row r="77" spans="1:36" x14ac:dyDescent="0.3">
      <c r="A77">
        <v>60</v>
      </c>
      <c r="B77">
        <v>250</v>
      </c>
      <c r="D77">
        <v>50</v>
      </c>
      <c r="E77" t="str">
        <f>_xlfn.LET(_xlpm.x,_xlfn.XLOOKUP(D77,beans!$A$2:$A$300,beans!$H$2:$H$300,""),IF(_xlpm.x="","",_xlpm.x))</f>
        <v>衣索比亞</v>
      </c>
      <c r="F77" s="22" t="str">
        <f>_xlfn.XLOOKUP(E77,menu!$A$2:$A$37,menu!$B$2:$B$37,"")</f>
        <v>Ethiopia</v>
      </c>
      <c r="G77" t="str">
        <f>_xlfn.XLOOKUP(E77,menu!$A$2:$A$37,menu!$C$2:$C$37,"")</f>
        <v>eth</v>
      </c>
      <c r="H77" t="str">
        <f>_xlfn.LET(_xlpm.x,_xlfn.XLOOKUP(_xlfn.XLOOKUP(D77,beans!$A$2:$A$300,beans!$I$2:$I$300),menu!$E$2:$E$20,menu!$F$2:$F$20),IF(_xlpm.x="","",_xlpm.x))</f>
        <v>washed</v>
      </c>
      <c r="I77">
        <v>180</v>
      </c>
      <c r="J77">
        <v>60</v>
      </c>
      <c r="K77">
        <v>30</v>
      </c>
      <c r="L77">
        <v>70</v>
      </c>
      <c r="M77" s="68" t="s">
        <v>146</v>
      </c>
      <c r="N77">
        <v>79.599999999999994</v>
      </c>
      <c r="O77">
        <v>13</v>
      </c>
      <c r="P77" s="67" t="s">
        <v>239</v>
      </c>
      <c r="Q77" s="68">
        <v>204.1</v>
      </c>
      <c r="R77" s="67" t="s">
        <v>240</v>
      </c>
      <c r="S77" s="68">
        <v>216.2</v>
      </c>
      <c r="T77" s="68">
        <f t="shared" si="10"/>
        <v>12.099999999999994</v>
      </c>
      <c r="U77">
        <f t="shared" si="11"/>
        <v>87</v>
      </c>
      <c r="V77">
        <f t="shared" si="15"/>
        <v>8.3000000000000007</v>
      </c>
      <c r="W77">
        <f t="shared" si="12"/>
        <v>10.3</v>
      </c>
      <c r="X77" s="19">
        <v>45269</v>
      </c>
      <c r="Y77" s="26">
        <v>213.2</v>
      </c>
      <c r="Z77" s="61">
        <v>0</v>
      </c>
      <c r="AB77" s="28">
        <f t="shared" si="14"/>
        <v>0.14720000000000005</v>
      </c>
      <c r="AC77" s="110">
        <v>52.5</v>
      </c>
      <c r="AD77" s="26">
        <v>67.900000000000006</v>
      </c>
      <c r="AE77" s="61">
        <f t="shared" si="13"/>
        <v>15.400000000000006</v>
      </c>
      <c r="AF77" s="77" t="str">
        <f>_xlfn.XLOOKUP(AD77,menu!$K$2:$K$9,menu!$J$2:$J$9,"",1)</f>
        <v>中淺</v>
      </c>
      <c r="AG77" s="80" t="str">
        <f>_xlfn.XLOOKUP(AH77,menu!$O$2:$O$9,menu!$H$2:$H$9,"")</f>
        <v>Cinamon</v>
      </c>
      <c r="AH77" s="81" t="s">
        <v>78</v>
      </c>
      <c r="AI77" t="str">
        <f>_xlfn.LET(_xlpm.x,_xlfn.CONCAT(_xlfn.XLOOKUP(D77,beans!$A$2:$A$300,beans!$J$2:$J$300,"")," / ",_xlfn.XLOOKUP(D77,beans!$A$2:$A$300,beans!$K$2:$K$300,"")," - ",_xlfn.XLOOKUP(D77,beans!$A$2:$A$300,beans!$L$2:$L$300,"")),IF(_xlpm.x=" /  - ","",_xlpm.x))</f>
        <v xml:space="preserve">古吉 / 花蝶 - </v>
      </c>
      <c r="AJ77" s="23" t="s">
        <v>241</v>
      </c>
    </row>
    <row r="78" spans="1:36" x14ac:dyDescent="0.3">
      <c r="A78">
        <v>61</v>
      </c>
      <c r="B78">
        <v>250</v>
      </c>
      <c r="D78">
        <v>50</v>
      </c>
      <c r="E78" t="str">
        <f>_xlfn.LET(_xlpm.x,_xlfn.XLOOKUP(D78,beans!$A$2:$A$300,beans!$H$2:$H$300,""),IF(_xlpm.x="","",_xlpm.x))</f>
        <v>衣索比亞</v>
      </c>
      <c r="F78" s="22" t="str">
        <f>_xlfn.XLOOKUP(E78,menu!$A$2:$A$37,menu!$B$2:$B$37,"")</f>
        <v>Ethiopia</v>
      </c>
      <c r="G78" t="str">
        <f>_xlfn.XLOOKUP(E78,menu!$A$2:$A$37,menu!$C$2:$C$37,"")</f>
        <v>eth</v>
      </c>
      <c r="H78" t="str">
        <f>_xlfn.LET(_xlpm.x,_xlfn.XLOOKUP(_xlfn.XLOOKUP(D78,beans!$A$2:$A$300,beans!$I$2:$I$300),menu!$E$2:$E$20,menu!$F$2:$F$20),IF(_xlpm.x="","",_xlpm.x))</f>
        <v>washed</v>
      </c>
      <c r="I78">
        <v>190</v>
      </c>
      <c r="J78">
        <v>60</v>
      </c>
      <c r="K78">
        <v>30</v>
      </c>
      <c r="L78">
        <v>70</v>
      </c>
      <c r="M78" s="68" t="s">
        <v>207</v>
      </c>
      <c r="N78">
        <v>83.8</v>
      </c>
      <c r="O78">
        <v>14</v>
      </c>
      <c r="P78" s="67" t="s">
        <v>136</v>
      </c>
      <c r="Q78" s="68">
        <v>205.4</v>
      </c>
      <c r="R78" s="67" t="s">
        <v>206</v>
      </c>
      <c r="S78" s="68">
        <v>216.1</v>
      </c>
      <c r="T78" s="68">
        <f t="shared" si="10"/>
        <v>10.699999999999989</v>
      </c>
      <c r="U78">
        <f t="shared" si="11"/>
        <v>43</v>
      </c>
      <c r="V78">
        <f t="shared" si="15"/>
        <v>14.9</v>
      </c>
      <c r="W78">
        <f t="shared" si="12"/>
        <v>5.61</v>
      </c>
      <c r="X78" s="19">
        <v>45269</v>
      </c>
      <c r="Y78" s="26">
        <v>214.2</v>
      </c>
      <c r="Z78" s="61">
        <v>0</v>
      </c>
      <c r="AB78" s="28">
        <f t="shared" si="14"/>
        <v>0.14320000000000005</v>
      </c>
      <c r="AC78" s="110">
        <v>52</v>
      </c>
      <c r="AD78" s="26">
        <v>73.8</v>
      </c>
      <c r="AE78" s="61">
        <f t="shared" si="13"/>
        <v>21.799999999999997</v>
      </c>
      <c r="AF78" s="77" t="str">
        <f>_xlfn.XLOOKUP(AD78,menu!$K$2:$K$9,menu!$J$2:$J$9,"",1)</f>
        <v>淺</v>
      </c>
      <c r="AG78" s="80" t="str">
        <f>_xlfn.XLOOKUP(AH78,menu!$O$2:$O$9,menu!$H$2:$H$9,"")</f>
        <v>Cinamon</v>
      </c>
      <c r="AH78" s="81" t="s">
        <v>78</v>
      </c>
      <c r="AI78" t="str">
        <f>_xlfn.LET(_xlpm.x,_xlfn.CONCAT(_xlfn.XLOOKUP(D78,beans!$A$2:$A$300,beans!$J$2:$J$300,"")," / ",_xlfn.XLOOKUP(D78,beans!$A$2:$A$300,beans!$K$2:$K$300,"")," - ",_xlfn.XLOOKUP(D78,beans!$A$2:$A$300,beans!$L$2:$L$300,"")),IF(_xlpm.x=" /  - ","",_xlpm.x))</f>
        <v xml:space="preserve">古吉 / 花蝶 - </v>
      </c>
      <c r="AJ78" s="23" t="s">
        <v>242</v>
      </c>
    </row>
    <row r="79" spans="1:36" x14ac:dyDescent="0.3">
      <c r="A79">
        <v>62</v>
      </c>
      <c r="B79">
        <v>250</v>
      </c>
      <c r="D79">
        <v>47</v>
      </c>
      <c r="E79" t="str">
        <f>_xlfn.LET(_xlpm.x,_xlfn.XLOOKUP(D79,beans!$A$2:$A$300,beans!$H$2:$H$300,""),IF(_xlpm.x="","",_xlpm.x))</f>
        <v>衣索比亞</v>
      </c>
      <c r="F79" s="22" t="str">
        <f>_xlfn.XLOOKUP(E79,menu!$A$2:$A$37,menu!$B$2:$B$37,"")</f>
        <v>Ethiopia</v>
      </c>
      <c r="G79" t="str">
        <f>_xlfn.XLOOKUP(E79,menu!$A$2:$A$37,menu!$C$2:$C$37,"")</f>
        <v>eth</v>
      </c>
      <c r="H79" t="str">
        <f>_xlfn.LET(_xlpm.x,_xlfn.XLOOKUP(_xlfn.XLOOKUP(D79,beans!$A$2:$A$300,beans!$I$2:$I$300),menu!$E$2:$E$20,menu!$F$2:$F$20),IF(_xlpm.x="","",_xlpm.x))</f>
        <v>washed</v>
      </c>
      <c r="I79">
        <v>190</v>
      </c>
      <c r="J79">
        <v>70</v>
      </c>
      <c r="K79">
        <v>30</v>
      </c>
      <c r="L79">
        <v>70</v>
      </c>
      <c r="M79" s="68" t="s">
        <v>146</v>
      </c>
      <c r="N79">
        <v>82.6</v>
      </c>
      <c r="O79">
        <v>20</v>
      </c>
      <c r="P79" s="67" t="s">
        <v>111</v>
      </c>
      <c r="Q79" s="68">
        <v>195.2</v>
      </c>
      <c r="R79" s="67" t="s">
        <v>243</v>
      </c>
      <c r="S79" s="68">
        <v>203.3</v>
      </c>
      <c r="T79" s="68">
        <f t="shared" si="10"/>
        <v>8.1000000000000227</v>
      </c>
      <c r="U79">
        <f t="shared" si="11"/>
        <v>50</v>
      </c>
      <c r="V79">
        <f t="shared" si="15"/>
        <v>9.6999999999999993</v>
      </c>
      <c r="W79">
        <f t="shared" si="12"/>
        <v>8.2200000000000006</v>
      </c>
      <c r="X79" s="19">
        <v>45271</v>
      </c>
      <c r="Y79" s="26">
        <v>218.9</v>
      </c>
      <c r="Z79" s="61">
        <v>0</v>
      </c>
      <c r="AB79" s="28">
        <f t="shared" si="14"/>
        <v>0.12439999999999998</v>
      </c>
      <c r="AC79" s="110">
        <v>66.7</v>
      </c>
      <c r="AD79" s="26">
        <v>91.5</v>
      </c>
      <c r="AE79" s="61">
        <f t="shared" si="13"/>
        <v>24.799999999999997</v>
      </c>
      <c r="AF79" s="77" t="str">
        <f>_xlfn.XLOOKUP(AD79,menu!$K$2:$K$9,menu!$J$2:$J$9,"",1)</f>
        <v>極端淺</v>
      </c>
      <c r="AG79" s="80" t="str">
        <f>_xlfn.XLOOKUP(AH79,menu!$O$2:$O$9,menu!$H$2:$H$9,"")</f>
        <v>Light</v>
      </c>
      <c r="AH79" s="81" t="s">
        <v>193</v>
      </c>
      <c r="AI79" t="str">
        <f>_xlfn.LET(_xlpm.x,_xlfn.CONCAT(_xlfn.XLOOKUP(D79,beans!$A$2:$A$300,beans!$J$2:$J$300,"")," / ",_xlfn.XLOOKUP(D79,beans!$A$2:$A$300,beans!$K$2:$K$300,"")," - ",_xlfn.XLOOKUP(D79,beans!$A$2:$A$300,beans!$L$2:$L$300,"")),IF(_xlpm.x=" /  - ","",_xlpm.x))</f>
        <v>吉馬莉姆 / 果美村 - 寶貝藝妓</v>
      </c>
      <c r="AJ79" s="23" t="s">
        <v>244</v>
      </c>
    </row>
    <row r="80" spans="1:36" ht="32.4" x14ac:dyDescent="0.3">
      <c r="A80">
        <v>63</v>
      </c>
      <c r="B80">
        <v>250</v>
      </c>
      <c r="D80">
        <v>44</v>
      </c>
      <c r="E80" t="str">
        <f>_xlfn.LET(_xlpm.x,_xlfn.XLOOKUP(D80,beans!$A$2:$A$300,beans!$H$2:$H$300,""),IF(_xlpm.x="","",_xlpm.x))</f>
        <v>衣索比亞</v>
      </c>
      <c r="F80" s="22" t="str">
        <f>_xlfn.XLOOKUP(E80,menu!$A$2:$A$37,menu!$B$2:$B$37,"")</f>
        <v>Ethiopia</v>
      </c>
      <c r="G80" t="str">
        <f>_xlfn.XLOOKUP(E80,menu!$A$2:$A$37,menu!$C$2:$C$37,"")</f>
        <v>eth</v>
      </c>
      <c r="H80" t="str">
        <f>_xlfn.LET(_xlpm.x,_xlfn.XLOOKUP(_xlfn.XLOOKUP(D80,beans!$A$2:$A$300,beans!$I$2:$I$300),menu!$E$2:$E$20,menu!$F$2:$F$20),IF(_xlpm.x="","",_xlpm.x))</f>
        <v>Special</v>
      </c>
      <c r="I80">
        <v>200</v>
      </c>
      <c r="J80">
        <v>70</v>
      </c>
      <c r="K80">
        <v>35</v>
      </c>
      <c r="L80">
        <v>70</v>
      </c>
      <c r="M80" s="68" t="s">
        <v>207</v>
      </c>
      <c r="N80">
        <v>88.6</v>
      </c>
      <c r="O80">
        <v>19</v>
      </c>
      <c r="P80" s="67" t="s">
        <v>164</v>
      </c>
      <c r="Q80" s="68">
        <v>206.8</v>
      </c>
      <c r="R80" s="67" t="s">
        <v>245</v>
      </c>
      <c r="S80" s="68">
        <v>214.7</v>
      </c>
      <c r="T80" s="68">
        <f t="shared" si="10"/>
        <v>7.8999999999999773</v>
      </c>
      <c r="U80">
        <f t="shared" si="11"/>
        <v>56</v>
      </c>
      <c r="V80">
        <f t="shared" si="15"/>
        <v>8.5</v>
      </c>
      <c r="W80">
        <f t="shared" si="12"/>
        <v>8.64</v>
      </c>
      <c r="X80" s="19">
        <v>45271</v>
      </c>
      <c r="Y80" s="26">
        <v>214.4</v>
      </c>
      <c r="Z80" s="61">
        <v>0</v>
      </c>
      <c r="AB80" s="28">
        <f t="shared" si="14"/>
        <v>0.14239999999999997</v>
      </c>
      <c r="AC80" s="110">
        <v>54.8</v>
      </c>
      <c r="AD80" s="26">
        <v>71.2</v>
      </c>
      <c r="AE80" s="61">
        <f t="shared" si="13"/>
        <v>16.400000000000006</v>
      </c>
      <c r="AF80" s="77" t="str">
        <f>_xlfn.XLOOKUP(AD80,menu!$K$2:$K$9,menu!$J$2:$J$9,"",1)</f>
        <v>淺</v>
      </c>
      <c r="AG80" s="80" t="str">
        <f>_xlfn.XLOOKUP(AH80,menu!$O$2:$O$9,menu!$H$2:$H$9,"")</f>
        <v>Cinamon</v>
      </c>
      <c r="AH80" s="81" t="s">
        <v>78</v>
      </c>
      <c r="AI80" t="str">
        <f>_xlfn.LET(_xlpm.x,_xlfn.CONCAT(_xlfn.XLOOKUP(D80,beans!$A$2:$A$300,beans!$J$2:$J$300,"")," / ",_xlfn.XLOOKUP(D80,beans!$A$2:$A$300,beans!$K$2:$K$300,"")," - ",_xlfn.XLOOKUP(D80,beans!$A$2:$A$300,beans!$L$2:$L$300,"")),IF(_xlpm.x=" /  - ","",_xlpm.x))</f>
        <v xml:space="preserve">耶加雪菲 / 百香果特殊發酵 厭氧日曬處理 G1 - </v>
      </c>
      <c r="AJ80" s="23" t="s">
        <v>246</v>
      </c>
    </row>
    <row r="81" spans="1:36" x14ac:dyDescent="0.3">
      <c r="A81">
        <v>64</v>
      </c>
      <c r="B81">
        <v>250</v>
      </c>
      <c r="D81">
        <v>2</v>
      </c>
      <c r="E81" t="str">
        <f>_xlfn.LET(_xlpm.x,_xlfn.XLOOKUP(D81,beans!$A$2:$A$300,beans!$H$2:$H$300,""),IF(_xlpm.x="","",_xlpm.x))</f>
        <v>哥斯大黎加</v>
      </c>
      <c r="F81" s="22" t="str">
        <f>_xlfn.XLOOKUP(E81,menu!$A$2:$A$37,menu!$B$2:$B$37,"")</f>
        <v>Costa Rica</v>
      </c>
      <c r="G81" t="str">
        <f>_xlfn.XLOOKUP(E81,menu!$A$2:$A$37,menu!$C$2:$C$37,"")</f>
        <v>cri</v>
      </c>
      <c r="H81" t="str">
        <f>_xlfn.LET(_xlpm.x,_xlfn.XLOOKUP(_xlfn.XLOOKUP(D81,beans!$A$2:$A$300,beans!$I$2:$I$300),menu!$E$2:$E$20,menu!$F$2:$F$20),IF(_xlpm.x="","",_xlpm.x))</f>
        <v>raisin-honey</v>
      </c>
      <c r="I81">
        <v>180</v>
      </c>
      <c r="J81">
        <v>60</v>
      </c>
      <c r="K81">
        <v>30</v>
      </c>
      <c r="L81">
        <v>70</v>
      </c>
      <c r="M81" s="68" t="s">
        <v>188</v>
      </c>
      <c r="N81">
        <v>76.2</v>
      </c>
      <c r="O81">
        <v>14</v>
      </c>
      <c r="P81" s="67" t="s">
        <v>247</v>
      </c>
      <c r="Q81" s="68">
        <v>202.3</v>
      </c>
      <c r="R81" s="67" t="s">
        <v>248</v>
      </c>
      <c r="S81" s="68">
        <v>216.9</v>
      </c>
      <c r="T81" s="68">
        <f t="shared" si="10"/>
        <v>14.599999999999994</v>
      </c>
      <c r="U81">
        <f t="shared" si="11"/>
        <v>87</v>
      </c>
      <c r="V81">
        <f t="shared" si="15"/>
        <v>10.1</v>
      </c>
      <c r="W81">
        <f t="shared" si="12"/>
        <v>9.61</v>
      </c>
      <c r="X81" s="19">
        <v>45272</v>
      </c>
      <c r="Y81" s="26">
        <v>218</v>
      </c>
      <c r="Z81" s="61">
        <v>0</v>
      </c>
      <c r="AB81" s="28">
        <f t="shared" si="14"/>
        <v>0.128</v>
      </c>
      <c r="AE81" s="61" t="str">
        <f t="shared" si="13"/>
        <v/>
      </c>
      <c r="AF81" s="77" t="str">
        <f>_xlfn.XLOOKUP(AD81,menu!$K$2:$K$9,menu!$J$2:$J$9,"",1)</f>
        <v/>
      </c>
      <c r="AG81" s="80" t="str">
        <f>_xlfn.XLOOKUP(AH81,menu!$O$2:$O$9,menu!$H$2:$H$9,"")</f>
        <v>Medium</v>
      </c>
      <c r="AH81" s="81" t="s">
        <v>72</v>
      </c>
      <c r="AI81" t="str">
        <f>_xlfn.LET(_xlpm.x,_xlfn.CONCAT(_xlfn.XLOOKUP(D81,beans!$A$2:$A$300,beans!$J$2:$J$300,"")," / ",_xlfn.XLOOKUP(D81,beans!$A$2:$A$300,beans!$K$2:$K$300,"")," - ",_xlfn.XLOOKUP(D81,beans!$A$2:$A$300,beans!$L$2:$L$300,"")),IF(_xlpm.x=" /  - ","",_xlpm.x))</f>
        <v xml:space="preserve">Tarrazu / 卡內特 音樂家系列 莫札特 - </v>
      </c>
      <c r="AJ81" s="23" t="s">
        <v>249</v>
      </c>
    </row>
    <row r="82" spans="1:36" x14ac:dyDescent="0.3">
      <c r="A82">
        <v>65</v>
      </c>
      <c r="B82">
        <v>250</v>
      </c>
      <c r="D82">
        <v>2</v>
      </c>
      <c r="E82" t="str">
        <f>_xlfn.LET(_xlpm.x,_xlfn.XLOOKUP(D82,beans!$A$2:$A$300,beans!$H$2:$H$300,""),IF(_xlpm.x="","",_xlpm.x))</f>
        <v>哥斯大黎加</v>
      </c>
      <c r="F82" s="22" t="str">
        <f>_xlfn.XLOOKUP(E82,menu!$A$2:$A$37,menu!$B$2:$B$37,"")</f>
        <v>Costa Rica</v>
      </c>
      <c r="G82" t="str">
        <f>_xlfn.XLOOKUP(E82,menu!$A$2:$A$37,menu!$C$2:$C$37,"")</f>
        <v>cri</v>
      </c>
      <c r="H82" t="str">
        <f>_xlfn.LET(_xlpm.x,_xlfn.XLOOKUP(_xlfn.XLOOKUP(D82,beans!$A$2:$A$300,beans!$I$2:$I$300),menu!$E$2:$E$20,menu!$F$2:$F$20),IF(_xlpm.x="","",_xlpm.x))</f>
        <v>raisin-honey</v>
      </c>
      <c r="I82">
        <v>180</v>
      </c>
      <c r="J82">
        <v>60</v>
      </c>
      <c r="K82">
        <v>30</v>
      </c>
      <c r="L82">
        <v>70</v>
      </c>
      <c r="M82" s="68" t="s">
        <v>188</v>
      </c>
      <c r="N82">
        <v>80.400000000000006</v>
      </c>
      <c r="O82">
        <v>11</v>
      </c>
      <c r="P82" s="67" t="s">
        <v>250</v>
      </c>
      <c r="Q82" s="68">
        <v>207.3</v>
      </c>
      <c r="R82" s="67" t="s">
        <v>235</v>
      </c>
      <c r="S82" s="68">
        <v>216.9</v>
      </c>
      <c r="T82" s="68">
        <f t="shared" si="10"/>
        <v>9.5999999999999943</v>
      </c>
      <c r="U82">
        <f t="shared" si="11"/>
        <v>69</v>
      </c>
      <c r="V82">
        <f t="shared" si="15"/>
        <v>8.3000000000000007</v>
      </c>
      <c r="W82">
        <f t="shared" si="12"/>
        <v>7.61</v>
      </c>
      <c r="X82" s="19">
        <v>45272</v>
      </c>
      <c r="Y82" s="26">
        <v>219</v>
      </c>
      <c r="Z82" s="61">
        <v>0</v>
      </c>
      <c r="AB82" s="28">
        <f t="shared" si="14"/>
        <v>0.124</v>
      </c>
      <c r="AE82" s="61" t="str">
        <f t="shared" si="13"/>
        <v/>
      </c>
      <c r="AF82" s="77" t="str">
        <f>_xlfn.XLOOKUP(AD82,menu!$K$2:$K$9,menu!$J$2:$J$9,"",1)</f>
        <v/>
      </c>
      <c r="AG82" s="80" t="str">
        <f>_xlfn.XLOOKUP(AH82,menu!$O$2:$O$9,menu!$H$2:$H$9,"")</f>
        <v>Medium</v>
      </c>
      <c r="AH82" s="81" t="s">
        <v>72</v>
      </c>
      <c r="AI82" t="str">
        <f>_xlfn.LET(_xlpm.x,_xlfn.CONCAT(_xlfn.XLOOKUP(D82,beans!$A$2:$A$300,beans!$J$2:$J$300,"")," / ",_xlfn.XLOOKUP(D82,beans!$A$2:$A$300,beans!$K$2:$K$300,"")," - ",_xlfn.XLOOKUP(D82,beans!$A$2:$A$300,beans!$L$2:$L$300,"")),IF(_xlpm.x=" /  - ","",_xlpm.x))</f>
        <v xml:space="preserve">Tarrazu / 卡內特 音樂家系列 莫札特 - </v>
      </c>
      <c r="AJ82" s="23" t="s">
        <v>251</v>
      </c>
    </row>
    <row r="83" spans="1:36" x14ac:dyDescent="0.3">
      <c r="A83">
        <v>66</v>
      </c>
      <c r="B83">
        <v>250</v>
      </c>
      <c r="D83">
        <v>47</v>
      </c>
      <c r="E83" t="str">
        <f>_xlfn.LET(_xlpm.x,_xlfn.XLOOKUP(D83,beans!$A$2:$A$300,beans!$H$2:$H$300,""),IF(_xlpm.x="","",_xlpm.x))</f>
        <v>衣索比亞</v>
      </c>
      <c r="F83" s="22" t="str">
        <f>_xlfn.XLOOKUP(E83,menu!$A$2:$A$37,menu!$B$2:$B$37,"")</f>
        <v>Ethiopia</v>
      </c>
      <c r="G83" t="str">
        <f>_xlfn.XLOOKUP(E83,menu!$A$2:$A$37,menu!$C$2:$C$37,"")</f>
        <v>eth</v>
      </c>
      <c r="H83" t="str">
        <f>_xlfn.LET(_xlpm.x,_xlfn.XLOOKUP(_xlfn.XLOOKUP(D83,beans!$A$2:$A$300,beans!$I$2:$I$300),menu!$E$2:$E$20,menu!$F$2:$F$20),IF(_xlpm.x="","",_xlpm.x))</f>
        <v>washed</v>
      </c>
      <c r="I83">
        <v>200</v>
      </c>
      <c r="J83">
        <v>70</v>
      </c>
      <c r="K83">
        <v>30</v>
      </c>
      <c r="L83">
        <v>70</v>
      </c>
      <c r="M83" s="68" t="s">
        <v>121</v>
      </c>
      <c r="N83">
        <v>83.8</v>
      </c>
      <c r="O83">
        <v>20</v>
      </c>
      <c r="P83" s="67" t="s">
        <v>252</v>
      </c>
      <c r="Q83" s="68">
        <v>200.2</v>
      </c>
      <c r="R83" s="67" t="s">
        <v>253</v>
      </c>
      <c r="S83" s="68">
        <v>210.1</v>
      </c>
      <c r="T83" s="68">
        <f t="shared" si="10"/>
        <v>9.9000000000000057</v>
      </c>
      <c r="U83">
        <f t="shared" si="11"/>
        <v>203</v>
      </c>
      <c r="V83">
        <f t="shared" si="15"/>
        <v>2.9</v>
      </c>
      <c r="W83">
        <f t="shared" si="12"/>
        <v>26.75</v>
      </c>
      <c r="X83" s="19">
        <v>45273</v>
      </c>
      <c r="Y83" s="26">
        <v>210.8</v>
      </c>
      <c r="Z83" s="61">
        <v>0</v>
      </c>
      <c r="AB83" s="28">
        <f t="shared" si="14"/>
        <v>0.15679999999999997</v>
      </c>
      <c r="AC83" s="110">
        <v>54</v>
      </c>
      <c r="AD83" s="26">
        <v>60</v>
      </c>
      <c r="AE83" s="61">
        <f t="shared" si="13"/>
        <v>6</v>
      </c>
      <c r="AF83" s="77" t="str">
        <f>_xlfn.XLOOKUP(AD83,menu!$K$2:$K$9,menu!$J$2:$J$9,"",1)</f>
        <v>中</v>
      </c>
      <c r="AG83" s="80" t="str">
        <f>_xlfn.XLOOKUP(AH83,menu!$O$2:$O$9,menu!$H$2:$H$9,"")</f>
        <v>Medium</v>
      </c>
      <c r="AH83" s="81" t="s">
        <v>72</v>
      </c>
      <c r="AI83" t="str">
        <f>_xlfn.LET(_xlpm.x,_xlfn.CONCAT(_xlfn.XLOOKUP(D83,beans!$A$2:$A$300,beans!$J$2:$J$300,"")," / ",_xlfn.XLOOKUP(D83,beans!$A$2:$A$300,beans!$K$2:$K$300,"")," - ",_xlfn.XLOOKUP(D83,beans!$A$2:$A$300,beans!$L$2:$L$300,"")),IF(_xlpm.x=" /  - ","",_xlpm.x))</f>
        <v>吉馬莉姆 / 果美村 - 寶貝藝妓</v>
      </c>
      <c r="AJ83" s="23" t="s">
        <v>254</v>
      </c>
    </row>
    <row r="84" spans="1:36" ht="32.4" x14ac:dyDescent="0.3">
      <c r="A84">
        <v>67</v>
      </c>
      <c r="B84">
        <v>250</v>
      </c>
      <c r="D84">
        <v>9</v>
      </c>
      <c r="E84" t="str">
        <f>_xlfn.LET(_xlpm.x,_xlfn.XLOOKUP(D84,beans!$A$2:$A$300,beans!$H$2:$H$300,""),IF(_xlpm.x="","",_xlpm.x))</f>
        <v>衣索比亞</v>
      </c>
      <c r="F84" s="22" t="str">
        <f>_xlfn.XLOOKUP(E84,menu!$A$2:$A$37,menu!$B$2:$B$37,"")</f>
        <v>Ethiopia</v>
      </c>
      <c r="G84" t="str">
        <f>_xlfn.XLOOKUP(E84,menu!$A$2:$A$37,menu!$C$2:$C$37,"")</f>
        <v>eth</v>
      </c>
      <c r="H84" t="str">
        <f>_xlfn.LET(_xlpm.x,_xlfn.XLOOKUP(_xlfn.XLOOKUP(D84,beans!$A$2:$A$300,beans!$I$2:$I$300),menu!$E$2:$E$20,menu!$F$2:$F$20),IF(_xlpm.x="","",_xlpm.x))</f>
        <v>natural</v>
      </c>
      <c r="I84">
        <v>200</v>
      </c>
      <c r="J84">
        <v>80</v>
      </c>
      <c r="K84">
        <v>30</v>
      </c>
      <c r="L84">
        <v>70</v>
      </c>
      <c r="M84" s="68" t="s">
        <v>163</v>
      </c>
      <c r="N84">
        <v>88.3</v>
      </c>
      <c r="O84">
        <v>20</v>
      </c>
      <c r="P84" s="67" t="s">
        <v>179</v>
      </c>
      <c r="Q84" s="68">
        <v>206.5</v>
      </c>
      <c r="R84" s="67" t="s">
        <v>164</v>
      </c>
      <c r="S84" s="68">
        <v>216.2</v>
      </c>
      <c r="T84" s="68">
        <f t="shared" si="10"/>
        <v>9.6999999999999886</v>
      </c>
      <c r="U84">
        <f t="shared" si="11"/>
        <v>59</v>
      </c>
      <c r="V84">
        <f t="shared" si="15"/>
        <v>9.9</v>
      </c>
      <c r="W84">
        <f t="shared" si="12"/>
        <v>9.9700000000000006</v>
      </c>
      <c r="X84" s="19">
        <v>45273</v>
      </c>
      <c r="Y84" s="26">
        <v>212.6</v>
      </c>
      <c r="Z84" s="61">
        <v>0</v>
      </c>
      <c r="AB84" s="28">
        <f t="shared" si="14"/>
        <v>0.14960000000000001</v>
      </c>
      <c r="AC84" s="110">
        <v>56</v>
      </c>
      <c r="AD84" s="26">
        <v>72</v>
      </c>
      <c r="AE84" s="61">
        <f t="shared" si="13"/>
        <v>16</v>
      </c>
      <c r="AF84" s="77" t="str">
        <f>_xlfn.XLOOKUP(AD84,menu!$K$2:$K$9,menu!$J$2:$J$9,"",1)</f>
        <v>淺</v>
      </c>
      <c r="AG84" s="80" t="str">
        <f>_xlfn.XLOOKUP(AH84,menu!$O$2:$O$9,menu!$H$2:$H$9,"")</f>
        <v>Cinamon</v>
      </c>
      <c r="AH84" s="81" t="s">
        <v>78</v>
      </c>
      <c r="AI84" t="str">
        <f>_xlfn.LET(_xlpm.x,_xlfn.CONCAT(_xlfn.XLOOKUP(D84,beans!$A$2:$A$300,beans!$J$2:$J$300,"")," / ",_xlfn.XLOOKUP(D84,beans!$A$2:$A$300,beans!$K$2:$K$300,"")," - ",_xlfn.XLOOKUP(D84,beans!$A$2:$A$300,beans!$L$2:$L$300,"")),IF(_xlpm.x=" /  - ","",_xlpm.x))</f>
        <v>吉瑪 利姆 / 果美村 - 寶貝藝妓</v>
      </c>
      <c r="AJ84" s="23" t="s">
        <v>255</v>
      </c>
    </row>
    <row r="85" spans="1:36" x14ac:dyDescent="0.3">
      <c r="A85">
        <v>68</v>
      </c>
      <c r="B85">
        <v>250</v>
      </c>
      <c r="D85">
        <v>2</v>
      </c>
      <c r="E85" t="str">
        <f>_xlfn.LET(_xlpm.x,_xlfn.XLOOKUP(D85,beans!$A$2:$A$300,beans!$H$2:$H$300,""),IF(_xlpm.x="","",_xlpm.x))</f>
        <v>哥斯大黎加</v>
      </c>
      <c r="F85" s="22" t="str">
        <f>_xlfn.XLOOKUP(E85,menu!$A$2:$A$37,menu!$B$2:$B$37,"")</f>
        <v>Costa Rica</v>
      </c>
      <c r="G85" t="str">
        <f>_xlfn.XLOOKUP(E85,menu!$A$2:$A$37,menu!$C$2:$C$37,"")</f>
        <v>cri</v>
      </c>
      <c r="H85" t="str">
        <f>_xlfn.LET(_xlpm.x,_xlfn.XLOOKUP(_xlfn.XLOOKUP(D85,beans!$A$2:$A$300,beans!$I$2:$I$300),menu!$E$2:$E$20,menu!$F$2:$F$20),IF(_xlpm.x="","",_xlpm.x))</f>
        <v>raisin-honey</v>
      </c>
      <c r="I85">
        <v>200</v>
      </c>
      <c r="J85">
        <v>80</v>
      </c>
      <c r="K85">
        <v>30</v>
      </c>
      <c r="L85">
        <v>70</v>
      </c>
      <c r="M85" s="68" t="s">
        <v>125</v>
      </c>
      <c r="N85">
        <v>88.4</v>
      </c>
      <c r="P85" s="67" t="s">
        <v>256</v>
      </c>
      <c r="Q85" s="68">
        <v>201.3</v>
      </c>
      <c r="R85" s="67" t="s">
        <v>91</v>
      </c>
      <c r="S85" s="68">
        <v>215.9</v>
      </c>
      <c r="T85" s="68">
        <f t="shared" si="10"/>
        <v>14.599999999999994</v>
      </c>
      <c r="U85">
        <f t="shared" si="11"/>
        <v>98</v>
      </c>
      <c r="V85">
        <f t="shared" si="15"/>
        <v>8.9</v>
      </c>
      <c r="W85">
        <f t="shared" si="12"/>
        <v>15.86</v>
      </c>
      <c r="X85" s="19">
        <v>45276</v>
      </c>
      <c r="Y85" s="26">
        <v>218</v>
      </c>
      <c r="Z85" s="61">
        <v>0</v>
      </c>
      <c r="AB85" s="28">
        <f t="shared" si="14"/>
        <v>0.128</v>
      </c>
      <c r="AC85" s="110">
        <v>53</v>
      </c>
      <c r="AD85" s="26">
        <v>70</v>
      </c>
      <c r="AE85" s="61">
        <f t="shared" si="13"/>
        <v>17</v>
      </c>
      <c r="AF85" s="77" t="str">
        <f>_xlfn.XLOOKUP(AD85,menu!$K$2:$K$9,menu!$J$2:$J$9,"",1)</f>
        <v>中淺</v>
      </c>
      <c r="AG85" s="80" t="str">
        <f>_xlfn.XLOOKUP(AH85,menu!$O$2:$O$9,menu!$H$2:$H$9,"")</f>
        <v>Cinamon</v>
      </c>
      <c r="AH85" s="81" t="s">
        <v>78</v>
      </c>
      <c r="AI85" t="str">
        <f>_xlfn.LET(_xlpm.x,_xlfn.CONCAT(_xlfn.XLOOKUP(D85,beans!$A$2:$A$300,beans!$J$2:$J$300,"")," / ",_xlfn.XLOOKUP(D85,beans!$A$2:$A$300,beans!$K$2:$K$300,"")," - ",_xlfn.XLOOKUP(D85,beans!$A$2:$A$300,beans!$L$2:$L$300,"")),IF(_xlpm.x=" /  - ","",_xlpm.x))</f>
        <v xml:space="preserve">Tarrazu / 卡內特 音樂家系列 莫札特 - </v>
      </c>
      <c r="AJ85" s="23" t="s">
        <v>257</v>
      </c>
    </row>
    <row r="86" spans="1:36" x14ac:dyDescent="0.3">
      <c r="A86">
        <v>69</v>
      </c>
      <c r="B86">
        <v>250</v>
      </c>
      <c r="D86">
        <v>44</v>
      </c>
      <c r="E86" t="str">
        <f>_xlfn.LET(_xlpm.x,_xlfn.XLOOKUP(D86,beans!$A$2:$A$300,beans!$H$2:$H$300,""),IF(_xlpm.x="","",_xlpm.x))</f>
        <v>衣索比亞</v>
      </c>
      <c r="F86" s="22" t="str">
        <f>_xlfn.XLOOKUP(E86,menu!$A$2:$A$37,menu!$B$2:$B$37,"")</f>
        <v>Ethiopia</v>
      </c>
      <c r="G86" t="str">
        <f>_xlfn.XLOOKUP(E86,menu!$A$2:$A$37,menu!$C$2:$C$37,"")</f>
        <v>eth</v>
      </c>
      <c r="H86" t="str">
        <f>_xlfn.LET(_xlpm.x,_xlfn.XLOOKUP(_xlfn.XLOOKUP(D86,beans!$A$2:$A$300,beans!$I$2:$I$300),menu!$E$2:$E$20,menu!$F$2:$F$20),IF(_xlpm.x="","",_xlpm.x))</f>
        <v>Special</v>
      </c>
      <c r="I86">
        <v>190</v>
      </c>
      <c r="J86">
        <v>60</v>
      </c>
      <c r="K86">
        <v>30</v>
      </c>
      <c r="L86">
        <v>70</v>
      </c>
      <c r="M86" s="68" t="s">
        <v>190</v>
      </c>
      <c r="N86">
        <v>80.7</v>
      </c>
      <c r="P86" s="67" t="s">
        <v>147</v>
      </c>
      <c r="Q86" s="68">
        <v>203.1</v>
      </c>
      <c r="R86" s="67" t="s">
        <v>206</v>
      </c>
      <c r="S86" s="68">
        <v>213.5</v>
      </c>
      <c r="T86" s="68">
        <f t="shared" si="10"/>
        <v>10.400000000000006</v>
      </c>
      <c r="U86">
        <f t="shared" si="11"/>
        <v>88</v>
      </c>
      <c r="V86">
        <f t="shared" si="15"/>
        <v>7.1</v>
      </c>
      <c r="W86">
        <f t="shared" si="12"/>
        <v>11.49</v>
      </c>
      <c r="X86" s="19">
        <v>45276</v>
      </c>
      <c r="Y86" s="26">
        <v>214.2</v>
      </c>
      <c r="Z86" s="61">
        <v>0</v>
      </c>
      <c r="AB86" s="28">
        <f t="shared" si="14"/>
        <v>0.14320000000000005</v>
      </c>
      <c r="AC86" s="110">
        <v>52</v>
      </c>
      <c r="AD86" s="26">
        <v>66</v>
      </c>
      <c r="AE86" s="61">
        <f t="shared" si="13"/>
        <v>14</v>
      </c>
      <c r="AF86" s="77" t="str">
        <f>_xlfn.XLOOKUP(AD86,menu!$K$2:$K$9,menu!$J$2:$J$9,"",1)</f>
        <v>中淺</v>
      </c>
      <c r="AG86" s="80" t="str">
        <f>_xlfn.XLOOKUP(AH86,menu!$O$2:$O$9,menu!$H$2:$H$9,"")</f>
        <v>Cinamon</v>
      </c>
      <c r="AH86" s="81" t="s">
        <v>78</v>
      </c>
      <c r="AI86" t="str">
        <f>_xlfn.LET(_xlpm.x,_xlfn.CONCAT(_xlfn.XLOOKUP(D86,beans!$A$2:$A$300,beans!$J$2:$J$300,"")," / ",_xlfn.XLOOKUP(D86,beans!$A$2:$A$300,beans!$K$2:$K$300,"")," - ",_xlfn.XLOOKUP(D86,beans!$A$2:$A$300,beans!$L$2:$L$300,"")),IF(_xlpm.x=" /  - ","",_xlpm.x))</f>
        <v xml:space="preserve">耶加雪菲 / 百香果特殊發酵 厭氧日曬處理 G1 - </v>
      </c>
      <c r="AJ86" s="23" t="s">
        <v>258</v>
      </c>
    </row>
    <row r="87" spans="1:36" ht="48.6" x14ac:dyDescent="0.3">
      <c r="A87">
        <v>70</v>
      </c>
      <c r="B87">
        <v>300</v>
      </c>
      <c r="D87">
        <v>5</v>
      </c>
      <c r="E87" t="str">
        <f>_xlfn.LET(_xlpm.x,_xlfn.XLOOKUP(D87,beans!$A$2:$A$300,beans!$H$2:$H$300,""),IF(_xlpm.x="","",_xlpm.x))</f>
        <v>肯亞</v>
      </c>
      <c r="F87" s="22" t="str">
        <f>_xlfn.XLOOKUP(E87,menu!$A$2:$A$37,menu!$B$2:$B$37,"")</f>
        <v>Kenya</v>
      </c>
      <c r="G87" t="str">
        <f>_xlfn.XLOOKUP(E87,menu!$A$2:$A$37,menu!$C$2:$C$37,"")</f>
        <v>ken</v>
      </c>
      <c r="H87" t="str">
        <f>_xlfn.LET(_xlpm.x,_xlfn.XLOOKUP(_xlfn.XLOOKUP(D87,beans!$A$2:$A$300,beans!$I$2:$I$300),menu!$E$2:$E$20,menu!$F$2:$F$20),IF(_xlpm.x="","",_xlpm.x))</f>
        <v>washed</v>
      </c>
      <c r="I87">
        <v>190</v>
      </c>
      <c r="J87">
        <v>60</v>
      </c>
      <c r="K87">
        <v>30</v>
      </c>
      <c r="L87">
        <v>80</v>
      </c>
      <c r="M87" s="68" t="s">
        <v>213</v>
      </c>
      <c r="N87">
        <v>79.099999999999994</v>
      </c>
      <c r="P87" s="67" t="s">
        <v>259</v>
      </c>
      <c r="Q87" s="68">
        <v>197.6</v>
      </c>
      <c r="R87" s="67" t="s">
        <v>230</v>
      </c>
      <c r="S87" s="68">
        <v>209.9</v>
      </c>
      <c r="T87" s="68">
        <f t="shared" si="10"/>
        <v>12.300000000000011</v>
      </c>
      <c r="U87">
        <f t="shared" si="11"/>
        <v>91</v>
      </c>
      <c r="V87">
        <f t="shared" si="15"/>
        <v>8.1</v>
      </c>
      <c r="W87">
        <f t="shared" si="12"/>
        <v>12.69</v>
      </c>
      <c r="X87" s="19">
        <v>45276</v>
      </c>
      <c r="Y87" s="26">
        <v>262.5</v>
      </c>
      <c r="Z87" s="61">
        <f>250-50-20-50-60-30-40</f>
        <v>0</v>
      </c>
      <c r="AB87" s="28">
        <f t="shared" si="14"/>
        <v>0.125</v>
      </c>
      <c r="AC87" s="110">
        <v>58.2</v>
      </c>
      <c r="AD87" s="26">
        <v>71</v>
      </c>
      <c r="AE87" s="61">
        <f t="shared" si="13"/>
        <v>12.799999999999997</v>
      </c>
      <c r="AF87" s="77" t="str">
        <f>_xlfn.XLOOKUP(AD87,menu!$K$2:$K$9,menu!$J$2:$J$9,"",1)</f>
        <v>淺</v>
      </c>
      <c r="AG87" s="80" t="str">
        <f>_xlfn.XLOOKUP(AH87,menu!$O$2:$O$9,menu!$H$2:$H$9,"")</f>
        <v>Cinamon</v>
      </c>
      <c r="AH87" s="81" t="s">
        <v>78</v>
      </c>
      <c r="AI87" t="str">
        <f>_xlfn.LET(_xlpm.x,_xlfn.CONCAT(_xlfn.XLOOKUP(D87,beans!$A$2:$A$300,beans!$J$2:$J$300,"")," / ",_xlfn.XLOOKUP(D87,beans!$A$2:$A$300,beans!$K$2:$K$300,"")," - ",_xlfn.XLOOKUP(D87,beans!$A$2:$A$300,beans!$L$2:$L$300,"")),IF(_xlpm.x=" /  - ","",_xlpm.x))</f>
        <v>麒麟雅加 / 紅絲絨/夜裡花 - SL28, SL34</v>
      </c>
      <c r="AJ87" s="23" t="s">
        <v>260</v>
      </c>
    </row>
    <row r="88" spans="1:36" x14ac:dyDescent="0.3">
      <c r="A88">
        <v>71</v>
      </c>
      <c r="B88">
        <v>500</v>
      </c>
      <c r="D88">
        <v>9</v>
      </c>
      <c r="E88" t="str">
        <f>_xlfn.LET(_xlpm.x,_xlfn.XLOOKUP(D88,beans!$A$2:$A$300,beans!$H$2:$H$300,""),IF(_xlpm.x="","",_xlpm.x))</f>
        <v>衣索比亞</v>
      </c>
      <c r="F88" s="22" t="str">
        <f>_xlfn.XLOOKUP(E88,menu!$A$2:$A$37,menu!$B$2:$B$37,"")</f>
        <v>Ethiopia</v>
      </c>
      <c r="G88" t="str">
        <f>_xlfn.XLOOKUP(E88,menu!$A$2:$A$37,menu!$C$2:$C$37,"")</f>
        <v>eth</v>
      </c>
      <c r="H88" t="str">
        <f>_xlfn.LET(_xlpm.x,_xlfn.XLOOKUP(_xlfn.XLOOKUP(D88,beans!$A$2:$A$300,beans!$I$2:$I$300),menu!$E$2:$E$20,menu!$F$2:$F$20),IF(_xlpm.x="","",_xlpm.x))</f>
        <v>natural</v>
      </c>
      <c r="I88">
        <v>200</v>
      </c>
      <c r="J88">
        <v>80</v>
      </c>
      <c r="K88">
        <v>35</v>
      </c>
      <c r="L88">
        <v>80</v>
      </c>
      <c r="M88" s="68" t="s">
        <v>109</v>
      </c>
      <c r="N88">
        <v>84</v>
      </c>
      <c r="O88">
        <v>17</v>
      </c>
      <c r="P88" s="67" t="s">
        <v>236</v>
      </c>
      <c r="Q88" s="68">
        <v>204.1</v>
      </c>
      <c r="R88" s="67" t="s">
        <v>82</v>
      </c>
      <c r="S88" s="68">
        <v>217.4</v>
      </c>
      <c r="T88" s="68">
        <f t="shared" si="10"/>
        <v>13.300000000000011</v>
      </c>
      <c r="U88">
        <f t="shared" si="11"/>
        <v>85</v>
      </c>
      <c r="V88">
        <f t="shared" si="15"/>
        <v>9.4</v>
      </c>
      <c r="W88">
        <f t="shared" si="12"/>
        <v>12.78</v>
      </c>
      <c r="X88" s="19">
        <v>45276</v>
      </c>
      <c r="Z88" s="61">
        <v>0</v>
      </c>
      <c r="AB88" s="28" t="str">
        <f t="shared" si="14"/>
        <v xml:space="preserve"> </v>
      </c>
      <c r="AE88" s="61" t="str">
        <f t="shared" si="13"/>
        <v/>
      </c>
      <c r="AF88" s="77" t="str">
        <f>_xlfn.XLOOKUP(AD88,menu!$K$2:$K$9,menu!$J$2:$J$9,"",1)</f>
        <v/>
      </c>
      <c r="AG88" s="80" t="str">
        <f>_xlfn.XLOOKUP(AH88,menu!$O$2:$O$9,menu!$H$2:$H$9,"")</f>
        <v>Cinamon</v>
      </c>
      <c r="AH88" s="81" t="s">
        <v>78</v>
      </c>
      <c r="AI88" t="str">
        <f>_xlfn.LET(_xlpm.x,_xlfn.CONCAT(_xlfn.XLOOKUP(D88,beans!$A$2:$A$300,beans!$J$2:$J$300,"")," / ",_xlfn.XLOOKUP(D88,beans!$A$2:$A$300,beans!$K$2:$K$300,"")," - ",_xlfn.XLOOKUP(D88,beans!$A$2:$A$300,beans!$L$2:$L$300,"")),IF(_xlpm.x=" /  - ","",_xlpm.x))</f>
        <v>吉瑪 利姆 / 果美村 - 寶貝藝妓</v>
      </c>
      <c r="AJ88" s="23" t="s">
        <v>261</v>
      </c>
    </row>
    <row r="89" spans="1:36" x14ac:dyDescent="0.3">
      <c r="A89">
        <v>72</v>
      </c>
      <c r="B89">
        <v>500</v>
      </c>
      <c r="D89">
        <v>9</v>
      </c>
      <c r="E89" t="str">
        <f>_xlfn.LET(_xlpm.x,_xlfn.XLOOKUP(D89,beans!$A$2:$A$300,beans!$H$2:$H$300,""),IF(_xlpm.x="","",_xlpm.x))</f>
        <v>衣索比亞</v>
      </c>
      <c r="F89" s="22" t="str">
        <f>_xlfn.XLOOKUP(E89,menu!$A$2:$A$37,menu!$B$2:$B$37,"")</f>
        <v>Ethiopia</v>
      </c>
      <c r="G89" t="str">
        <f>_xlfn.XLOOKUP(E89,menu!$A$2:$A$37,menu!$C$2:$C$37,"")</f>
        <v>eth</v>
      </c>
      <c r="H89" t="str">
        <f>_xlfn.LET(_xlpm.x,_xlfn.XLOOKUP(_xlfn.XLOOKUP(D89,beans!$A$2:$A$300,beans!$I$2:$I$300),menu!$E$2:$E$20,menu!$F$2:$F$20),IF(_xlpm.x="","",_xlpm.x))</f>
        <v>natural</v>
      </c>
      <c r="I89">
        <v>190</v>
      </c>
      <c r="J89">
        <v>80</v>
      </c>
      <c r="K89">
        <v>30</v>
      </c>
      <c r="L89">
        <v>75</v>
      </c>
      <c r="M89" s="68" t="s">
        <v>109</v>
      </c>
      <c r="N89">
        <v>75.7</v>
      </c>
      <c r="O89">
        <v>19</v>
      </c>
      <c r="P89" s="67" t="s">
        <v>262</v>
      </c>
      <c r="Q89" s="68">
        <v>206.5</v>
      </c>
      <c r="R89" s="67" t="s">
        <v>263</v>
      </c>
      <c r="S89" s="68">
        <v>219.5</v>
      </c>
      <c r="T89" s="68">
        <f t="shared" si="10"/>
        <v>13</v>
      </c>
      <c r="U89">
        <f t="shared" si="11"/>
        <v>67</v>
      </c>
      <c r="V89">
        <f t="shared" si="15"/>
        <v>11.6</v>
      </c>
      <c r="W89">
        <f t="shared" si="12"/>
        <v>9.65</v>
      </c>
      <c r="X89" s="19">
        <v>45276</v>
      </c>
      <c r="Z89" s="61">
        <v>0</v>
      </c>
      <c r="AB89" s="28" t="str">
        <f t="shared" si="14"/>
        <v xml:space="preserve"> </v>
      </c>
      <c r="AE89" s="61" t="str">
        <f t="shared" si="13"/>
        <v/>
      </c>
      <c r="AF89" s="77" t="str">
        <f>_xlfn.XLOOKUP(AD89,menu!$K$2:$K$9,menu!$J$2:$J$9,"",1)</f>
        <v/>
      </c>
      <c r="AG89" s="80" t="str">
        <f>_xlfn.XLOOKUP(AH89,menu!$O$2:$O$9,menu!$H$2:$H$9,"")</f>
        <v>Cinamon</v>
      </c>
      <c r="AH89" s="81" t="s">
        <v>78</v>
      </c>
      <c r="AI89" t="str">
        <f>_xlfn.LET(_xlpm.x,_xlfn.CONCAT(_xlfn.XLOOKUP(D89,beans!$A$2:$A$300,beans!$J$2:$J$300,"")," / ",_xlfn.XLOOKUP(D89,beans!$A$2:$A$300,beans!$K$2:$K$300,"")," - ",_xlfn.XLOOKUP(D89,beans!$A$2:$A$300,beans!$L$2:$L$300,"")),IF(_xlpm.x=" /  - ","",_xlpm.x))</f>
        <v>吉瑪 利姆 / 果美村 - 寶貝藝妓</v>
      </c>
      <c r="AJ89" s="23" t="s">
        <v>264</v>
      </c>
    </row>
    <row r="90" spans="1:36" x14ac:dyDescent="0.3">
      <c r="A90">
        <v>73</v>
      </c>
      <c r="B90">
        <v>500</v>
      </c>
      <c r="D90">
        <v>51</v>
      </c>
      <c r="E90" t="s">
        <v>37</v>
      </c>
      <c r="F90" s="22" t="str">
        <f>_xlfn.XLOOKUP(E90,menu!$A$2:$A$37,menu!$B$2:$B$37,"")</f>
        <v>Costa Rica</v>
      </c>
      <c r="G90" t="str">
        <f>_xlfn.XLOOKUP(E90,menu!$A$2:$A$37,menu!$C$2:$C$37,"")</f>
        <v>cri</v>
      </c>
      <c r="H90" t="str">
        <f>_xlfn.LET(_xlpm.x,_xlfn.XLOOKUP(_xlfn.XLOOKUP(D90,beans!$A$2:$A$300,beans!$I$2:$I$300),menu!$E$2:$E$20,menu!$F$2:$F$20),IF(_xlpm.x="","",_xlpm.x))</f>
        <v>raisin-honey</v>
      </c>
      <c r="I90">
        <v>195</v>
      </c>
      <c r="J90">
        <v>80</v>
      </c>
      <c r="K90">
        <v>30</v>
      </c>
      <c r="L90">
        <v>80</v>
      </c>
      <c r="M90" s="68" t="s">
        <v>67</v>
      </c>
      <c r="N90">
        <v>84.1</v>
      </c>
      <c r="O90">
        <v>19</v>
      </c>
      <c r="P90" s="67" t="s">
        <v>103</v>
      </c>
      <c r="Q90" s="68">
        <v>205.7</v>
      </c>
      <c r="R90" s="67" t="s">
        <v>265</v>
      </c>
      <c r="S90" s="68">
        <v>211.1</v>
      </c>
      <c r="T90" s="68">
        <f t="shared" si="10"/>
        <v>5.4000000000000057</v>
      </c>
      <c r="U90">
        <f t="shared" si="11"/>
        <v>50</v>
      </c>
      <c r="V90">
        <f t="shared" si="15"/>
        <v>6.5</v>
      </c>
      <c r="W90">
        <f t="shared" si="12"/>
        <v>7.07</v>
      </c>
      <c r="X90" s="19">
        <v>45276</v>
      </c>
      <c r="Z90" s="61">
        <v>0</v>
      </c>
      <c r="AB90" s="28" t="str">
        <f t="shared" si="14"/>
        <v xml:space="preserve"> </v>
      </c>
      <c r="AE90" s="61" t="str">
        <f t="shared" si="13"/>
        <v/>
      </c>
      <c r="AF90" s="77" t="str">
        <f>_xlfn.XLOOKUP(AD90,menu!$K$2:$K$9,menu!$J$2:$J$9,"",1)</f>
        <v/>
      </c>
      <c r="AG90" s="80" t="str">
        <f>_xlfn.XLOOKUP(AH90,menu!$O$2:$O$9,menu!$H$2:$H$9,"")</f>
        <v>Cinamon</v>
      </c>
      <c r="AH90" s="81" t="s">
        <v>78</v>
      </c>
      <c r="AI90" t="str">
        <f>_xlfn.LET(_xlpm.x,_xlfn.CONCAT(_xlfn.XLOOKUP(D90,beans!$A$2:$A$300,beans!$J$2:$J$300,"")," / ",_xlfn.XLOOKUP(D90,beans!$A$2:$A$300,beans!$K$2:$K$300,"")," - ",_xlfn.XLOOKUP(D90,beans!$A$2:$A$300,beans!$L$2:$L$300,"")),IF(_xlpm.x=" /  - ","",_xlpm.x))</f>
        <v xml:space="preserve"> / 巴哈 - </v>
      </c>
      <c r="AJ90" s="23" t="s">
        <v>266</v>
      </c>
    </row>
    <row r="91" spans="1:36" x14ac:dyDescent="0.3">
      <c r="A91">
        <v>74</v>
      </c>
      <c r="B91">
        <v>500</v>
      </c>
      <c r="D91">
        <v>51</v>
      </c>
      <c r="E91" t="s">
        <v>37</v>
      </c>
      <c r="F91" s="22" t="str">
        <f>_xlfn.XLOOKUP(E91,menu!$A$2:$A$37,menu!$B$2:$B$37,"")</f>
        <v>Costa Rica</v>
      </c>
      <c r="G91" t="str">
        <f>_xlfn.XLOOKUP(E91,menu!$A$2:$A$37,menu!$C$2:$C$37,"")</f>
        <v>cri</v>
      </c>
      <c r="H91" t="str">
        <f>_xlfn.LET(_xlpm.x,_xlfn.XLOOKUP(_xlfn.XLOOKUP(D91,beans!$A$2:$A$300,beans!$I$2:$I$300),menu!$E$2:$E$20,menu!$F$2:$F$20),IF(_xlpm.x="","",_xlpm.x))</f>
        <v>raisin-honey</v>
      </c>
      <c r="I91">
        <v>195</v>
      </c>
      <c r="J91">
        <v>90</v>
      </c>
      <c r="K91">
        <v>30</v>
      </c>
      <c r="L91">
        <v>80</v>
      </c>
      <c r="M91" s="68" t="s">
        <v>75</v>
      </c>
      <c r="N91">
        <v>84.7</v>
      </c>
      <c r="O91">
        <v>19</v>
      </c>
      <c r="P91" s="67" t="s">
        <v>123</v>
      </c>
      <c r="Q91" s="68">
        <v>205.3</v>
      </c>
      <c r="R91" s="67" t="s">
        <v>267</v>
      </c>
      <c r="S91" s="68">
        <v>211.4</v>
      </c>
      <c r="T91" s="68">
        <f t="shared" si="10"/>
        <v>6.0999999999999943</v>
      </c>
      <c r="U91">
        <f t="shared" si="11"/>
        <v>49</v>
      </c>
      <c r="V91">
        <f t="shared" si="15"/>
        <v>7.5</v>
      </c>
      <c r="W91">
        <f t="shared" si="12"/>
        <v>6.97</v>
      </c>
      <c r="X91" s="19">
        <v>45276</v>
      </c>
      <c r="Z91" s="61">
        <v>0</v>
      </c>
      <c r="AB91" s="28" t="str">
        <f t="shared" si="14"/>
        <v xml:space="preserve"> </v>
      </c>
      <c r="AE91" s="61" t="str">
        <f t="shared" si="13"/>
        <v/>
      </c>
      <c r="AF91" s="77" t="str">
        <f>_xlfn.XLOOKUP(AD91,menu!$K$2:$K$9,menu!$J$2:$J$9,"",1)</f>
        <v/>
      </c>
      <c r="AG91" s="80" t="str">
        <f>_xlfn.XLOOKUP(AH91,menu!$O$2:$O$9,menu!$H$2:$H$9,"")</f>
        <v>Cinamon</v>
      </c>
      <c r="AH91" s="81" t="s">
        <v>78</v>
      </c>
      <c r="AI91" t="str">
        <f>_xlfn.LET(_xlpm.x,_xlfn.CONCAT(_xlfn.XLOOKUP(D91,beans!$A$2:$A$300,beans!$J$2:$J$300,"")," / ",_xlfn.XLOOKUP(D91,beans!$A$2:$A$300,beans!$K$2:$K$300,"")," - ",_xlfn.XLOOKUP(D91,beans!$A$2:$A$300,beans!$L$2:$L$300,"")),IF(_xlpm.x=" /  - ","",_xlpm.x))</f>
        <v xml:space="preserve"> / 巴哈 - </v>
      </c>
      <c r="AJ91" s="23" t="s">
        <v>266</v>
      </c>
    </row>
    <row r="92" spans="1:36" x14ac:dyDescent="0.3">
      <c r="A92">
        <v>75</v>
      </c>
      <c r="B92">
        <v>500</v>
      </c>
      <c r="D92">
        <v>52</v>
      </c>
      <c r="E92" t="s">
        <v>37</v>
      </c>
      <c r="F92" s="22" t="str">
        <f>_xlfn.XLOOKUP(E92,menu!$A$2:$A$37,menu!$B$2:$B$37,"")</f>
        <v>Costa Rica</v>
      </c>
      <c r="G92" t="str">
        <f>_xlfn.XLOOKUP(E92,menu!$A$2:$A$37,menu!$C$2:$C$37,"")</f>
        <v>cri</v>
      </c>
      <c r="H92" t="str">
        <f>_xlfn.LET(_xlpm.x,_xlfn.XLOOKUP(_xlfn.XLOOKUP(D92,beans!$A$2:$A$300,beans!$I$2:$I$300),menu!$E$2:$E$20,menu!$F$2:$F$20),IF(_xlpm.x="","",_xlpm.x))</f>
        <v>raisin-honey</v>
      </c>
      <c r="I92">
        <v>191</v>
      </c>
      <c r="J92">
        <v>90</v>
      </c>
      <c r="K92">
        <v>30</v>
      </c>
      <c r="L92">
        <v>80</v>
      </c>
      <c r="M92" s="68" t="s">
        <v>160</v>
      </c>
      <c r="N92">
        <v>81.099999999999994</v>
      </c>
      <c r="O92">
        <v>19</v>
      </c>
      <c r="P92" s="67" t="s">
        <v>268</v>
      </c>
      <c r="Q92" s="68">
        <v>200.8</v>
      </c>
      <c r="R92" s="67" t="s">
        <v>269</v>
      </c>
      <c r="S92" s="68">
        <v>209.9</v>
      </c>
      <c r="T92" s="68">
        <f t="shared" ref="T92:T123" si="16">_xlfn.LET(_xlpm.x,S92-Q92,IF(_xlpm.x=0,"",_xlpm.x))</f>
        <v>9.0999999999999943</v>
      </c>
      <c r="U92">
        <f t="shared" ref="U92:U123" si="17">_xlfn.LET(_xlpm.x,(TIMEVALUE("0:"&amp;SUBSTITUTE(R92,"'",":"))-TIMEVALUE("0:"&amp;SUBSTITUTE(P92,"'",":")))*86400,IF(_xlpm.x=0,"",ROUND(_xlpm.x,2)))</f>
        <v>108</v>
      </c>
      <c r="V92">
        <f t="shared" si="15"/>
        <v>5.0999999999999996</v>
      </c>
      <c r="W92">
        <f t="shared" ref="W92:W123" si="18">_xlfn.LET(_xlpm.x,(TIMEVALUE("0:"&amp;SUBSTITUTE(R92,"'",":"))-TIMEVALUE("0:"&amp;SUBSTITUTE(P92,"'",":")))*86400,IF(_xlpm.x=0,"",ROUND(_xlpm.x/((TIMEVALUE("0:"&amp;SUBSTITUTE(R92,"'",":"))-TIMEVALUE("0:0:0"))*864),2)))</f>
        <v>14.46</v>
      </c>
      <c r="X92" s="19">
        <v>45276</v>
      </c>
      <c r="Z92" s="61">
        <v>0</v>
      </c>
      <c r="AB92" s="28" t="str">
        <f t="shared" si="14"/>
        <v xml:space="preserve"> </v>
      </c>
      <c r="AE92" s="61" t="str">
        <f t="shared" ref="AE92:AE123" si="19">_xlfn.LET(_xlpm.x,AD92-AC92,IF(_xlpm.x=0,"",_xlpm.x))</f>
        <v/>
      </c>
      <c r="AF92" s="77" t="str">
        <f>_xlfn.XLOOKUP(AD92,menu!$K$2:$K$9,menu!$J$2:$J$9,"",1)</f>
        <v/>
      </c>
      <c r="AG92" s="80" t="str">
        <f>_xlfn.XLOOKUP(AH92,menu!$O$2:$O$9,menu!$H$2:$H$9,"")</f>
        <v>Cinamon</v>
      </c>
      <c r="AH92" s="81" t="s">
        <v>78</v>
      </c>
      <c r="AI92" t="str">
        <f>_xlfn.LET(_xlpm.x,_xlfn.CONCAT(_xlfn.XLOOKUP(D92,beans!$A$2:$A$300,beans!$J$2:$J$300,"")," / ",_xlfn.XLOOKUP(D92,beans!$A$2:$A$300,beans!$K$2:$K$300,"")," - ",_xlfn.XLOOKUP(D92,beans!$A$2:$A$300,beans!$L$2:$L$300,"")),IF(_xlpm.x=" /  - ","",_xlpm.x))</f>
        <v xml:space="preserve"> / 蕭邦 - </v>
      </c>
      <c r="AJ92" s="23" t="s">
        <v>270</v>
      </c>
    </row>
    <row r="93" spans="1:36" x14ac:dyDescent="0.3">
      <c r="A93">
        <v>76</v>
      </c>
      <c r="B93">
        <v>500</v>
      </c>
      <c r="D93">
        <v>52</v>
      </c>
      <c r="E93" t="s">
        <v>37</v>
      </c>
      <c r="F93" s="22" t="str">
        <f>_xlfn.XLOOKUP(E93,menu!$A$2:$A$37,menu!$B$2:$B$37,"")</f>
        <v>Costa Rica</v>
      </c>
      <c r="G93" t="str">
        <f>_xlfn.XLOOKUP(E93,menu!$A$2:$A$37,menu!$C$2:$C$37,"")</f>
        <v>cri</v>
      </c>
      <c r="H93" t="str">
        <f>_xlfn.LET(_xlpm.x,_xlfn.XLOOKUP(_xlfn.XLOOKUP(D93,beans!$A$2:$A$300,beans!$I$2:$I$300),menu!$E$2:$E$20,menu!$F$2:$F$20),IF(_xlpm.x="","",_xlpm.x))</f>
        <v>raisin-honey</v>
      </c>
      <c r="I93">
        <v>190</v>
      </c>
      <c r="J93">
        <v>90</v>
      </c>
      <c r="K93">
        <v>30</v>
      </c>
      <c r="L93">
        <v>80</v>
      </c>
      <c r="M93" s="68" t="s">
        <v>96</v>
      </c>
      <c r="N93">
        <v>80</v>
      </c>
      <c r="O93">
        <v>19</v>
      </c>
      <c r="P93" s="67" t="s">
        <v>161</v>
      </c>
      <c r="Q93" s="68">
        <v>204.5</v>
      </c>
      <c r="R93" s="67" t="s">
        <v>271</v>
      </c>
      <c r="S93" s="68">
        <v>209.5</v>
      </c>
      <c r="T93" s="68">
        <f t="shared" si="16"/>
        <v>5</v>
      </c>
      <c r="U93">
        <f t="shared" si="17"/>
        <v>49</v>
      </c>
      <c r="V93">
        <f t="shared" si="15"/>
        <v>6.1</v>
      </c>
      <c r="W93">
        <f t="shared" si="18"/>
        <v>6.75</v>
      </c>
      <c r="X93" s="19">
        <v>45276</v>
      </c>
      <c r="Z93" s="61">
        <v>0</v>
      </c>
      <c r="AB93" s="28" t="str">
        <f t="shared" si="14"/>
        <v xml:space="preserve"> </v>
      </c>
      <c r="AE93" s="61" t="str">
        <f t="shared" si="19"/>
        <v/>
      </c>
      <c r="AF93" s="77" t="str">
        <f>_xlfn.XLOOKUP(AD93,menu!$K$2:$K$9,menu!$J$2:$J$9,"",1)</f>
        <v/>
      </c>
      <c r="AG93" s="80" t="str">
        <f>_xlfn.XLOOKUP(AH93,menu!$O$2:$O$9,menu!$H$2:$H$9,"")</f>
        <v>Cinamon</v>
      </c>
      <c r="AH93" s="81" t="s">
        <v>78</v>
      </c>
      <c r="AI93" t="str">
        <f>_xlfn.LET(_xlpm.x,_xlfn.CONCAT(_xlfn.XLOOKUP(D93,beans!$A$2:$A$300,beans!$J$2:$J$300,"")," / ",_xlfn.XLOOKUP(D93,beans!$A$2:$A$300,beans!$K$2:$K$300,"")," - ",_xlfn.XLOOKUP(D93,beans!$A$2:$A$300,beans!$L$2:$L$300,"")),IF(_xlpm.x=" /  - ","",_xlpm.x))</f>
        <v xml:space="preserve"> / 蕭邦 - </v>
      </c>
      <c r="AJ93" s="23" t="s">
        <v>270</v>
      </c>
    </row>
    <row r="94" spans="1:36" x14ac:dyDescent="0.3">
      <c r="A94">
        <v>77</v>
      </c>
      <c r="B94">
        <v>200</v>
      </c>
      <c r="D94">
        <v>47</v>
      </c>
      <c r="E94" t="str">
        <f>_xlfn.LET(_xlpm.x,_xlfn.XLOOKUP(D94,beans!$A$2:$A$300,beans!$H$2:$H$300,""),IF(_xlpm.x="","",_xlpm.x))</f>
        <v>衣索比亞</v>
      </c>
      <c r="F94" s="22" t="str">
        <f>_xlfn.XLOOKUP(E94,menu!$A$2:$A$37,menu!$B$2:$B$37,"")</f>
        <v>Ethiopia</v>
      </c>
      <c r="G94" t="str">
        <f>_xlfn.XLOOKUP(E94,menu!$A$2:$A$37,menu!$C$2:$C$37,"")</f>
        <v>eth</v>
      </c>
      <c r="H94" t="str">
        <f>_xlfn.LET(_xlpm.x,_xlfn.XLOOKUP(_xlfn.XLOOKUP(D94,beans!$A$2:$A$300,beans!$I$2:$I$300),menu!$E$2:$E$20,menu!$F$2:$F$20),IF(_xlpm.x="","",_xlpm.x))</f>
        <v>washed</v>
      </c>
      <c r="I94">
        <v>180</v>
      </c>
      <c r="J94">
        <v>30</v>
      </c>
      <c r="K94">
        <v>25</v>
      </c>
      <c r="L94">
        <v>45</v>
      </c>
      <c r="M94" s="68" t="s">
        <v>272</v>
      </c>
      <c r="N94">
        <v>75.599999999999994</v>
      </c>
      <c r="P94" s="67" t="s">
        <v>273</v>
      </c>
      <c r="Q94" s="68">
        <v>193.3</v>
      </c>
      <c r="R94" s="67" t="s">
        <v>274</v>
      </c>
      <c r="S94" s="68">
        <v>210.1</v>
      </c>
      <c r="T94" s="68">
        <f t="shared" si="16"/>
        <v>16.799999999999983</v>
      </c>
      <c r="U94">
        <f t="shared" si="17"/>
        <v>84</v>
      </c>
      <c r="V94">
        <f t="shared" si="15"/>
        <v>12</v>
      </c>
      <c r="W94">
        <f t="shared" si="18"/>
        <v>14.43</v>
      </c>
      <c r="X94" s="19">
        <v>45278</v>
      </c>
      <c r="Y94" s="26">
        <v>173.8</v>
      </c>
      <c r="Z94" s="61">
        <v>0</v>
      </c>
      <c r="AB94" s="28">
        <f t="shared" si="14"/>
        <v>0.13099999999999995</v>
      </c>
      <c r="AE94" s="61" t="str">
        <f t="shared" si="19"/>
        <v/>
      </c>
      <c r="AF94" s="77" t="str">
        <f>_xlfn.XLOOKUP(AD94,menu!$K$2:$K$9,menu!$J$2:$J$9,"",1)</f>
        <v/>
      </c>
      <c r="AG94" s="80" t="str">
        <f>_xlfn.XLOOKUP(AH94,menu!$O$2:$O$9,menu!$H$2:$H$9,"")</f>
        <v>Cinamon</v>
      </c>
      <c r="AH94" s="81" t="s">
        <v>78</v>
      </c>
      <c r="AI94" t="str">
        <f>_xlfn.LET(_xlpm.x,_xlfn.CONCAT(_xlfn.XLOOKUP(D94,beans!$A$2:$A$300,beans!$J$2:$J$300,"")," / ",_xlfn.XLOOKUP(D94,beans!$A$2:$A$300,beans!$K$2:$K$300,"")," - ",_xlfn.XLOOKUP(D94,beans!$A$2:$A$300,beans!$L$2:$L$300,"")),IF(_xlpm.x=" /  - ","",_xlpm.x))</f>
        <v>吉馬莉姆 / 果美村 - 寶貝藝妓</v>
      </c>
      <c r="AJ94" s="23" t="s">
        <v>275</v>
      </c>
    </row>
    <row r="95" spans="1:36" x14ac:dyDescent="0.3">
      <c r="A95">
        <v>78</v>
      </c>
      <c r="B95">
        <v>200</v>
      </c>
      <c r="D95">
        <v>47</v>
      </c>
      <c r="E95" t="str">
        <f>_xlfn.LET(_xlpm.x,_xlfn.XLOOKUP(D95,beans!$A$2:$A$300,beans!$H$2:$H$300,""),IF(_xlpm.x="","",_xlpm.x))</f>
        <v>衣索比亞</v>
      </c>
      <c r="F95" s="22" t="str">
        <f>_xlfn.XLOOKUP(E95,menu!$A$2:$A$37,menu!$B$2:$B$37,"")</f>
        <v>Ethiopia</v>
      </c>
      <c r="G95" t="str">
        <f>_xlfn.XLOOKUP(E95,menu!$A$2:$A$37,menu!$C$2:$C$37,"")</f>
        <v>eth</v>
      </c>
      <c r="H95" t="str">
        <f>_xlfn.LET(_xlpm.x,_xlfn.XLOOKUP(_xlfn.XLOOKUP(D95,beans!$A$2:$A$300,beans!$I$2:$I$300),menu!$E$2:$E$20,menu!$F$2:$F$20),IF(_xlpm.x="","",_xlpm.x))</f>
        <v>washed</v>
      </c>
      <c r="I95">
        <v>180</v>
      </c>
      <c r="J95">
        <v>30</v>
      </c>
      <c r="K95">
        <v>25</v>
      </c>
      <c r="L95">
        <v>45</v>
      </c>
      <c r="M95" s="68" t="s">
        <v>71</v>
      </c>
      <c r="N95">
        <v>78.099999999999994</v>
      </c>
      <c r="P95" s="67" t="s">
        <v>276</v>
      </c>
      <c r="Q95" s="68">
        <v>191</v>
      </c>
      <c r="R95" s="67" t="s">
        <v>277</v>
      </c>
      <c r="S95" s="68">
        <v>215.4</v>
      </c>
      <c r="T95" s="68">
        <f t="shared" si="16"/>
        <v>24.400000000000006</v>
      </c>
      <c r="U95">
        <f t="shared" si="17"/>
        <v>74</v>
      </c>
      <c r="V95">
        <f t="shared" si="15"/>
        <v>19.8</v>
      </c>
      <c r="W95">
        <f t="shared" si="18"/>
        <v>14.2</v>
      </c>
      <c r="X95" s="19">
        <v>45278</v>
      </c>
      <c r="Y95" s="26">
        <v>173.4</v>
      </c>
      <c r="Z95" s="61">
        <v>0</v>
      </c>
      <c r="AB95" s="28">
        <f t="shared" si="14"/>
        <v>0.13299999999999998</v>
      </c>
      <c r="AE95" s="61" t="str">
        <f t="shared" si="19"/>
        <v/>
      </c>
      <c r="AF95" s="77" t="str">
        <f>_xlfn.XLOOKUP(AD95,menu!$K$2:$K$9,menu!$J$2:$J$9,"",1)</f>
        <v/>
      </c>
      <c r="AG95" s="80" t="str">
        <f>_xlfn.XLOOKUP(AH95,menu!$O$2:$O$9,menu!$H$2:$H$9,"")</f>
        <v>Cinamon</v>
      </c>
      <c r="AH95" s="81" t="s">
        <v>78</v>
      </c>
      <c r="AI95" t="str">
        <f>_xlfn.LET(_xlpm.x,_xlfn.CONCAT(_xlfn.XLOOKUP(D95,beans!$A$2:$A$300,beans!$J$2:$J$300,"")," / ",_xlfn.XLOOKUP(D95,beans!$A$2:$A$300,beans!$K$2:$K$300,"")," - ",_xlfn.XLOOKUP(D95,beans!$A$2:$A$300,beans!$L$2:$L$300,"")),IF(_xlpm.x=" /  - ","",_xlpm.x))</f>
        <v>吉馬莉姆 / 果美村 - 寶貝藝妓</v>
      </c>
      <c r="AJ95" s="23" t="s">
        <v>278</v>
      </c>
    </row>
    <row r="96" spans="1:36" x14ac:dyDescent="0.3">
      <c r="A96">
        <v>79</v>
      </c>
      <c r="B96">
        <v>200</v>
      </c>
      <c r="E96" t="s">
        <v>279</v>
      </c>
      <c r="F96" s="22" t="str">
        <f>_xlfn.XLOOKUP(E96,menu!$A$2:$A$37,menu!$B$2:$B$37,"")</f>
        <v>Panama</v>
      </c>
      <c r="G96" t="str">
        <f>_xlfn.XLOOKUP(E96,menu!$A$2:$A$37,menu!$C$2:$C$37,"")</f>
        <v>pan</v>
      </c>
      <c r="H96" t="str">
        <f>_xlfn.LET(_xlpm.x,_xlfn.XLOOKUP(_xlfn.XLOOKUP(D96,beans!$A$2:$A$300,beans!$I$2:$I$300),menu!$E$2:$E$20,menu!$F$2:$F$20),IF(_xlpm.x="","",_xlpm.x))</f>
        <v/>
      </c>
      <c r="I96">
        <v>190</v>
      </c>
      <c r="J96">
        <v>30</v>
      </c>
      <c r="K96">
        <v>40</v>
      </c>
      <c r="L96">
        <v>80</v>
      </c>
      <c r="M96" s="68" t="s">
        <v>114</v>
      </c>
      <c r="N96">
        <v>105.2</v>
      </c>
      <c r="O96">
        <v>15</v>
      </c>
      <c r="P96" s="67" t="s">
        <v>134</v>
      </c>
      <c r="Q96" s="68">
        <v>205.5</v>
      </c>
      <c r="R96" s="67" t="s">
        <v>280</v>
      </c>
      <c r="S96" s="68">
        <v>216.1</v>
      </c>
      <c r="T96" s="68">
        <f t="shared" si="16"/>
        <v>10.599999999999994</v>
      </c>
      <c r="U96">
        <f t="shared" si="17"/>
        <v>94</v>
      </c>
      <c r="V96">
        <f t="shared" si="15"/>
        <v>6.8</v>
      </c>
      <c r="W96">
        <f t="shared" si="18"/>
        <v>13.51</v>
      </c>
      <c r="X96" s="19">
        <v>45278</v>
      </c>
      <c r="Z96" s="61">
        <v>0</v>
      </c>
      <c r="AB96" s="28" t="str">
        <f t="shared" si="14"/>
        <v xml:space="preserve"> </v>
      </c>
      <c r="AE96" s="61" t="str">
        <f t="shared" si="19"/>
        <v/>
      </c>
      <c r="AF96" s="77" t="str">
        <f>_xlfn.XLOOKUP(AD96,menu!$K$2:$K$9,menu!$J$2:$J$9,"",1)</f>
        <v/>
      </c>
      <c r="AG96" s="80" t="str">
        <f>_xlfn.XLOOKUP(AH96,menu!$O$2:$O$9,menu!$H$2:$H$9,"")</f>
        <v>Cinamon</v>
      </c>
      <c r="AH96" s="81" t="s">
        <v>78</v>
      </c>
      <c r="AI96" t="str">
        <f>_xlfn.LET(_xlpm.x,_xlfn.CONCAT(_xlfn.XLOOKUP(D96,beans!$A$2:$A$300,beans!$J$2:$J$300,"")," / ",_xlfn.XLOOKUP(D96,beans!$A$2:$A$300,beans!$K$2:$K$300,"")," - ",_xlfn.XLOOKUP(D96,beans!$A$2:$A$300,beans!$L$2:$L$300,"")),IF(_xlpm.x=" /  - ","",_xlpm.x))</f>
        <v/>
      </c>
      <c r="AJ96" s="23" t="s">
        <v>281</v>
      </c>
    </row>
    <row r="97" spans="1:36" x14ac:dyDescent="0.3">
      <c r="A97">
        <v>80</v>
      </c>
      <c r="B97">
        <v>250</v>
      </c>
      <c r="D97">
        <v>2</v>
      </c>
      <c r="E97" t="str">
        <f>_xlfn.LET(_xlpm.x,_xlfn.XLOOKUP(D97,beans!$A$2:$A$300,beans!$H$2:$H$300,""),IF(_xlpm.x="","",_xlpm.x))</f>
        <v>哥斯大黎加</v>
      </c>
      <c r="F97" s="22" t="str">
        <f>_xlfn.XLOOKUP(E97,menu!$A$2:$A$37,menu!$B$2:$B$37,"")</f>
        <v>Costa Rica</v>
      </c>
      <c r="G97" t="str">
        <f>_xlfn.XLOOKUP(E97,menu!$A$2:$A$37,menu!$C$2:$C$37,"")</f>
        <v>cri</v>
      </c>
      <c r="H97" t="str">
        <f>_xlfn.LET(_xlpm.x,_xlfn.XLOOKUP(_xlfn.XLOOKUP(D97,beans!$A$2:$A$300,beans!$I$2:$I$300),menu!$E$2:$E$20,menu!$F$2:$F$20),IF(_xlpm.x="","",_xlpm.x))</f>
        <v>raisin-honey</v>
      </c>
      <c r="I97">
        <v>180</v>
      </c>
      <c r="J97">
        <v>60</v>
      </c>
      <c r="K97">
        <v>60</v>
      </c>
      <c r="L97">
        <v>70</v>
      </c>
      <c r="M97" s="68" t="s">
        <v>121</v>
      </c>
      <c r="N97">
        <v>77.7</v>
      </c>
      <c r="O97">
        <v>13</v>
      </c>
      <c r="P97" s="67" t="s">
        <v>282</v>
      </c>
      <c r="Q97" s="68">
        <v>204</v>
      </c>
      <c r="R97" s="67" t="s">
        <v>283</v>
      </c>
      <c r="S97" s="68">
        <v>220</v>
      </c>
      <c r="T97" s="68">
        <f t="shared" si="16"/>
        <v>16</v>
      </c>
      <c r="U97">
        <f t="shared" si="17"/>
        <v>83</v>
      </c>
      <c r="V97">
        <f t="shared" si="15"/>
        <v>11.6</v>
      </c>
      <c r="W97">
        <f t="shared" si="18"/>
        <v>9.1300000000000008</v>
      </c>
      <c r="X97" s="19">
        <v>45278</v>
      </c>
      <c r="Y97" s="26">
        <v>216</v>
      </c>
      <c r="Z97" s="61">
        <v>0</v>
      </c>
      <c r="AB97" s="28">
        <f t="shared" si="14"/>
        <v>0.13600000000000001</v>
      </c>
      <c r="AE97" s="61" t="str">
        <f t="shared" si="19"/>
        <v/>
      </c>
      <c r="AF97" s="77" t="str">
        <f>_xlfn.XLOOKUP(AD97,menu!$K$2:$K$9,menu!$J$2:$J$9,"",1)</f>
        <v/>
      </c>
      <c r="AG97" s="80" t="str">
        <f>_xlfn.XLOOKUP(AH97,menu!$O$2:$O$9,menu!$H$2:$H$9,"")</f>
        <v>Cinamon</v>
      </c>
      <c r="AH97" s="81" t="s">
        <v>78</v>
      </c>
      <c r="AI97" t="str">
        <f>_xlfn.LET(_xlpm.x,_xlfn.CONCAT(_xlfn.XLOOKUP(D97,beans!$A$2:$A$300,beans!$J$2:$J$300,"")," / ",_xlfn.XLOOKUP(D97,beans!$A$2:$A$300,beans!$K$2:$K$300,"")," - ",_xlfn.XLOOKUP(D97,beans!$A$2:$A$300,beans!$L$2:$L$300,"")),IF(_xlpm.x=" /  - ","",_xlpm.x))</f>
        <v xml:space="preserve">Tarrazu / 卡內特 音樂家系列 莫札特 - </v>
      </c>
      <c r="AJ97" s="23" t="s">
        <v>284</v>
      </c>
    </row>
    <row r="98" spans="1:36" x14ac:dyDescent="0.3">
      <c r="A98">
        <v>81</v>
      </c>
      <c r="B98">
        <v>250</v>
      </c>
      <c r="D98">
        <v>2</v>
      </c>
      <c r="E98" t="str">
        <f>_xlfn.LET(_xlpm.x,_xlfn.XLOOKUP(D98,beans!$A$2:$A$300,beans!$H$2:$H$300,""),IF(_xlpm.x="","",_xlpm.x))</f>
        <v>哥斯大黎加</v>
      </c>
      <c r="F98" s="22" t="str">
        <f>_xlfn.XLOOKUP(E98,menu!$A$2:$A$37,menu!$B$2:$B$37,"")</f>
        <v>Costa Rica</v>
      </c>
      <c r="G98" t="str">
        <f>_xlfn.XLOOKUP(E98,menu!$A$2:$A$37,menu!$C$2:$C$37,"")</f>
        <v>cri</v>
      </c>
      <c r="H98" t="str">
        <f>_xlfn.LET(_xlpm.x,_xlfn.XLOOKUP(_xlfn.XLOOKUP(D98,beans!$A$2:$A$300,beans!$I$2:$I$300),menu!$E$2:$E$20,menu!$F$2:$F$20),IF(_xlpm.x="","",_xlpm.x))</f>
        <v>raisin-honey</v>
      </c>
      <c r="I98">
        <v>180</v>
      </c>
      <c r="J98">
        <v>60</v>
      </c>
      <c r="K98">
        <v>60</v>
      </c>
      <c r="L98">
        <v>70</v>
      </c>
      <c r="M98" s="68" t="s">
        <v>157</v>
      </c>
      <c r="N98">
        <v>80.8</v>
      </c>
      <c r="O98">
        <v>10</v>
      </c>
      <c r="P98" s="67" t="s">
        <v>285</v>
      </c>
      <c r="Q98" s="68">
        <v>206.8</v>
      </c>
      <c r="R98" s="67" t="s">
        <v>286</v>
      </c>
      <c r="S98" s="68">
        <v>218.6</v>
      </c>
      <c r="T98" s="68">
        <f t="shared" si="16"/>
        <v>11.799999999999983</v>
      </c>
      <c r="U98">
        <f t="shared" si="17"/>
        <v>63</v>
      </c>
      <c r="V98">
        <f t="shared" si="15"/>
        <v>11.2</v>
      </c>
      <c r="W98">
        <f t="shared" si="18"/>
        <v>7</v>
      </c>
      <c r="X98" s="19">
        <v>45278</v>
      </c>
      <c r="Y98" s="26">
        <v>216.7</v>
      </c>
      <c r="Z98" s="61">
        <v>0</v>
      </c>
      <c r="AB98" s="28">
        <f t="shared" si="14"/>
        <v>0.13320000000000004</v>
      </c>
      <c r="AE98" s="61" t="str">
        <f t="shared" si="19"/>
        <v/>
      </c>
      <c r="AF98" s="77" t="str">
        <f>_xlfn.XLOOKUP(AD98,menu!$K$2:$K$9,menu!$J$2:$J$9,"",1)</f>
        <v/>
      </c>
      <c r="AG98" s="80" t="str">
        <f>_xlfn.XLOOKUP(AH98,menu!$O$2:$O$9,menu!$H$2:$H$9,"")</f>
        <v>Cinamon</v>
      </c>
      <c r="AH98" s="81" t="s">
        <v>78</v>
      </c>
      <c r="AI98" t="str">
        <f>_xlfn.LET(_xlpm.x,_xlfn.CONCAT(_xlfn.XLOOKUP(D98,beans!$A$2:$A$300,beans!$J$2:$J$300,"")," / ",_xlfn.XLOOKUP(D98,beans!$A$2:$A$300,beans!$K$2:$K$300,"")," - ",_xlfn.XLOOKUP(D98,beans!$A$2:$A$300,beans!$L$2:$L$300,"")),IF(_xlpm.x=" /  - ","",_xlpm.x))</f>
        <v xml:space="preserve">Tarrazu / 卡內特 音樂家系列 莫札特 - </v>
      </c>
      <c r="AJ98" s="23" t="s">
        <v>287</v>
      </c>
    </row>
    <row r="99" spans="1:36" x14ac:dyDescent="0.3">
      <c r="A99">
        <v>82</v>
      </c>
      <c r="B99">
        <v>500</v>
      </c>
      <c r="D99">
        <v>2</v>
      </c>
      <c r="E99" t="str">
        <f>_xlfn.LET(_xlpm.x,_xlfn.XLOOKUP(D99,beans!$A$2:$A$300,beans!$H$2:$H$300,""),IF(_xlpm.x="","",_xlpm.x))</f>
        <v>哥斯大黎加</v>
      </c>
      <c r="F99" s="22" t="str">
        <f>_xlfn.XLOOKUP(E99,menu!$A$2:$A$37,menu!$B$2:$B$37,"")</f>
        <v>Costa Rica</v>
      </c>
      <c r="G99" t="str">
        <f>_xlfn.XLOOKUP(E99,menu!$A$2:$A$37,menu!$C$2:$C$37,"")</f>
        <v>cri</v>
      </c>
      <c r="H99" t="str">
        <f>_xlfn.LET(_xlpm.x,_xlfn.XLOOKUP(_xlfn.XLOOKUP(D99,beans!$A$2:$A$300,beans!$I$2:$I$300),menu!$E$2:$E$20,menu!$F$2:$F$20),IF(_xlpm.x="","",_xlpm.x))</f>
        <v>raisin-honey</v>
      </c>
      <c r="I99">
        <v>210</v>
      </c>
      <c r="J99">
        <v>80</v>
      </c>
      <c r="K99">
        <v>40</v>
      </c>
      <c r="L99">
        <v>95</v>
      </c>
      <c r="M99" s="68" t="s">
        <v>121</v>
      </c>
      <c r="N99">
        <v>84.4</v>
      </c>
      <c r="O99">
        <v>20</v>
      </c>
      <c r="P99" s="67" t="s">
        <v>170</v>
      </c>
      <c r="Q99" s="68">
        <v>199.9</v>
      </c>
      <c r="R99" s="67" t="s">
        <v>237</v>
      </c>
      <c r="S99" s="68">
        <v>208.6</v>
      </c>
      <c r="T99" s="68">
        <f t="shared" si="16"/>
        <v>8.6999999999999886</v>
      </c>
      <c r="U99">
        <f t="shared" si="17"/>
        <v>52</v>
      </c>
      <c r="V99">
        <f t="shared" si="15"/>
        <v>10</v>
      </c>
      <c r="W99">
        <f t="shared" si="18"/>
        <v>8.32</v>
      </c>
      <c r="X99" s="19">
        <v>45283</v>
      </c>
      <c r="Y99" s="26">
        <v>440</v>
      </c>
      <c r="Z99" s="61">
        <v>0</v>
      </c>
      <c r="AB99" s="28">
        <f t="shared" si="14"/>
        <v>0.12</v>
      </c>
      <c r="AE99" s="61" t="str">
        <f t="shared" si="19"/>
        <v/>
      </c>
      <c r="AF99" s="77" t="str">
        <f>_xlfn.XLOOKUP(AD99,menu!$K$2:$K$9,menu!$J$2:$J$9,"",1)</f>
        <v/>
      </c>
      <c r="AG99" s="80" t="str">
        <f>_xlfn.XLOOKUP(AH99,menu!$O$2:$O$9,menu!$H$2:$H$9,"")</f>
        <v>Cinamon</v>
      </c>
      <c r="AH99" s="81" t="s">
        <v>78</v>
      </c>
      <c r="AI99" t="str">
        <f>_xlfn.LET(_xlpm.x,_xlfn.CONCAT(_xlfn.XLOOKUP(D99,beans!$A$2:$A$300,beans!$J$2:$J$300,"")," / ",_xlfn.XLOOKUP(D99,beans!$A$2:$A$300,beans!$K$2:$K$300,"")," - ",_xlfn.XLOOKUP(D99,beans!$A$2:$A$300,beans!$L$2:$L$300,"")),IF(_xlpm.x=" /  - ","",_xlpm.x))</f>
        <v xml:space="preserve">Tarrazu / 卡內特 音樂家系列 莫札特 - </v>
      </c>
      <c r="AJ99" s="23" t="s">
        <v>288</v>
      </c>
    </row>
    <row r="100" spans="1:36" x14ac:dyDescent="0.3">
      <c r="A100">
        <v>83</v>
      </c>
      <c r="B100">
        <v>560</v>
      </c>
      <c r="D100">
        <v>2</v>
      </c>
      <c r="E100" t="str">
        <f>_xlfn.LET(_xlpm.x,_xlfn.XLOOKUP(D100,beans!$A$2:$A$300,beans!$H$2:$H$300,""),IF(_xlpm.x="","",_xlpm.x))</f>
        <v>哥斯大黎加</v>
      </c>
      <c r="F100" s="22" t="str">
        <f>_xlfn.XLOOKUP(E100,menu!$A$2:$A$37,menu!$B$2:$B$37,"")</f>
        <v>Costa Rica</v>
      </c>
      <c r="G100" t="str">
        <f>_xlfn.XLOOKUP(E100,menu!$A$2:$A$37,menu!$C$2:$C$37,"")</f>
        <v>cri</v>
      </c>
      <c r="H100" t="str">
        <f>_xlfn.LET(_xlpm.x,_xlfn.XLOOKUP(_xlfn.XLOOKUP(D100,beans!$A$2:$A$300,beans!$I$2:$I$300),menu!$E$2:$E$20,menu!$F$2:$F$20),IF(_xlpm.x="","",_xlpm.x))</f>
        <v>raisin-honey</v>
      </c>
      <c r="I100">
        <v>210</v>
      </c>
      <c r="J100">
        <v>80</v>
      </c>
      <c r="K100">
        <v>40</v>
      </c>
      <c r="L100">
        <v>95</v>
      </c>
      <c r="M100" s="68" t="s">
        <v>207</v>
      </c>
      <c r="N100">
        <v>85.4</v>
      </c>
      <c r="O100">
        <v>20</v>
      </c>
      <c r="P100" s="67" t="s">
        <v>289</v>
      </c>
      <c r="Q100" s="68">
        <v>200.8</v>
      </c>
      <c r="R100" s="67" t="s">
        <v>290</v>
      </c>
      <c r="S100" s="68">
        <v>213.9</v>
      </c>
      <c r="T100" s="68">
        <f t="shared" si="16"/>
        <v>13.099999999999994</v>
      </c>
      <c r="U100">
        <f t="shared" si="17"/>
        <v>85</v>
      </c>
      <c r="V100">
        <f t="shared" si="15"/>
        <v>9.1999999999999993</v>
      </c>
      <c r="W100">
        <f t="shared" si="18"/>
        <v>12.84</v>
      </c>
      <c r="X100" s="19">
        <v>45283</v>
      </c>
      <c r="Y100" s="26">
        <v>490.1</v>
      </c>
      <c r="Z100" s="61">
        <v>0</v>
      </c>
      <c r="AB100" s="28">
        <f t="shared" si="14"/>
        <v>0.12482142857142853</v>
      </c>
      <c r="AE100" s="61" t="str">
        <f t="shared" si="19"/>
        <v/>
      </c>
      <c r="AF100" s="77" t="str">
        <f>_xlfn.XLOOKUP(AD100,menu!$K$2:$K$9,menu!$J$2:$J$9,"",1)</f>
        <v/>
      </c>
      <c r="AG100" s="80" t="str">
        <f>_xlfn.XLOOKUP(AH100,menu!$O$2:$O$9,menu!$H$2:$H$9,"")</f>
        <v>Cinamon</v>
      </c>
      <c r="AH100" s="81" t="s">
        <v>78</v>
      </c>
      <c r="AI100" t="str">
        <f>_xlfn.LET(_xlpm.x,_xlfn.CONCAT(_xlfn.XLOOKUP(D100,beans!$A$2:$A$300,beans!$J$2:$J$300,"")," / ",_xlfn.XLOOKUP(D100,beans!$A$2:$A$300,beans!$K$2:$K$300,"")," - ",_xlfn.XLOOKUP(D100,beans!$A$2:$A$300,beans!$L$2:$L$300,"")),IF(_xlpm.x=" /  - ","",_xlpm.x))</f>
        <v xml:space="preserve">Tarrazu / 卡內特 音樂家系列 莫札特 - </v>
      </c>
      <c r="AJ100" s="23" t="s">
        <v>291</v>
      </c>
    </row>
    <row r="101" spans="1:36" x14ac:dyDescent="0.3">
      <c r="A101">
        <v>84</v>
      </c>
      <c r="B101">
        <v>250</v>
      </c>
      <c r="D101">
        <v>41</v>
      </c>
      <c r="E101" t="str">
        <f>_xlfn.LET(_xlpm.x,_xlfn.XLOOKUP(D101,beans!$A$2:$A$300,beans!$H$2:$H$300,""),IF(_xlpm.x="","",_xlpm.x))</f>
        <v>衣索比亞</v>
      </c>
      <c r="F101" s="22" t="str">
        <f>_xlfn.XLOOKUP(E101,menu!$A$2:$A$37,menu!$B$2:$B$37,"")</f>
        <v>Ethiopia</v>
      </c>
      <c r="G101" t="str">
        <f>_xlfn.XLOOKUP(E101,menu!$A$2:$A$37,menu!$C$2:$C$37,"")</f>
        <v>eth</v>
      </c>
      <c r="H101" t="str">
        <f>_xlfn.LET(_xlpm.x,_xlfn.XLOOKUP(_xlfn.XLOOKUP(D101,beans!$A$2:$A$300,beans!$I$2:$I$300),menu!$E$2:$E$20,menu!$F$2:$F$20),IF(_xlpm.x="","",_xlpm.x))</f>
        <v>washed</v>
      </c>
      <c r="I101">
        <v>180</v>
      </c>
      <c r="J101">
        <v>60</v>
      </c>
      <c r="K101">
        <v>30</v>
      </c>
      <c r="L101">
        <v>70</v>
      </c>
      <c r="M101" s="68" t="s">
        <v>109</v>
      </c>
      <c r="N101">
        <v>80.3</v>
      </c>
      <c r="O101">
        <v>19</v>
      </c>
      <c r="P101" s="67" t="s">
        <v>292</v>
      </c>
      <c r="Q101" s="68">
        <v>201.7</v>
      </c>
      <c r="R101" s="67" t="s">
        <v>293</v>
      </c>
      <c r="S101" s="68">
        <v>218.4</v>
      </c>
      <c r="T101" s="68">
        <f t="shared" si="16"/>
        <v>16.700000000000017</v>
      </c>
      <c r="U101">
        <f t="shared" si="17"/>
        <v>145</v>
      </c>
      <c r="V101">
        <f t="shared" si="15"/>
        <v>6.9</v>
      </c>
      <c r="W101">
        <f t="shared" si="18"/>
        <v>19.23</v>
      </c>
      <c r="X101" s="19">
        <v>45283</v>
      </c>
      <c r="Y101" s="26">
        <v>221.1</v>
      </c>
      <c r="Z101" s="61">
        <v>0</v>
      </c>
      <c r="AB101" s="28">
        <f t="shared" si="14"/>
        <v>0.11560000000000002</v>
      </c>
      <c r="AC101" s="110">
        <v>66.400000000000006</v>
      </c>
      <c r="AD101" s="26">
        <v>81.599999999999994</v>
      </c>
      <c r="AE101" s="61">
        <f t="shared" si="19"/>
        <v>15.199999999999989</v>
      </c>
      <c r="AF101" s="77" t="str">
        <f>_xlfn.XLOOKUP(AD101,menu!$K$2:$K$9,menu!$J$2:$J$9,"",1)</f>
        <v>極淺</v>
      </c>
      <c r="AG101" s="80" t="str">
        <f>_xlfn.XLOOKUP(AH101,menu!$O$2:$O$9,menu!$H$2:$H$9,"")</f>
        <v>Cinamon</v>
      </c>
      <c r="AH101" s="81" t="s">
        <v>78</v>
      </c>
      <c r="AI101" t="str">
        <f>_xlfn.LET(_xlpm.x,_xlfn.CONCAT(_xlfn.XLOOKUP(D101,beans!$A$2:$A$300,beans!$J$2:$J$300,"")," / ",_xlfn.XLOOKUP(D101,beans!$A$2:$A$300,beans!$K$2:$K$300,"")," - ",_xlfn.XLOOKUP(D101,beans!$A$2:$A$300,beans!$L$2:$L$300,"")),IF(_xlpm.x=" /  - ","",_xlpm.x))</f>
        <v xml:space="preserve">耶加雪菲 / 阿若默 - </v>
      </c>
      <c r="AJ101" s="23" t="s">
        <v>294</v>
      </c>
    </row>
    <row r="102" spans="1:36" x14ac:dyDescent="0.3">
      <c r="A102">
        <v>85</v>
      </c>
      <c r="B102">
        <v>250</v>
      </c>
      <c r="D102">
        <v>41</v>
      </c>
      <c r="E102" t="str">
        <f>_xlfn.LET(_xlpm.x,_xlfn.XLOOKUP(D102,beans!$A$2:$A$300,beans!$H$2:$H$300,""),IF(_xlpm.x="","",_xlpm.x))</f>
        <v>衣索比亞</v>
      </c>
      <c r="F102" s="22" t="str">
        <f>_xlfn.XLOOKUP(E102,menu!$A$2:$A$37,menu!$B$2:$B$37,"")</f>
        <v>Ethiopia</v>
      </c>
      <c r="G102" t="str">
        <f>_xlfn.XLOOKUP(E102,menu!$A$2:$A$37,menu!$C$2:$C$37,"")</f>
        <v>eth</v>
      </c>
      <c r="H102" t="str">
        <f>_xlfn.LET(_xlpm.x,_xlfn.XLOOKUP(_xlfn.XLOOKUP(D102,beans!$A$2:$A$300,beans!$I$2:$I$300),menu!$E$2:$E$20,menu!$F$2:$F$20),IF(_xlpm.x="","",_xlpm.x))</f>
        <v>washed</v>
      </c>
      <c r="I102">
        <v>180</v>
      </c>
      <c r="J102">
        <v>60</v>
      </c>
      <c r="K102">
        <v>30</v>
      </c>
      <c r="L102">
        <v>70</v>
      </c>
      <c r="M102" s="68" t="s">
        <v>109</v>
      </c>
      <c r="N102">
        <v>80.3</v>
      </c>
      <c r="O102">
        <v>19</v>
      </c>
      <c r="P102" s="67" t="s">
        <v>292</v>
      </c>
      <c r="Q102" s="68">
        <v>201.7</v>
      </c>
      <c r="R102" s="67" t="s">
        <v>293</v>
      </c>
      <c r="S102" s="68">
        <v>218.4</v>
      </c>
      <c r="T102" s="68">
        <f t="shared" si="16"/>
        <v>16.700000000000017</v>
      </c>
      <c r="U102">
        <f t="shared" si="17"/>
        <v>145</v>
      </c>
      <c r="V102">
        <f t="shared" si="15"/>
        <v>6.9</v>
      </c>
      <c r="W102">
        <f t="shared" si="18"/>
        <v>19.23</v>
      </c>
      <c r="X102" s="19">
        <v>45283</v>
      </c>
      <c r="Y102" s="26">
        <v>214.5</v>
      </c>
      <c r="Z102" s="61">
        <v>0</v>
      </c>
      <c r="AB102" s="28">
        <f t="shared" si="14"/>
        <v>0.14199999999999999</v>
      </c>
      <c r="AC102" s="110">
        <v>66.400000000000006</v>
      </c>
      <c r="AD102" s="26">
        <v>81.599999999999994</v>
      </c>
      <c r="AE102" s="61">
        <f t="shared" si="19"/>
        <v>15.199999999999989</v>
      </c>
      <c r="AF102" s="77" t="str">
        <f>_xlfn.XLOOKUP(AD102,menu!$K$2:$K$9,menu!$J$2:$J$9,"",1)</f>
        <v>極淺</v>
      </c>
      <c r="AG102" s="80" t="str">
        <f>_xlfn.XLOOKUP(AH102,menu!$O$2:$O$9,menu!$H$2:$H$9,"")</f>
        <v>Cinamon</v>
      </c>
      <c r="AH102" s="81" t="s">
        <v>78</v>
      </c>
      <c r="AI102" t="str">
        <f>_xlfn.LET(_xlpm.x,_xlfn.CONCAT(_xlfn.XLOOKUP(D102,beans!$A$2:$A$300,beans!$J$2:$J$300,"")," / ",_xlfn.XLOOKUP(D102,beans!$A$2:$A$300,beans!$K$2:$K$300,"")," - ",_xlfn.XLOOKUP(D102,beans!$A$2:$A$300,beans!$L$2:$L$300,"")),IF(_xlpm.x=" /  - ","",_xlpm.x))</f>
        <v xml:space="preserve">耶加雪菲 / 阿若默 - </v>
      </c>
      <c r="AJ102" s="23" t="s">
        <v>294</v>
      </c>
    </row>
    <row r="103" spans="1:36" x14ac:dyDescent="0.3">
      <c r="A103">
        <v>86</v>
      </c>
      <c r="B103">
        <v>500</v>
      </c>
      <c r="D103">
        <v>41</v>
      </c>
      <c r="E103" t="str">
        <f>_xlfn.LET(_xlpm.x,_xlfn.XLOOKUP(D103,beans!$A$2:$A$300,beans!$H$2:$H$300,""),IF(_xlpm.x="","",_xlpm.x))</f>
        <v>衣索比亞</v>
      </c>
      <c r="F103" s="22" t="str">
        <f>_xlfn.XLOOKUP(E103,menu!$A$2:$A$37,menu!$B$2:$B$37,"")</f>
        <v>Ethiopia</v>
      </c>
      <c r="G103" t="str">
        <f>_xlfn.XLOOKUP(E103,menu!$A$2:$A$37,menu!$C$2:$C$37,"")</f>
        <v>eth</v>
      </c>
      <c r="H103" t="str">
        <f>_xlfn.LET(_xlpm.x,_xlfn.XLOOKUP(_xlfn.XLOOKUP(D103,beans!$A$2:$A$300,beans!$I$2:$I$300),menu!$E$2:$E$20,menu!$F$2:$F$20),IF(_xlpm.x="","",_xlpm.x))</f>
        <v>washed</v>
      </c>
      <c r="I103">
        <v>210</v>
      </c>
      <c r="J103">
        <v>70</v>
      </c>
      <c r="K103">
        <v>30</v>
      </c>
      <c r="L103">
        <v>90</v>
      </c>
      <c r="M103" s="68" t="s">
        <v>75</v>
      </c>
      <c r="N103">
        <v>83</v>
      </c>
      <c r="O103">
        <v>15</v>
      </c>
      <c r="P103" s="67" t="s">
        <v>295</v>
      </c>
      <c r="Q103" s="68">
        <v>202</v>
      </c>
      <c r="R103" s="67" t="s">
        <v>296</v>
      </c>
      <c r="S103" s="68">
        <v>227</v>
      </c>
      <c r="T103" s="68">
        <f t="shared" si="16"/>
        <v>25</v>
      </c>
      <c r="U103">
        <f t="shared" si="17"/>
        <v>156</v>
      </c>
      <c r="V103">
        <f t="shared" si="15"/>
        <v>9.6</v>
      </c>
      <c r="W103">
        <f t="shared" si="18"/>
        <v>20.66</v>
      </c>
      <c r="X103" s="19">
        <v>45283</v>
      </c>
      <c r="Y103" s="26">
        <v>420.4</v>
      </c>
      <c r="Z103" s="61">
        <v>0</v>
      </c>
      <c r="AB103" s="28">
        <f t="shared" si="14"/>
        <v>0.15920000000000004</v>
      </c>
      <c r="AE103" s="61" t="str">
        <f t="shared" si="19"/>
        <v/>
      </c>
      <c r="AF103" s="77" t="str">
        <f>_xlfn.XLOOKUP(AD103,menu!$K$2:$K$9,menu!$J$2:$J$9,"",1)</f>
        <v/>
      </c>
      <c r="AG103" s="80" t="str">
        <f>_xlfn.XLOOKUP(AH103,menu!$O$2:$O$9,menu!$H$2:$H$9,"")</f>
        <v>High</v>
      </c>
      <c r="AH103" s="81" t="s">
        <v>93</v>
      </c>
      <c r="AI103" t="str">
        <f>_xlfn.LET(_xlpm.x,_xlfn.CONCAT(_xlfn.XLOOKUP(D103,beans!$A$2:$A$300,beans!$J$2:$J$300,"")," / ",_xlfn.XLOOKUP(D103,beans!$A$2:$A$300,beans!$K$2:$K$300,"")," - ",_xlfn.XLOOKUP(D103,beans!$A$2:$A$300,beans!$L$2:$L$300,"")),IF(_xlpm.x=" /  - ","",_xlpm.x))</f>
        <v xml:space="preserve">耶加雪菲 / 阿若默 - </v>
      </c>
      <c r="AJ103" s="23" t="s">
        <v>294</v>
      </c>
    </row>
    <row r="104" spans="1:36" x14ac:dyDescent="0.3">
      <c r="A104">
        <v>87</v>
      </c>
      <c r="B104">
        <v>150</v>
      </c>
      <c r="E104" t="s">
        <v>297</v>
      </c>
      <c r="F104" s="22" t="str">
        <f>_xlfn.XLOOKUP(E104,menu!$A$2:$A$37,menu!$B$2:$B$37,"")</f>
        <v>Salvador</v>
      </c>
      <c r="G104" t="str">
        <f>_xlfn.XLOOKUP(E104,menu!$A$2:$A$37,menu!$C$2:$C$37,"")</f>
        <v>slv</v>
      </c>
      <c r="H104" t="s">
        <v>59</v>
      </c>
      <c r="I104">
        <v>200</v>
      </c>
      <c r="J104">
        <v>60</v>
      </c>
      <c r="K104">
        <v>30</v>
      </c>
      <c r="L104">
        <v>70</v>
      </c>
      <c r="M104" s="68" t="s">
        <v>217</v>
      </c>
      <c r="N104">
        <v>91.5</v>
      </c>
      <c r="O104">
        <v>14</v>
      </c>
      <c r="P104" s="67" t="s">
        <v>298</v>
      </c>
      <c r="Q104" s="68">
        <v>204.3</v>
      </c>
      <c r="R104" s="67" t="s">
        <v>299</v>
      </c>
      <c r="S104" s="68">
        <v>210.2</v>
      </c>
      <c r="T104" s="68">
        <f t="shared" si="16"/>
        <v>5.8999999999999773</v>
      </c>
      <c r="U104">
        <f t="shared" si="17"/>
        <v>63</v>
      </c>
      <c r="V104">
        <f t="shared" si="15"/>
        <v>5.6</v>
      </c>
      <c r="W104">
        <f t="shared" si="18"/>
        <v>8.15</v>
      </c>
      <c r="X104" s="19">
        <v>45285</v>
      </c>
      <c r="Z104" s="61">
        <v>0</v>
      </c>
      <c r="AB104" s="28" t="str">
        <f t="shared" si="14"/>
        <v xml:space="preserve"> </v>
      </c>
      <c r="AE104" s="61" t="str">
        <f t="shared" si="19"/>
        <v/>
      </c>
      <c r="AF104" s="77" t="str">
        <f>_xlfn.XLOOKUP(AD104,menu!$K$2:$K$9,menu!$J$2:$J$9,"",1)</f>
        <v/>
      </c>
      <c r="AG104" s="80" t="str">
        <f>_xlfn.XLOOKUP(AH104,menu!$O$2:$O$9,menu!$H$2:$H$9,"")</f>
        <v>Cinamon</v>
      </c>
      <c r="AH104" s="81" t="s">
        <v>78</v>
      </c>
      <c r="AI104" t="str">
        <f>_xlfn.LET(_xlpm.x,_xlfn.CONCAT(_xlfn.XLOOKUP(D104,beans!$A$2:$A$300,beans!$J$2:$J$300,"")," / ",_xlfn.XLOOKUP(D104,beans!$A$2:$A$300,beans!$K$2:$K$300,"")," - ",_xlfn.XLOOKUP(D104,beans!$A$2:$A$300,beans!$L$2:$L$300,"")),IF(_xlpm.x=" /  - ","",_xlpm.x))</f>
        <v/>
      </c>
      <c r="AJ104" s="23" t="s">
        <v>300</v>
      </c>
    </row>
    <row r="105" spans="1:36" x14ac:dyDescent="0.3">
      <c r="A105">
        <v>88</v>
      </c>
      <c r="B105">
        <v>250</v>
      </c>
      <c r="D105">
        <v>3</v>
      </c>
      <c r="E105" t="str">
        <f>_xlfn.LET(_xlpm.x,_xlfn.XLOOKUP(D105,beans!$A$2:$A$300,beans!$H$2:$H$300,""),IF(_xlpm.x="","",_xlpm.x))</f>
        <v>衣索比亞</v>
      </c>
      <c r="F105" s="22" t="str">
        <f>_xlfn.XLOOKUP(E105,menu!$A$2:$A$37,menu!$B$2:$B$37,"")</f>
        <v>Ethiopia</v>
      </c>
      <c r="G105" t="str">
        <f>_xlfn.XLOOKUP(E105,menu!$A$2:$A$37,menu!$C$2:$C$37,"")</f>
        <v>eth</v>
      </c>
      <c r="H105" t="str">
        <f>_xlfn.LET(_xlpm.x,_xlfn.XLOOKUP(_xlfn.XLOOKUP(D105,beans!$A$2:$A$300,beans!$I$2:$I$300),menu!$E$2:$E$20,menu!$F$2:$F$20),IF(_xlpm.x="","",_xlpm.x))</f>
        <v>washed</v>
      </c>
      <c r="I105">
        <v>200</v>
      </c>
      <c r="J105">
        <v>60</v>
      </c>
      <c r="K105">
        <v>40</v>
      </c>
      <c r="L105">
        <v>70</v>
      </c>
      <c r="M105" s="68" t="s">
        <v>125</v>
      </c>
      <c r="N105">
        <v>83.2</v>
      </c>
      <c r="O105">
        <v>14</v>
      </c>
      <c r="P105" s="67" t="s">
        <v>301</v>
      </c>
      <c r="Q105" s="68">
        <v>201.8</v>
      </c>
      <c r="R105" s="67" t="s">
        <v>302</v>
      </c>
      <c r="S105" s="68">
        <v>215.4</v>
      </c>
      <c r="T105" s="68">
        <f t="shared" si="16"/>
        <v>13.599999999999994</v>
      </c>
      <c r="U105">
        <f t="shared" si="17"/>
        <v>99</v>
      </c>
      <c r="V105">
        <f t="shared" si="15"/>
        <v>8.1999999999999993</v>
      </c>
      <c r="W105">
        <f t="shared" si="18"/>
        <v>13.18</v>
      </c>
      <c r="X105" s="19">
        <v>45285</v>
      </c>
      <c r="Y105" s="26">
        <v>214</v>
      </c>
      <c r="Z105" s="61">
        <v>0</v>
      </c>
      <c r="AB105" s="28">
        <f t="shared" si="14"/>
        <v>0.14399999999999999</v>
      </c>
      <c r="AC105" s="110">
        <v>54.1</v>
      </c>
      <c r="AD105" s="26">
        <v>75.8</v>
      </c>
      <c r="AE105" s="61">
        <f t="shared" si="19"/>
        <v>21.699999999999996</v>
      </c>
      <c r="AF105" s="77" t="str">
        <f>_xlfn.XLOOKUP(AD105,menu!$K$2:$K$9,menu!$J$2:$J$9,"",1)</f>
        <v>淺</v>
      </c>
      <c r="AG105" s="80" t="str">
        <f>_xlfn.XLOOKUP(AH105,menu!$O$2:$O$9,menu!$H$2:$H$9,"")</f>
        <v>Cinamon</v>
      </c>
      <c r="AH105" s="81" t="s">
        <v>78</v>
      </c>
      <c r="AI105" t="str">
        <f>_xlfn.LET(_xlpm.x,_xlfn.CONCAT(_xlfn.XLOOKUP(D105,beans!$A$2:$A$300,beans!$J$2:$J$300,"")," / ",_xlfn.XLOOKUP(D105,beans!$A$2:$A$300,beans!$K$2:$K$300,"")," - ",_xlfn.XLOOKUP(D105,beans!$A$2:$A$300,beans!$L$2:$L$300,"")),IF(_xlpm.x=" /  - ","",_xlpm.x))</f>
        <v>西達摩/西達馬 / 茉莉雅 - Heirloom</v>
      </c>
      <c r="AJ105" s="23" t="s">
        <v>303</v>
      </c>
    </row>
    <row r="106" spans="1:36" x14ac:dyDescent="0.3">
      <c r="A106">
        <v>89</v>
      </c>
      <c r="B106">
        <v>200</v>
      </c>
      <c r="E106" t="s">
        <v>304</v>
      </c>
      <c r="F106" s="22" t="str">
        <f>_xlfn.XLOOKUP(E106,menu!$A$2:$A$37,menu!$B$2:$B$37,"")</f>
        <v>Guatemala</v>
      </c>
      <c r="G106" t="str">
        <f>_xlfn.XLOOKUP(E106,menu!$A$2:$A$37,menu!$C$2:$C$37,"")</f>
        <v>gtm</v>
      </c>
      <c r="H106" t="s">
        <v>44</v>
      </c>
      <c r="I106">
        <v>190</v>
      </c>
      <c r="J106">
        <v>60</v>
      </c>
      <c r="K106">
        <v>30</v>
      </c>
      <c r="L106">
        <v>70</v>
      </c>
      <c r="M106" s="68" t="s">
        <v>188</v>
      </c>
      <c r="N106">
        <v>85.1</v>
      </c>
      <c r="O106">
        <v>14</v>
      </c>
      <c r="P106" s="67" t="s">
        <v>208</v>
      </c>
      <c r="Q106" s="68">
        <v>209.5</v>
      </c>
      <c r="R106" s="67" t="s">
        <v>305</v>
      </c>
      <c r="S106" s="68">
        <v>218</v>
      </c>
      <c r="T106" s="68">
        <f t="shared" si="16"/>
        <v>8.5</v>
      </c>
      <c r="U106">
        <f t="shared" si="17"/>
        <v>46</v>
      </c>
      <c r="V106">
        <f t="shared" si="15"/>
        <v>11.1</v>
      </c>
      <c r="W106">
        <f t="shared" si="18"/>
        <v>6.64</v>
      </c>
      <c r="X106" s="19">
        <v>45285</v>
      </c>
      <c r="Z106" s="61">
        <v>0</v>
      </c>
      <c r="AB106" s="28" t="str">
        <f t="shared" si="14"/>
        <v xml:space="preserve"> </v>
      </c>
      <c r="AE106" s="61" t="str">
        <f t="shared" si="19"/>
        <v/>
      </c>
      <c r="AF106" s="77" t="str">
        <f>_xlfn.XLOOKUP(AD106,menu!$K$2:$K$9,menu!$J$2:$J$9,"",1)</f>
        <v/>
      </c>
      <c r="AG106" s="80" t="str">
        <f>_xlfn.XLOOKUP(AH106,menu!$O$2:$O$9,menu!$H$2:$H$9,"")</f>
        <v>Cinamon</v>
      </c>
      <c r="AH106" s="81" t="s">
        <v>78</v>
      </c>
      <c r="AI106" t="str">
        <f>_xlfn.LET(_xlpm.x,_xlfn.CONCAT(_xlfn.XLOOKUP(D106,beans!$A$2:$A$300,beans!$J$2:$J$300,"")," / ",_xlfn.XLOOKUP(D106,beans!$A$2:$A$300,beans!$K$2:$K$300,"")," - ",_xlfn.XLOOKUP(D106,beans!$A$2:$A$300,beans!$L$2:$L$300,"")),IF(_xlpm.x=" /  - ","",_xlpm.x))</f>
        <v/>
      </c>
      <c r="AJ106" s="23" t="s">
        <v>306</v>
      </c>
    </row>
    <row r="107" spans="1:36" x14ac:dyDescent="0.3">
      <c r="A107">
        <v>90</v>
      </c>
      <c r="B107">
        <v>280</v>
      </c>
      <c r="D107">
        <v>4</v>
      </c>
      <c r="E107" t="str">
        <f>_xlfn.LET(_xlpm.x,_xlfn.XLOOKUP(D107,beans!$A$2:$A$300,beans!$H$2:$H$300,""),IF(_xlpm.x="","",_xlpm.x))</f>
        <v>衣索比亞</v>
      </c>
      <c r="F107" s="22" t="str">
        <f>_xlfn.XLOOKUP(E107,menu!$A$2:$A$37,menu!$B$2:$B$37,"")</f>
        <v>Ethiopia</v>
      </c>
      <c r="G107" t="str">
        <f>_xlfn.XLOOKUP(E107,menu!$A$2:$A$37,menu!$C$2:$C$37,"")</f>
        <v>eth</v>
      </c>
      <c r="H107" t="str">
        <f>_xlfn.LET(_xlpm.x,_xlfn.XLOOKUP(_xlfn.XLOOKUP(D107,beans!$A$2:$A$300,beans!$I$2:$I$300),menu!$E$2:$E$20,menu!$F$2:$F$20),IF(_xlpm.x="","",_xlpm.x))</f>
        <v>red-honey</v>
      </c>
      <c r="I107">
        <v>200</v>
      </c>
      <c r="J107">
        <v>60</v>
      </c>
      <c r="K107">
        <v>40</v>
      </c>
      <c r="L107">
        <v>70</v>
      </c>
      <c r="M107" s="68" t="s">
        <v>109</v>
      </c>
      <c r="N107">
        <v>81.8</v>
      </c>
      <c r="O107">
        <v>13</v>
      </c>
      <c r="P107" s="67" t="s">
        <v>165</v>
      </c>
      <c r="Q107" s="68">
        <v>194.3</v>
      </c>
      <c r="R107" s="67" t="s">
        <v>269</v>
      </c>
      <c r="S107" s="68">
        <v>212</v>
      </c>
      <c r="T107" s="68">
        <f t="shared" si="16"/>
        <v>17.699999999999989</v>
      </c>
      <c r="U107">
        <f t="shared" si="17"/>
        <v>110</v>
      </c>
      <c r="V107">
        <f t="shared" si="15"/>
        <v>9.6999999999999993</v>
      </c>
      <c r="W107">
        <f t="shared" si="18"/>
        <v>14.73</v>
      </c>
      <c r="X107" s="19">
        <v>45285</v>
      </c>
      <c r="Y107" s="26">
        <v>241</v>
      </c>
      <c r="Z107" s="61">
        <v>0</v>
      </c>
      <c r="AB107" s="28">
        <f t="shared" si="14"/>
        <v>0.13928571428571429</v>
      </c>
      <c r="AC107" s="110">
        <v>70.599999999999994</v>
      </c>
      <c r="AD107" s="26">
        <v>84.3</v>
      </c>
      <c r="AE107" s="61">
        <f t="shared" si="19"/>
        <v>13.700000000000003</v>
      </c>
      <c r="AF107" s="77" t="str">
        <f>_xlfn.XLOOKUP(AD107,menu!$K$2:$K$9,menu!$J$2:$J$9,"",1)</f>
        <v>極淺</v>
      </c>
      <c r="AG107" s="80" t="str">
        <f>_xlfn.XLOOKUP(AH107,menu!$O$2:$O$9,menu!$H$2:$H$9,"")</f>
        <v>Medium</v>
      </c>
      <c r="AH107" s="81" t="s">
        <v>72</v>
      </c>
      <c r="AI107" t="str">
        <f>_xlfn.LET(_xlpm.x,_xlfn.CONCAT(_xlfn.XLOOKUP(D107,beans!$A$2:$A$300,beans!$J$2:$J$300,"")," / ",_xlfn.XLOOKUP(D107,beans!$A$2:$A$300,beans!$K$2:$K$300,"")," - ",_xlfn.XLOOKUP(D107,beans!$A$2:$A$300,beans!$L$2:$L$300,"")),IF(_xlpm.x=" /  - ","",_xlpm.x))</f>
        <v>古吉 罕貝拉 / 月見野櫻花 - Heirloom</v>
      </c>
      <c r="AJ107" s="23" t="s">
        <v>307</v>
      </c>
    </row>
    <row r="108" spans="1:36" x14ac:dyDescent="0.3">
      <c r="A108">
        <v>91</v>
      </c>
      <c r="B108">
        <v>280</v>
      </c>
      <c r="D108">
        <v>4</v>
      </c>
      <c r="E108" t="str">
        <f>_xlfn.LET(_xlpm.x,_xlfn.XLOOKUP(D108,beans!$A$2:$A$300,beans!$H$2:$H$300,""),IF(_xlpm.x="","",_xlpm.x))</f>
        <v>衣索比亞</v>
      </c>
      <c r="F108" s="22" t="str">
        <f>_xlfn.XLOOKUP(E108,menu!$A$2:$A$37,menu!$B$2:$B$37,"")</f>
        <v>Ethiopia</v>
      </c>
      <c r="G108" t="str">
        <f>_xlfn.XLOOKUP(E108,menu!$A$2:$A$37,menu!$C$2:$C$37,"")</f>
        <v>eth</v>
      </c>
      <c r="H108" t="str">
        <f>_xlfn.LET(_xlpm.x,_xlfn.XLOOKUP(_xlfn.XLOOKUP(D108,beans!$A$2:$A$300,beans!$I$2:$I$300),menu!$E$2:$E$20,menu!$F$2:$F$20),IF(_xlpm.x="","",_xlpm.x))</f>
        <v>red-honey</v>
      </c>
      <c r="I108">
        <v>190</v>
      </c>
      <c r="J108">
        <v>60</v>
      </c>
      <c r="K108">
        <v>35</v>
      </c>
      <c r="L108">
        <v>80</v>
      </c>
      <c r="M108" s="68" t="s">
        <v>188</v>
      </c>
      <c r="N108">
        <v>82</v>
      </c>
      <c r="O108">
        <v>13</v>
      </c>
      <c r="P108" s="67" t="s">
        <v>301</v>
      </c>
      <c r="Q108" s="68">
        <v>203.2</v>
      </c>
      <c r="R108" s="67" t="s">
        <v>308</v>
      </c>
      <c r="S108" s="68">
        <v>219.9</v>
      </c>
      <c r="T108" s="68">
        <f t="shared" si="16"/>
        <v>16.700000000000017</v>
      </c>
      <c r="U108">
        <f t="shared" si="17"/>
        <v>108</v>
      </c>
      <c r="V108">
        <f t="shared" si="15"/>
        <v>9.3000000000000007</v>
      </c>
      <c r="W108">
        <f t="shared" si="18"/>
        <v>14.21</v>
      </c>
      <c r="X108" s="19">
        <v>45285</v>
      </c>
      <c r="Y108" s="26">
        <v>239</v>
      </c>
      <c r="Z108" s="61">
        <v>0</v>
      </c>
      <c r="AB108" s="28">
        <f t="shared" si="14"/>
        <v>0.14642857142857144</v>
      </c>
      <c r="AC108" s="110">
        <v>48.7</v>
      </c>
      <c r="AD108" s="26">
        <v>71.3</v>
      </c>
      <c r="AE108" s="61">
        <f t="shared" si="19"/>
        <v>22.599999999999994</v>
      </c>
      <c r="AF108" s="77" t="str">
        <f>_xlfn.XLOOKUP(AD108,menu!$K$2:$K$9,menu!$J$2:$J$9,"",1)</f>
        <v>淺</v>
      </c>
      <c r="AG108" s="80" t="str">
        <f>_xlfn.XLOOKUP(AH108,menu!$O$2:$O$9,menu!$H$2:$H$9,"")</f>
        <v>Medium</v>
      </c>
      <c r="AH108" s="81" t="s">
        <v>72</v>
      </c>
      <c r="AI108" t="str">
        <f>_xlfn.LET(_xlpm.x,_xlfn.CONCAT(_xlfn.XLOOKUP(D108,beans!$A$2:$A$300,beans!$J$2:$J$300,"")," / ",_xlfn.XLOOKUP(D108,beans!$A$2:$A$300,beans!$K$2:$K$300,"")," - ",_xlfn.XLOOKUP(D108,beans!$A$2:$A$300,beans!$L$2:$L$300,"")),IF(_xlpm.x=" /  - ","",_xlpm.x))</f>
        <v>古吉 罕貝拉 / 月見野櫻花 - Heirloom</v>
      </c>
      <c r="AJ108" s="23" t="s">
        <v>309</v>
      </c>
    </row>
    <row r="109" spans="1:36" x14ac:dyDescent="0.3">
      <c r="A109">
        <v>92</v>
      </c>
      <c r="B109">
        <v>250</v>
      </c>
      <c r="D109">
        <v>2</v>
      </c>
      <c r="E109" t="str">
        <f>_xlfn.LET(_xlpm.x,_xlfn.XLOOKUP(D109,beans!$A$2:$A$300,beans!$H$2:$H$300,""),IF(_xlpm.x="","",_xlpm.x))</f>
        <v>哥斯大黎加</v>
      </c>
      <c r="F109" s="22" t="str">
        <f>_xlfn.XLOOKUP(E109,menu!$A$2:$A$37,menu!$B$2:$B$37,"")</f>
        <v>Costa Rica</v>
      </c>
      <c r="G109" t="str">
        <f>_xlfn.XLOOKUP(E109,menu!$A$2:$A$37,menu!$C$2:$C$37,"")</f>
        <v>cri</v>
      </c>
      <c r="H109" t="str">
        <f>_xlfn.LET(_xlpm.x,_xlfn.XLOOKUP(_xlfn.XLOOKUP(D109,beans!$A$2:$A$300,beans!$I$2:$I$300),menu!$E$2:$E$20,menu!$F$2:$F$20),IF(_xlpm.x="","",_xlpm.x))</f>
        <v>raisin-honey</v>
      </c>
      <c r="I109">
        <v>200</v>
      </c>
      <c r="J109">
        <v>70</v>
      </c>
      <c r="K109">
        <v>60</v>
      </c>
      <c r="L109">
        <v>75</v>
      </c>
      <c r="M109" s="68" t="s">
        <v>207</v>
      </c>
      <c r="N109">
        <v>84.3</v>
      </c>
      <c r="O109">
        <v>15</v>
      </c>
      <c r="P109" s="67" t="s">
        <v>268</v>
      </c>
      <c r="Q109" s="68">
        <v>197.2</v>
      </c>
      <c r="R109" s="67" t="s">
        <v>310</v>
      </c>
      <c r="S109" s="68">
        <v>212</v>
      </c>
      <c r="T109" s="68">
        <f t="shared" si="16"/>
        <v>14.800000000000011</v>
      </c>
      <c r="U109">
        <f t="shared" si="17"/>
        <v>92</v>
      </c>
      <c r="V109">
        <f t="shared" si="15"/>
        <v>9.6999999999999993</v>
      </c>
      <c r="W109">
        <f t="shared" si="18"/>
        <v>12.59</v>
      </c>
      <c r="X109" s="19">
        <v>45286</v>
      </c>
      <c r="Y109" s="26">
        <v>218.7</v>
      </c>
      <c r="Z109" s="61">
        <v>0</v>
      </c>
      <c r="AB109" s="28">
        <f t="shared" si="14"/>
        <v>0.12520000000000003</v>
      </c>
      <c r="AE109" s="61" t="str">
        <f t="shared" si="19"/>
        <v/>
      </c>
      <c r="AF109" s="77" t="str">
        <f>_xlfn.XLOOKUP(AD109,menu!$K$2:$K$9,menu!$J$2:$J$9,"",1)</f>
        <v/>
      </c>
      <c r="AG109" s="80" t="str">
        <f>_xlfn.XLOOKUP(AH109,menu!$O$2:$O$9,menu!$H$2:$H$9,"")</f>
        <v>Cinamon</v>
      </c>
      <c r="AH109" s="81" t="s">
        <v>78</v>
      </c>
      <c r="AI109" t="str">
        <f>_xlfn.LET(_xlpm.x,_xlfn.CONCAT(_xlfn.XLOOKUP(D109,beans!$A$2:$A$300,beans!$J$2:$J$300,"")," / ",_xlfn.XLOOKUP(D109,beans!$A$2:$A$300,beans!$K$2:$K$300,"")," - ",_xlfn.XLOOKUP(D109,beans!$A$2:$A$300,beans!$L$2:$L$300,"")),IF(_xlpm.x=" /  - ","",_xlpm.x))</f>
        <v xml:space="preserve">Tarrazu / 卡內特 音樂家系列 莫札特 - </v>
      </c>
      <c r="AJ109" s="23" t="s">
        <v>311</v>
      </c>
    </row>
    <row r="110" spans="1:36" x14ac:dyDescent="0.3">
      <c r="A110">
        <v>93</v>
      </c>
      <c r="B110">
        <v>250</v>
      </c>
      <c r="C110">
        <v>8</v>
      </c>
      <c r="D110">
        <v>53</v>
      </c>
      <c r="E110" t="str">
        <f>_xlfn.LET(_xlpm.x,_xlfn.XLOOKUP(D110,beans!$A$2:$A$300,beans!$H$2:$H$300,""),IF(_xlpm.x="","",_xlpm.x))</f>
        <v>衣索比亞</v>
      </c>
      <c r="F110" s="22" t="str">
        <f>_xlfn.XLOOKUP(E110,menu!$A$2:$A$37,menu!$B$2:$B$37,"")</f>
        <v>Ethiopia</v>
      </c>
      <c r="G110" t="str">
        <f>_xlfn.XLOOKUP(E110,menu!$A$2:$A$37,menu!$C$2:$C$37,"")</f>
        <v>eth</v>
      </c>
      <c r="H110" t="str">
        <f>_xlfn.LET(_xlpm.x,_xlfn.XLOOKUP(_xlfn.XLOOKUP(D110,beans!$A$2:$A$300,beans!$I$2:$I$300),menu!$E$2:$E$20,menu!$F$2:$F$20),IF(_xlpm.x="","",_xlpm.x))</f>
        <v>Anaerobic Natural</v>
      </c>
      <c r="I110">
        <v>200</v>
      </c>
      <c r="J110">
        <v>55</v>
      </c>
      <c r="K110">
        <v>50</v>
      </c>
      <c r="L110">
        <v>70</v>
      </c>
      <c r="M110" s="68" t="s">
        <v>75</v>
      </c>
      <c r="N110">
        <v>84.6</v>
      </c>
      <c r="O110">
        <v>15</v>
      </c>
      <c r="P110" s="67" t="s">
        <v>312</v>
      </c>
      <c r="Q110" s="68">
        <v>206.3</v>
      </c>
      <c r="R110" s="67" t="s">
        <v>313</v>
      </c>
      <c r="S110" s="68">
        <v>218.3</v>
      </c>
      <c r="T110" s="68">
        <f t="shared" si="16"/>
        <v>12</v>
      </c>
      <c r="U110">
        <f t="shared" si="17"/>
        <v>87</v>
      </c>
      <c r="V110">
        <f t="shared" si="15"/>
        <v>8.3000000000000007</v>
      </c>
      <c r="W110">
        <f t="shared" si="18"/>
        <v>11.63</v>
      </c>
      <c r="X110" s="19">
        <v>45290</v>
      </c>
      <c r="Y110" s="26">
        <v>213.6</v>
      </c>
      <c r="Z110" s="61">
        <v>0</v>
      </c>
      <c r="AB110" s="28">
        <f t="shared" si="14"/>
        <v>0.14560000000000003</v>
      </c>
      <c r="AC110" s="110">
        <v>46.3</v>
      </c>
      <c r="AD110" s="26">
        <v>60</v>
      </c>
      <c r="AE110" s="61">
        <f t="shared" si="19"/>
        <v>13.700000000000003</v>
      </c>
      <c r="AF110" s="77" t="str">
        <f>_xlfn.XLOOKUP(AD110,menu!$K$2:$K$9,menu!$J$2:$J$9,"",1)</f>
        <v>中</v>
      </c>
      <c r="AG110" s="80" t="str">
        <f>_xlfn.XLOOKUP(AH110,menu!$O$2:$O$9,menu!$H$2:$H$9,"")</f>
        <v>Medium</v>
      </c>
      <c r="AH110" s="81" t="s">
        <v>72</v>
      </c>
      <c r="AI110" t="str">
        <f>_xlfn.LET(_xlpm.x,_xlfn.CONCAT(_xlfn.XLOOKUP(D110,beans!$A$2:$A$300,beans!$J$2:$J$300,"")," / ",_xlfn.XLOOKUP(D110,beans!$A$2:$A$300,beans!$K$2:$K$300,"")," - ",_xlfn.XLOOKUP(D110,beans!$A$2:$A$300,beans!$L$2:$L$300,"")),IF(_xlpm.x=" /  - ","",_xlpm.x))</f>
        <v>耶加雪菲 / 切切雷(Chelchele) - 原生種</v>
      </c>
      <c r="AJ110" s="23" t="s">
        <v>314</v>
      </c>
    </row>
    <row r="111" spans="1:36" x14ac:dyDescent="0.3">
      <c r="A111">
        <v>94</v>
      </c>
      <c r="B111">
        <v>250</v>
      </c>
      <c r="D111">
        <v>24</v>
      </c>
      <c r="E111" t="str">
        <f>_xlfn.LET(_xlpm.x,_xlfn.XLOOKUP(D111,beans!$A$2:$A$300,beans!$H$2:$H$300,""),IF(_xlpm.x="","",_xlpm.x))</f>
        <v>肯亞</v>
      </c>
      <c r="F111" s="22" t="str">
        <f>_xlfn.XLOOKUP(E111,menu!$A$2:$A$37,menu!$B$2:$B$37,"")</f>
        <v>Kenya</v>
      </c>
      <c r="G111" t="str">
        <f>_xlfn.XLOOKUP(E111,menu!$A$2:$A$37,menu!$C$2:$C$37,"")</f>
        <v>ken</v>
      </c>
      <c r="H111" t="str">
        <f>_xlfn.LET(_xlpm.x,_xlfn.XLOOKUP(_xlfn.XLOOKUP(D111,beans!$A$2:$A$300,beans!$I$2:$I$300),menu!$E$2:$E$20,menu!$F$2:$F$20),IF(_xlpm.x="","",_xlpm.x))</f>
        <v>washed</v>
      </c>
      <c r="I111">
        <v>200</v>
      </c>
      <c r="J111">
        <v>70</v>
      </c>
      <c r="K111">
        <v>30</v>
      </c>
      <c r="L111">
        <v>70</v>
      </c>
      <c r="M111" s="68" t="s">
        <v>75</v>
      </c>
      <c r="N111">
        <v>87.4</v>
      </c>
      <c r="O111">
        <v>20</v>
      </c>
      <c r="P111" s="67" t="s">
        <v>243</v>
      </c>
      <c r="Q111" s="68">
        <v>204.3</v>
      </c>
      <c r="R111" s="67" t="s">
        <v>315</v>
      </c>
      <c r="S111" s="68">
        <v>230.6</v>
      </c>
      <c r="T111" s="68">
        <f t="shared" si="16"/>
        <v>26.299999999999983</v>
      </c>
      <c r="U111">
        <f t="shared" si="17"/>
        <v>154</v>
      </c>
      <c r="V111">
        <f t="shared" si="15"/>
        <v>10.199999999999999</v>
      </c>
      <c r="W111">
        <f t="shared" si="18"/>
        <v>20.21</v>
      </c>
      <c r="X111" s="19">
        <v>45290</v>
      </c>
      <c r="Y111" s="26">
        <v>209</v>
      </c>
      <c r="Z111" s="61">
        <v>0</v>
      </c>
      <c r="AB111" s="28">
        <f t="shared" si="14"/>
        <v>0.16400000000000001</v>
      </c>
      <c r="AC111" s="110">
        <v>38.799999999999997</v>
      </c>
      <c r="AD111" s="26">
        <v>43.7</v>
      </c>
      <c r="AE111" s="61">
        <f t="shared" si="19"/>
        <v>4.9000000000000057</v>
      </c>
      <c r="AF111" s="77" t="str">
        <f>_xlfn.XLOOKUP(AD111,menu!$K$2:$K$9,menu!$J$2:$J$9,"",1)</f>
        <v>中深</v>
      </c>
      <c r="AG111" s="80" t="str">
        <f>_xlfn.XLOOKUP(AH111,menu!$O$2:$O$9,menu!$H$2:$H$9,"")</f>
        <v>Medium</v>
      </c>
      <c r="AH111" s="81" t="s">
        <v>72</v>
      </c>
      <c r="AI111" t="str">
        <f>_xlfn.LET(_xlpm.x,_xlfn.CONCAT(_xlfn.XLOOKUP(D111,beans!$A$2:$A$300,beans!$J$2:$J$300,"")," / ",_xlfn.XLOOKUP(D111,beans!$A$2:$A$300,beans!$K$2:$K$300,"")," - ",_xlfn.XLOOKUP(D111,beans!$A$2:$A$300,beans!$L$2:$L$300,"")),IF(_xlpm.x=" /  - ","",_xlpm.x))</f>
        <v>麒麟雅加 / 奇雅沐谷 - SL28 / Ruiru 11 / Batian</v>
      </c>
      <c r="AJ111" s="23" t="s">
        <v>316</v>
      </c>
    </row>
    <row r="112" spans="1:36" x14ac:dyDescent="0.3">
      <c r="A112">
        <v>95</v>
      </c>
      <c r="B112">
        <v>250</v>
      </c>
      <c r="D112">
        <v>26</v>
      </c>
      <c r="E112" t="str">
        <f>_xlfn.LET(_xlpm.x,_xlfn.XLOOKUP(D112,beans!$A$2:$A$300,beans!$H$2:$H$300,""),IF(_xlpm.x="","",_xlpm.x))</f>
        <v>肯亞</v>
      </c>
      <c r="F112" s="22" t="str">
        <f>_xlfn.XLOOKUP(E112,menu!$A$2:$A$37,menu!$B$2:$B$37,"")</f>
        <v>Kenya</v>
      </c>
      <c r="G112" t="str">
        <f>_xlfn.XLOOKUP(E112,menu!$A$2:$A$37,menu!$C$2:$C$37,"")</f>
        <v>ken</v>
      </c>
      <c r="H112" t="str">
        <f>_xlfn.LET(_xlpm.x,_xlfn.XLOOKUP(_xlfn.XLOOKUP(D112,beans!$A$2:$A$300,beans!$I$2:$I$300),menu!$E$2:$E$20,menu!$F$2:$F$20),IF(_xlpm.x="","",_xlpm.x))</f>
        <v>washed</v>
      </c>
      <c r="I112">
        <v>200</v>
      </c>
      <c r="J112">
        <v>70</v>
      </c>
      <c r="K112">
        <v>30</v>
      </c>
      <c r="L112">
        <v>70</v>
      </c>
      <c r="M112" s="68" t="s">
        <v>109</v>
      </c>
      <c r="N112">
        <v>87</v>
      </c>
      <c r="O112">
        <v>18</v>
      </c>
      <c r="P112" s="67" t="s">
        <v>202</v>
      </c>
      <c r="Q112" s="68">
        <v>201.5</v>
      </c>
      <c r="R112" s="67" t="s">
        <v>317</v>
      </c>
      <c r="S112" s="68">
        <v>227.9</v>
      </c>
      <c r="T112" s="68">
        <f t="shared" si="16"/>
        <v>26.400000000000006</v>
      </c>
      <c r="U112">
        <f t="shared" si="17"/>
        <v>159</v>
      </c>
      <c r="V112">
        <f t="shared" si="15"/>
        <v>10</v>
      </c>
      <c r="W112">
        <f t="shared" si="18"/>
        <v>20.36</v>
      </c>
      <c r="X112" s="19">
        <v>45290</v>
      </c>
      <c r="Y112" s="26">
        <v>212.2</v>
      </c>
      <c r="Z112" s="61">
        <v>0</v>
      </c>
      <c r="AB112" s="28">
        <f t="shared" si="14"/>
        <v>0.15120000000000006</v>
      </c>
      <c r="AC112" s="110">
        <v>41.5</v>
      </c>
      <c r="AD112" s="26">
        <v>48.5</v>
      </c>
      <c r="AE112" s="61">
        <f t="shared" si="19"/>
        <v>7</v>
      </c>
      <c r="AF112" s="77" t="str">
        <f>_xlfn.XLOOKUP(AD112,menu!$K$2:$K$9,menu!$J$2:$J$9,"",1)</f>
        <v>中深</v>
      </c>
      <c r="AG112" s="80" t="str">
        <f>_xlfn.XLOOKUP(AH112,menu!$O$2:$O$9,menu!$H$2:$H$9,"")</f>
        <v>Medium</v>
      </c>
      <c r="AH112" s="81" t="s">
        <v>72</v>
      </c>
      <c r="AI112" t="str">
        <f>_xlfn.LET(_xlpm.x,_xlfn.CONCAT(_xlfn.XLOOKUP(D112,beans!$A$2:$A$300,beans!$J$2:$J$300,"")," / ",_xlfn.XLOOKUP(D112,beans!$A$2:$A$300,beans!$K$2:$K$300,"")," - ",_xlfn.XLOOKUP(D112,beans!$A$2:$A$300,beans!$L$2:$L$300,"")),IF(_xlpm.x=" /  - ","",_xlpm.x))</f>
        <v>恩布 / 吉查羅利 - SL28 / Ruiru 11 / Batian</v>
      </c>
      <c r="AJ112" s="23" t="s">
        <v>303</v>
      </c>
    </row>
    <row r="113" spans="1:36" x14ac:dyDescent="0.3">
      <c r="A113">
        <v>96</v>
      </c>
      <c r="B113">
        <v>250</v>
      </c>
      <c r="D113">
        <v>6</v>
      </c>
      <c r="E113" t="str">
        <f>_xlfn.LET(_xlpm.x,_xlfn.XLOOKUP(D113,beans!$A$2:$A$300,beans!$H$2:$H$300,""),IF(_xlpm.x="","",_xlpm.x))</f>
        <v>肯亞</v>
      </c>
      <c r="F113" s="22" t="str">
        <f>_xlfn.XLOOKUP(E113,menu!$A$2:$A$37,menu!$B$2:$B$37,"")</f>
        <v>Kenya</v>
      </c>
      <c r="G113" t="str">
        <f>_xlfn.XLOOKUP(E113,menu!$A$2:$A$37,menu!$C$2:$C$37,"")</f>
        <v>ken</v>
      </c>
      <c r="H113" t="str">
        <f>_xlfn.LET(_xlpm.x,_xlfn.XLOOKUP(_xlfn.XLOOKUP(D113,beans!$A$2:$A$300,beans!$I$2:$I$300),menu!$E$2:$E$20,menu!$F$2:$F$20),IF(_xlpm.x="","",_xlpm.x))</f>
        <v>washed</v>
      </c>
      <c r="I113">
        <v>200</v>
      </c>
      <c r="J113">
        <v>60</v>
      </c>
      <c r="K113">
        <v>35</v>
      </c>
      <c r="L113">
        <v>70</v>
      </c>
      <c r="M113" s="68" t="s">
        <v>318</v>
      </c>
      <c r="N113">
        <v>84.9</v>
      </c>
      <c r="O113">
        <v>15</v>
      </c>
      <c r="P113" s="67" t="s">
        <v>319</v>
      </c>
      <c r="Q113" s="68">
        <v>200.4</v>
      </c>
      <c r="R113" s="67" t="s">
        <v>106</v>
      </c>
      <c r="S113" s="68">
        <v>211.9</v>
      </c>
      <c r="T113" s="68">
        <f t="shared" si="16"/>
        <v>11.5</v>
      </c>
      <c r="U113">
        <f t="shared" si="17"/>
        <v>96</v>
      </c>
      <c r="V113">
        <f t="shared" si="15"/>
        <v>7.2</v>
      </c>
      <c r="W113">
        <f t="shared" si="18"/>
        <v>12.82</v>
      </c>
      <c r="X113" s="19">
        <v>45292</v>
      </c>
      <c r="Y113" s="26">
        <v>216.1</v>
      </c>
      <c r="Z113" s="61">
        <v>0</v>
      </c>
      <c r="AB113" s="28">
        <f t="shared" si="14"/>
        <v>0.13560000000000003</v>
      </c>
      <c r="AC113" s="110">
        <v>53.1</v>
      </c>
      <c r="AD113" s="26">
        <v>66.7</v>
      </c>
      <c r="AE113" s="61">
        <f t="shared" si="19"/>
        <v>13.600000000000001</v>
      </c>
      <c r="AF113" s="77" t="str">
        <f>_xlfn.XLOOKUP(AD113,menu!$K$2:$K$9,menu!$J$2:$J$9,"",1)</f>
        <v>中淺</v>
      </c>
      <c r="AG113" s="80" t="str">
        <f>_xlfn.XLOOKUP(AH113,menu!$O$2:$O$9,menu!$H$2:$H$9,"")</f>
        <v>Medium</v>
      </c>
      <c r="AH113" s="81" t="s">
        <v>72</v>
      </c>
      <c r="AI113" t="str">
        <f>_xlfn.LET(_xlpm.x,_xlfn.CONCAT(_xlfn.XLOOKUP(D113,beans!$A$2:$A$300,beans!$J$2:$J$300,"")," / ",_xlfn.XLOOKUP(D113,beans!$A$2:$A$300,beans!$K$2:$K$300,"")," - ",_xlfn.XLOOKUP(D113,beans!$A$2:$A$300,beans!$L$2:$L$300,"")),IF(_xlpm.x=" /  - ","",_xlpm.x))</f>
        <v>東非大裂谷產區 / 烏克栗栗/黑莓皇后 - SL28, SL34, 少許Ruiru以及Batian</v>
      </c>
      <c r="AJ113" s="23" t="s">
        <v>320</v>
      </c>
    </row>
    <row r="114" spans="1:36" x14ac:dyDescent="0.3">
      <c r="A114">
        <v>97</v>
      </c>
      <c r="B114">
        <v>250</v>
      </c>
      <c r="C114">
        <v>7</v>
      </c>
      <c r="D114">
        <v>53</v>
      </c>
      <c r="E114" t="str">
        <f>_xlfn.LET(_xlpm.x,_xlfn.XLOOKUP(D114,beans!$A$2:$A$300,beans!$H$2:$H$300,""),IF(_xlpm.x="","",_xlpm.x))</f>
        <v>衣索比亞</v>
      </c>
      <c r="F114" s="22" t="str">
        <f>_xlfn.XLOOKUP(E114,menu!$A$2:$A$37,menu!$B$2:$B$37,"")</f>
        <v>Ethiopia</v>
      </c>
      <c r="G114" t="str">
        <f>_xlfn.XLOOKUP(E114,menu!$A$2:$A$37,menu!$C$2:$C$37,"")</f>
        <v>eth</v>
      </c>
      <c r="H114" t="str">
        <f>_xlfn.LET(_xlpm.x,_xlfn.XLOOKUP(_xlfn.XLOOKUP(D114,beans!$A$2:$A$300,beans!$I$2:$I$300),menu!$E$2:$E$20,menu!$F$2:$F$20),IF(_xlpm.x="","",_xlpm.x))</f>
        <v>Anaerobic Natural</v>
      </c>
      <c r="I114">
        <v>200</v>
      </c>
      <c r="J114">
        <v>55</v>
      </c>
      <c r="K114">
        <v>50</v>
      </c>
      <c r="L114">
        <v>70</v>
      </c>
      <c r="M114" s="68" t="s">
        <v>75</v>
      </c>
      <c r="N114">
        <v>87.3</v>
      </c>
      <c r="O114">
        <v>15</v>
      </c>
      <c r="P114" s="67" t="s">
        <v>82</v>
      </c>
      <c r="Q114" s="68">
        <v>206.9</v>
      </c>
      <c r="R114" s="67" t="s">
        <v>138</v>
      </c>
      <c r="S114" s="68">
        <v>216.1</v>
      </c>
      <c r="T114" s="68">
        <f t="shared" si="16"/>
        <v>9.1999999999999886</v>
      </c>
      <c r="U114">
        <f t="shared" si="17"/>
        <v>56</v>
      </c>
      <c r="V114">
        <f t="shared" si="15"/>
        <v>9.9</v>
      </c>
      <c r="W114">
        <f t="shared" si="18"/>
        <v>7.77</v>
      </c>
      <c r="X114" s="19">
        <v>45292</v>
      </c>
      <c r="Y114" s="26">
        <v>216</v>
      </c>
      <c r="Z114" s="61">
        <v>0</v>
      </c>
      <c r="AB114" s="28">
        <f t="shared" si="14"/>
        <v>0.13600000000000001</v>
      </c>
      <c r="AC114" s="110">
        <v>52.3</v>
      </c>
      <c r="AD114" s="26">
        <v>70.599999999999994</v>
      </c>
      <c r="AE114" s="61">
        <f t="shared" si="19"/>
        <v>18.299999999999997</v>
      </c>
      <c r="AF114" s="77" t="str">
        <f>_xlfn.XLOOKUP(AD114,menu!$K$2:$K$9,menu!$J$2:$J$9,"",1)</f>
        <v>淺</v>
      </c>
      <c r="AG114" s="80" t="str">
        <f>_xlfn.XLOOKUP(AH114,menu!$O$2:$O$9,menu!$H$2:$H$9,"")</f>
        <v>Cinamon</v>
      </c>
      <c r="AH114" s="81" t="s">
        <v>78</v>
      </c>
      <c r="AI114" t="str">
        <f>_xlfn.LET(_xlpm.x,_xlfn.CONCAT(_xlfn.XLOOKUP(D114,beans!$A$2:$A$300,beans!$J$2:$J$300,"")," / ",_xlfn.XLOOKUP(D114,beans!$A$2:$A$300,beans!$K$2:$K$300,"")," - ",_xlfn.XLOOKUP(D114,beans!$A$2:$A$300,beans!$L$2:$L$300,"")),IF(_xlpm.x=" /  - ","",_xlpm.x))</f>
        <v>耶加雪菲 / 切切雷(Chelchele) - 原生種</v>
      </c>
      <c r="AJ114" s="23" t="s">
        <v>321</v>
      </c>
    </row>
    <row r="115" spans="1:36" x14ac:dyDescent="0.3">
      <c r="A115">
        <v>98</v>
      </c>
      <c r="B115">
        <v>250</v>
      </c>
      <c r="D115">
        <v>17</v>
      </c>
      <c r="E115" t="str">
        <f>_xlfn.LET(_xlpm.x,_xlfn.XLOOKUP(D115,beans!$A$2:$A$300,beans!$H$2:$H$300,""),IF(_xlpm.x="","",_xlpm.x))</f>
        <v>衣索比亞</v>
      </c>
      <c r="F115" s="22" t="str">
        <f>_xlfn.XLOOKUP(E115,menu!$A$2:$A$37,menu!$B$2:$B$37,"")</f>
        <v>Ethiopia</v>
      </c>
      <c r="G115" t="str">
        <f>_xlfn.XLOOKUP(E115,menu!$A$2:$A$37,menu!$C$2:$C$37,"")</f>
        <v>eth</v>
      </c>
      <c r="H115" t="str">
        <f>_xlfn.LET(_xlpm.x,_xlfn.XLOOKUP(_xlfn.XLOOKUP(D115,beans!$A$2:$A$300,beans!$I$2:$I$300),menu!$E$2:$E$20,menu!$F$2:$F$20),IF(_xlpm.x="","",_xlpm.x))</f>
        <v>Carbonic Natural</v>
      </c>
      <c r="I115">
        <v>200</v>
      </c>
      <c r="J115">
        <v>60</v>
      </c>
      <c r="K115">
        <v>35</v>
      </c>
      <c r="L115">
        <v>70</v>
      </c>
      <c r="M115" s="68" t="s">
        <v>160</v>
      </c>
      <c r="N115">
        <v>83.3</v>
      </c>
      <c r="O115">
        <v>16</v>
      </c>
      <c r="P115" s="67" t="s">
        <v>322</v>
      </c>
      <c r="Q115" s="68">
        <v>204.9</v>
      </c>
      <c r="R115" s="67" t="s">
        <v>271</v>
      </c>
      <c r="S115" s="68">
        <v>216.5</v>
      </c>
      <c r="T115" s="68">
        <f t="shared" si="16"/>
        <v>11.599999999999994</v>
      </c>
      <c r="U115">
        <f t="shared" si="17"/>
        <v>70</v>
      </c>
      <c r="V115">
        <f t="shared" si="15"/>
        <v>9.9</v>
      </c>
      <c r="W115">
        <f t="shared" si="18"/>
        <v>9.64</v>
      </c>
      <c r="X115" s="19">
        <v>45292</v>
      </c>
      <c r="Y115" s="26">
        <v>219.1</v>
      </c>
      <c r="Z115" s="61">
        <v>0</v>
      </c>
      <c r="AB115" s="28">
        <f t="shared" si="14"/>
        <v>0.12360000000000003</v>
      </c>
      <c r="AC115" s="110">
        <v>54.3</v>
      </c>
      <c r="AD115" s="26">
        <v>66.599999999999994</v>
      </c>
      <c r="AE115" s="61">
        <f t="shared" si="19"/>
        <v>12.299999999999997</v>
      </c>
      <c r="AF115" s="77" t="str">
        <f>_xlfn.XLOOKUP(AD115,menu!$K$2:$K$9,menu!$J$2:$J$9,"",1)</f>
        <v>中淺</v>
      </c>
      <c r="AG115" s="80" t="str">
        <f>_xlfn.XLOOKUP(AH115,menu!$O$2:$O$9,menu!$H$2:$H$9,"")</f>
        <v>Cinamon</v>
      </c>
      <c r="AH115" s="81" t="s">
        <v>78</v>
      </c>
      <c r="AI115" t="str">
        <f>_xlfn.LET(_xlpm.x,_xlfn.CONCAT(_xlfn.XLOOKUP(D115,beans!$A$2:$A$300,beans!$J$2:$J$300,"")," / ",_xlfn.XLOOKUP(D115,beans!$A$2:$A$300,beans!$K$2:$K$300,"")," - ",_xlfn.XLOOKUP(D115,beans!$A$2:$A$300,beans!$L$2:$L$300,"")),IF(_xlpm.x=" /  - ","",_xlpm.x))</f>
        <v>古吉 / 艾朵 - Heirloom</v>
      </c>
      <c r="AJ115" s="23" t="s">
        <v>303</v>
      </c>
    </row>
    <row r="116" spans="1:36" x14ac:dyDescent="0.3">
      <c r="A116">
        <v>99</v>
      </c>
      <c r="B116">
        <v>250</v>
      </c>
      <c r="D116">
        <v>46</v>
      </c>
      <c r="E116" t="str">
        <f>_xlfn.LET(_xlpm.x,_xlfn.XLOOKUP(D116,beans!$A$2:$A$300,beans!$H$2:$H$300,""),IF(_xlpm.x="","",_xlpm.x))</f>
        <v>哥倫比亞</v>
      </c>
      <c r="F116" s="22" t="str">
        <f>_xlfn.XLOOKUP(E116,menu!$A$2:$A$37,menu!$B$2:$B$37,"")</f>
        <v>Colombia</v>
      </c>
      <c r="G116" t="str">
        <f>_xlfn.XLOOKUP(E116,menu!$A$2:$A$37,menu!$C$2:$C$37,"")</f>
        <v>col</v>
      </c>
      <c r="H116" t="str">
        <f>_xlfn.LET(_xlpm.x,_xlfn.XLOOKUP(_xlfn.XLOOKUP(D116,beans!$A$2:$A$300,beans!$I$2:$I$300),menu!$E$2:$E$20,menu!$F$2:$F$20),IF(_xlpm.x="","",_xlpm.x))</f>
        <v>natural</v>
      </c>
      <c r="I116">
        <v>200</v>
      </c>
      <c r="J116">
        <v>60</v>
      </c>
      <c r="K116">
        <v>35</v>
      </c>
      <c r="L116">
        <v>70</v>
      </c>
      <c r="M116" s="68" t="s">
        <v>54</v>
      </c>
      <c r="N116">
        <v>82.8</v>
      </c>
      <c r="O116">
        <v>15</v>
      </c>
      <c r="P116" s="67" t="s">
        <v>290</v>
      </c>
      <c r="Q116" s="68">
        <v>207.9</v>
      </c>
      <c r="R116" s="67" t="s">
        <v>323</v>
      </c>
      <c r="S116" s="68">
        <v>218.6</v>
      </c>
      <c r="T116" s="68">
        <f t="shared" si="16"/>
        <v>10.699999999999989</v>
      </c>
      <c r="U116">
        <f t="shared" si="17"/>
        <v>62</v>
      </c>
      <c r="V116">
        <f t="shared" si="15"/>
        <v>10.4</v>
      </c>
      <c r="W116">
        <f t="shared" si="18"/>
        <v>8.56</v>
      </c>
      <c r="X116" s="19">
        <v>45292</v>
      </c>
      <c r="Y116" s="26">
        <v>210.9</v>
      </c>
      <c r="Z116" s="61">
        <v>0</v>
      </c>
      <c r="AB116" s="28">
        <f t="shared" si="14"/>
        <v>0.15639999999999998</v>
      </c>
      <c r="AC116" s="110">
        <v>36.5</v>
      </c>
      <c r="AD116" s="26">
        <v>54.4</v>
      </c>
      <c r="AE116" s="61">
        <f t="shared" si="19"/>
        <v>17.899999999999999</v>
      </c>
      <c r="AF116" s="77" t="str">
        <f>_xlfn.XLOOKUP(AD116,menu!$K$2:$K$9,menu!$J$2:$J$9,"",1)</f>
        <v>中</v>
      </c>
      <c r="AG116" s="80" t="str">
        <f>_xlfn.XLOOKUP(AH116,menu!$O$2:$O$9,menu!$H$2:$H$9,"")</f>
        <v>Medium</v>
      </c>
      <c r="AH116" s="81" t="s">
        <v>72</v>
      </c>
      <c r="AI116" t="str">
        <f>_xlfn.LET(_xlpm.x,_xlfn.CONCAT(_xlfn.XLOOKUP(D116,beans!$A$2:$A$300,beans!$J$2:$J$300,"")," / ",_xlfn.XLOOKUP(D116,beans!$A$2:$A$300,beans!$K$2:$K$300,"")," - ",_xlfn.XLOOKUP(D116,beans!$A$2:$A$300,beans!$L$2:$L$300,"")),IF(_xlpm.x=" /  - ","",_xlpm.x))</f>
        <v>昆迪瑪卡 / 緹比莉塔  - 卡斯提優</v>
      </c>
      <c r="AJ116" s="23" t="s">
        <v>324</v>
      </c>
    </row>
    <row r="117" spans="1:36" x14ac:dyDescent="0.3">
      <c r="A117">
        <v>100</v>
      </c>
      <c r="B117">
        <v>250</v>
      </c>
      <c r="D117">
        <v>6</v>
      </c>
      <c r="E117" t="str">
        <f>_xlfn.LET(_xlpm.x,_xlfn.XLOOKUP(D117,beans!$A$2:$A$300,beans!$H$2:$H$300,""),IF(_xlpm.x="","",_xlpm.x))</f>
        <v>肯亞</v>
      </c>
      <c r="F117" s="22" t="str">
        <f>_xlfn.XLOOKUP(E117,menu!$A$2:$A$37,menu!$B$2:$B$37,"")</f>
        <v>Kenya</v>
      </c>
      <c r="G117" t="str">
        <f>_xlfn.XLOOKUP(E117,menu!$A$2:$A$37,menu!$C$2:$C$37,"")</f>
        <v>ken</v>
      </c>
      <c r="H117" t="str">
        <f>_xlfn.LET(_xlpm.x,_xlfn.XLOOKUP(_xlfn.XLOOKUP(D117,beans!$A$2:$A$300,beans!$I$2:$I$300),menu!$E$2:$E$20,menu!$F$2:$F$20),IF(_xlpm.x="","",_xlpm.x))</f>
        <v>washed</v>
      </c>
      <c r="I117">
        <v>200</v>
      </c>
      <c r="J117">
        <v>60</v>
      </c>
      <c r="K117">
        <v>35</v>
      </c>
      <c r="L117">
        <v>70</v>
      </c>
      <c r="M117" s="68" t="s">
        <v>71</v>
      </c>
      <c r="N117">
        <v>84.4</v>
      </c>
      <c r="O117">
        <v>14</v>
      </c>
      <c r="P117" s="67" t="s">
        <v>325</v>
      </c>
      <c r="Q117" s="68">
        <v>200.7</v>
      </c>
      <c r="R117" s="67" t="s">
        <v>214</v>
      </c>
      <c r="S117" s="68">
        <v>215.3</v>
      </c>
      <c r="T117" s="68">
        <f t="shared" si="16"/>
        <v>14.600000000000023</v>
      </c>
      <c r="U117">
        <f t="shared" si="17"/>
        <v>128</v>
      </c>
      <c r="V117">
        <f t="shared" si="15"/>
        <v>6.8</v>
      </c>
      <c r="W117">
        <f t="shared" si="18"/>
        <v>17.41</v>
      </c>
      <c r="X117" s="19">
        <v>45292</v>
      </c>
      <c r="Y117" s="26">
        <v>217.2</v>
      </c>
      <c r="Z117" s="61">
        <v>0</v>
      </c>
      <c r="AB117" s="28">
        <f t="shared" si="14"/>
        <v>0.13120000000000004</v>
      </c>
      <c r="AC117" s="110">
        <v>49.4</v>
      </c>
      <c r="AD117" s="26">
        <v>64.8</v>
      </c>
      <c r="AE117" s="61">
        <f t="shared" si="19"/>
        <v>15.399999999999999</v>
      </c>
      <c r="AF117" s="77" t="str">
        <f>_xlfn.XLOOKUP(AD117,menu!$K$2:$K$9,menu!$J$2:$J$9,"",1)</f>
        <v>中淺</v>
      </c>
      <c r="AG117" s="80" t="str">
        <f>_xlfn.XLOOKUP(AH117,menu!$O$2:$O$9,menu!$H$2:$H$9,"")</f>
        <v>Medium</v>
      </c>
      <c r="AH117" s="81" t="s">
        <v>72</v>
      </c>
      <c r="AI117" t="str">
        <f>_xlfn.LET(_xlpm.x,_xlfn.CONCAT(_xlfn.XLOOKUP(D117,beans!$A$2:$A$300,beans!$J$2:$J$300,"")," / ",_xlfn.XLOOKUP(D117,beans!$A$2:$A$300,beans!$K$2:$K$300,"")," - ",_xlfn.XLOOKUP(D117,beans!$A$2:$A$300,beans!$L$2:$L$300,"")),IF(_xlpm.x=" /  - ","",_xlpm.x))</f>
        <v>東非大裂谷產區 / 烏克栗栗/黑莓皇后 - SL28, SL34, 少許Ruiru以及Batian</v>
      </c>
      <c r="AJ117" s="23" t="s">
        <v>326</v>
      </c>
    </row>
    <row r="118" spans="1:36" x14ac:dyDescent="0.3">
      <c r="A118">
        <v>101</v>
      </c>
      <c r="B118">
        <v>250</v>
      </c>
      <c r="D118">
        <v>24</v>
      </c>
      <c r="E118" t="str">
        <f>_xlfn.LET(_xlpm.x,_xlfn.XLOOKUP(D118,beans!$A$2:$A$300,beans!$H$2:$H$300,""),IF(_xlpm.x="","",_xlpm.x))</f>
        <v>肯亞</v>
      </c>
      <c r="F118" s="22" t="str">
        <f>_xlfn.XLOOKUP(E118,menu!$A$2:$A$37,menu!$B$2:$B$37,"")</f>
        <v>Kenya</v>
      </c>
      <c r="G118" t="str">
        <f>_xlfn.XLOOKUP(E118,menu!$A$2:$A$37,menu!$C$2:$C$37,"")</f>
        <v>ken</v>
      </c>
      <c r="H118" t="str">
        <f>_xlfn.LET(_xlpm.x,_xlfn.XLOOKUP(_xlfn.XLOOKUP(D118,beans!$A$2:$A$300,beans!$I$2:$I$300),menu!$E$2:$E$20,menu!$F$2:$F$20),IF(_xlpm.x="","",_xlpm.x))</f>
        <v>washed</v>
      </c>
      <c r="I118">
        <v>200</v>
      </c>
      <c r="J118">
        <v>70</v>
      </c>
      <c r="K118">
        <v>30</v>
      </c>
      <c r="L118">
        <v>70</v>
      </c>
      <c r="M118" s="68" t="s">
        <v>190</v>
      </c>
      <c r="N118">
        <v>88.1</v>
      </c>
      <c r="O118">
        <v>20</v>
      </c>
      <c r="P118" s="67" t="s">
        <v>327</v>
      </c>
      <c r="Q118" s="68">
        <v>203.7</v>
      </c>
      <c r="R118" s="67" t="s">
        <v>328</v>
      </c>
      <c r="S118" s="68">
        <v>230.7</v>
      </c>
      <c r="T118" s="68">
        <f t="shared" si="16"/>
        <v>27</v>
      </c>
      <c r="U118">
        <f t="shared" si="17"/>
        <v>149</v>
      </c>
      <c r="V118">
        <f t="shared" si="15"/>
        <v>10.9</v>
      </c>
      <c r="W118">
        <f t="shared" si="18"/>
        <v>19.809999999999999</v>
      </c>
      <c r="X118" s="19">
        <v>45297</v>
      </c>
      <c r="Y118" s="26">
        <v>210</v>
      </c>
      <c r="Z118" s="61">
        <v>0</v>
      </c>
      <c r="AB118" s="28">
        <f t="shared" si="14"/>
        <v>0.16</v>
      </c>
      <c r="AE118" s="61" t="str">
        <f t="shared" si="19"/>
        <v/>
      </c>
      <c r="AF118" s="77" t="str">
        <f>_xlfn.XLOOKUP(AD118,menu!$K$2:$K$9,menu!$J$2:$J$9,"",1)</f>
        <v/>
      </c>
      <c r="AG118" s="80" t="str">
        <f>_xlfn.XLOOKUP(AH118,menu!$O$2:$O$9,menu!$H$2:$H$9,"")</f>
        <v>High</v>
      </c>
      <c r="AH118" s="81" t="s">
        <v>93</v>
      </c>
      <c r="AI118" t="str">
        <f>_xlfn.LET(_xlpm.x,_xlfn.CONCAT(_xlfn.XLOOKUP(D118,beans!$A$2:$A$300,beans!$J$2:$J$300,"")," / ",_xlfn.XLOOKUP(D118,beans!$A$2:$A$300,beans!$K$2:$K$300,"")," - ",_xlfn.XLOOKUP(D118,beans!$A$2:$A$300,beans!$L$2:$L$300,"")),IF(_xlpm.x=" /  - ","",_xlpm.x))</f>
        <v>麒麟雅加 / 奇雅沐谷 - SL28 / Ruiru 11 / Batian</v>
      </c>
      <c r="AJ118" s="23" t="s">
        <v>329</v>
      </c>
    </row>
    <row r="119" spans="1:36" x14ac:dyDescent="0.3">
      <c r="A119">
        <v>102</v>
      </c>
      <c r="B119">
        <v>250</v>
      </c>
      <c r="D119">
        <v>50</v>
      </c>
      <c r="E119" t="str">
        <f>_xlfn.LET(_xlpm.x,_xlfn.XLOOKUP(D119,beans!$A$2:$A$300,beans!$H$2:$H$300,""),IF(_xlpm.x="","",_xlpm.x))</f>
        <v>衣索比亞</v>
      </c>
      <c r="F119" s="22" t="str">
        <f>_xlfn.XLOOKUP(E119,menu!$A$2:$A$37,menu!$B$2:$B$37,"")</f>
        <v>Ethiopia</v>
      </c>
      <c r="G119" t="str">
        <f>_xlfn.XLOOKUP(E119,menu!$A$2:$A$37,menu!$C$2:$C$37,"")</f>
        <v>eth</v>
      </c>
      <c r="H119" t="str">
        <f>_xlfn.LET(_xlpm.x,_xlfn.XLOOKUP(_xlfn.XLOOKUP(D119,beans!$A$2:$A$300,beans!$I$2:$I$300),menu!$E$2:$E$20,menu!$F$2:$F$20),IF(_xlpm.x="","",_xlpm.x))</f>
        <v>washed</v>
      </c>
      <c r="I119">
        <v>190</v>
      </c>
      <c r="J119">
        <v>60</v>
      </c>
      <c r="K119">
        <v>30</v>
      </c>
      <c r="L119">
        <v>70</v>
      </c>
      <c r="M119" s="68" t="s">
        <v>121</v>
      </c>
      <c r="N119">
        <v>81.8</v>
      </c>
      <c r="O119">
        <v>16</v>
      </c>
      <c r="P119" s="67" t="s">
        <v>330</v>
      </c>
      <c r="Q119" s="68">
        <v>209.1</v>
      </c>
      <c r="R119" s="67" t="s">
        <v>331</v>
      </c>
      <c r="S119" s="68">
        <v>216.1</v>
      </c>
      <c r="T119" s="68">
        <f t="shared" si="16"/>
        <v>7</v>
      </c>
      <c r="U119">
        <f t="shared" si="17"/>
        <v>30</v>
      </c>
      <c r="V119">
        <f t="shared" si="15"/>
        <v>14</v>
      </c>
      <c r="W119">
        <f t="shared" si="18"/>
        <v>3.93</v>
      </c>
      <c r="X119" s="19">
        <v>45297</v>
      </c>
      <c r="Y119" s="26">
        <v>214</v>
      </c>
      <c r="Z119" s="61">
        <v>0</v>
      </c>
      <c r="AB119" s="28">
        <f t="shared" si="14"/>
        <v>0.14399999999999999</v>
      </c>
      <c r="AE119" s="61" t="str">
        <f t="shared" si="19"/>
        <v/>
      </c>
      <c r="AF119" s="77" t="str">
        <f>_xlfn.XLOOKUP(AD119,menu!$K$2:$K$9,menu!$J$2:$J$9,"",1)</f>
        <v/>
      </c>
      <c r="AG119" s="80" t="str">
        <f>_xlfn.XLOOKUP(AH119,menu!$O$2:$O$9,menu!$H$2:$H$9,"")</f>
        <v>Cinamon</v>
      </c>
      <c r="AH119" s="81" t="s">
        <v>78</v>
      </c>
      <c r="AI119" t="str">
        <f>_xlfn.LET(_xlpm.x,_xlfn.CONCAT(_xlfn.XLOOKUP(D119,beans!$A$2:$A$300,beans!$J$2:$J$300,"")," / ",_xlfn.XLOOKUP(D119,beans!$A$2:$A$300,beans!$K$2:$K$300,"")," - ",_xlfn.XLOOKUP(D119,beans!$A$2:$A$300,beans!$L$2:$L$300,"")),IF(_xlpm.x=" /  - ","",_xlpm.x))</f>
        <v xml:space="preserve">古吉 / 花蝶 - </v>
      </c>
      <c r="AJ119" s="23" t="s">
        <v>332</v>
      </c>
    </row>
    <row r="120" spans="1:36" x14ac:dyDescent="0.3">
      <c r="A120">
        <v>103</v>
      </c>
      <c r="B120">
        <v>250</v>
      </c>
      <c r="D120">
        <v>50</v>
      </c>
      <c r="E120" t="str">
        <f>_xlfn.LET(_xlpm.x,_xlfn.XLOOKUP(D120,beans!$A$2:$A$300,beans!$H$2:$H$300,""),IF(_xlpm.x="","",_xlpm.x))</f>
        <v>衣索比亞</v>
      </c>
      <c r="F120" s="22" t="str">
        <f>_xlfn.XLOOKUP(E120,menu!$A$2:$A$37,menu!$B$2:$B$37,"")</f>
        <v>Ethiopia</v>
      </c>
      <c r="G120" t="str">
        <f>_xlfn.XLOOKUP(E120,menu!$A$2:$A$37,menu!$C$2:$C$37,"")</f>
        <v>eth</v>
      </c>
      <c r="H120" t="str">
        <f>_xlfn.LET(_xlpm.x,_xlfn.XLOOKUP(_xlfn.XLOOKUP(D120,beans!$A$2:$A$300,beans!$I$2:$I$300),menu!$E$2:$E$20,menu!$F$2:$F$20),IF(_xlpm.x="","",_xlpm.x))</f>
        <v>washed</v>
      </c>
      <c r="I120">
        <v>190</v>
      </c>
      <c r="J120">
        <v>60</v>
      </c>
      <c r="K120">
        <v>30</v>
      </c>
      <c r="L120">
        <v>70</v>
      </c>
      <c r="M120" s="68" t="s">
        <v>75</v>
      </c>
      <c r="N120">
        <v>83.5</v>
      </c>
      <c r="O120">
        <v>15</v>
      </c>
      <c r="P120" s="67" t="s">
        <v>333</v>
      </c>
      <c r="Q120" s="68">
        <v>205.4</v>
      </c>
      <c r="R120" s="67" t="s">
        <v>334</v>
      </c>
      <c r="S120" s="68">
        <v>216.1</v>
      </c>
      <c r="T120" s="68">
        <f t="shared" si="16"/>
        <v>10.699999999999989</v>
      </c>
      <c r="U120">
        <f t="shared" si="17"/>
        <v>46</v>
      </c>
      <c r="V120">
        <f t="shared" si="15"/>
        <v>14</v>
      </c>
      <c r="W120">
        <f t="shared" si="18"/>
        <v>6.04</v>
      </c>
      <c r="X120" s="19">
        <v>45297</v>
      </c>
      <c r="Y120" s="26">
        <v>214.3</v>
      </c>
      <c r="Z120" s="61">
        <v>0</v>
      </c>
      <c r="AB120" s="28">
        <f t="shared" si="14"/>
        <v>0.14279999999999995</v>
      </c>
      <c r="AE120" s="61" t="str">
        <f t="shared" si="19"/>
        <v/>
      </c>
      <c r="AF120" s="77" t="str">
        <f>_xlfn.XLOOKUP(AD120,menu!$K$2:$K$9,menu!$J$2:$J$9,"",1)</f>
        <v/>
      </c>
      <c r="AG120" s="80" t="str">
        <f>_xlfn.XLOOKUP(AH120,menu!$O$2:$O$9,menu!$H$2:$H$9,"")</f>
        <v>Cinamon</v>
      </c>
      <c r="AH120" s="81" t="s">
        <v>78</v>
      </c>
      <c r="AI120" t="str">
        <f>_xlfn.LET(_xlpm.x,_xlfn.CONCAT(_xlfn.XLOOKUP(D120,beans!$A$2:$A$300,beans!$J$2:$J$300,"")," / ",_xlfn.XLOOKUP(D120,beans!$A$2:$A$300,beans!$K$2:$K$300,"")," - ",_xlfn.XLOOKUP(D120,beans!$A$2:$A$300,beans!$L$2:$L$300,"")),IF(_xlpm.x=" /  - ","",_xlpm.x))</f>
        <v xml:space="preserve">古吉 / 花蝶 - </v>
      </c>
      <c r="AJ120" s="23" t="s">
        <v>332</v>
      </c>
    </row>
    <row r="121" spans="1:36" x14ac:dyDescent="0.3">
      <c r="A121">
        <v>104</v>
      </c>
      <c r="B121">
        <v>250</v>
      </c>
      <c r="D121">
        <v>50</v>
      </c>
      <c r="E121" t="str">
        <f>_xlfn.LET(_xlpm.x,_xlfn.XLOOKUP(D121,beans!$A$2:$A$300,beans!$H$2:$H$300,""),IF(_xlpm.x="","",_xlpm.x))</f>
        <v>衣索比亞</v>
      </c>
      <c r="F121" s="22" t="str">
        <f>_xlfn.XLOOKUP(E121,menu!$A$2:$A$37,menu!$B$2:$B$37,"")</f>
        <v>Ethiopia</v>
      </c>
      <c r="G121" t="str">
        <f>_xlfn.XLOOKUP(E121,menu!$A$2:$A$37,menu!$C$2:$C$37,"")</f>
        <v>eth</v>
      </c>
      <c r="H121" t="str">
        <f>_xlfn.LET(_xlpm.x,_xlfn.XLOOKUP(_xlfn.XLOOKUP(D121,beans!$A$2:$A$300,beans!$I$2:$I$300),menu!$E$2:$E$20,menu!$F$2:$F$20),IF(_xlpm.x="","",_xlpm.x))</f>
        <v>washed</v>
      </c>
      <c r="I121">
        <v>190</v>
      </c>
      <c r="J121">
        <v>60</v>
      </c>
      <c r="K121">
        <v>30</v>
      </c>
      <c r="L121">
        <v>70</v>
      </c>
      <c r="M121" s="68" t="s">
        <v>125</v>
      </c>
      <c r="N121">
        <v>84.2</v>
      </c>
      <c r="O121">
        <v>15</v>
      </c>
      <c r="P121" s="67" t="s">
        <v>335</v>
      </c>
      <c r="Q121" s="68">
        <v>204.1</v>
      </c>
      <c r="R121" s="67" t="s">
        <v>334</v>
      </c>
      <c r="S121" s="68">
        <v>216.4</v>
      </c>
      <c r="T121" s="68">
        <f t="shared" si="16"/>
        <v>12.300000000000011</v>
      </c>
      <c r="U121">
        <f t="shared" si="17"/>
        <v>47</v>
      </c>
      <c r="V121">
        <f t="shared" si="15"/>
        <v>15.7</v>
      </c>
      <c r="W121">
        <f t="shared" si="18"/>
        <v>6.18</v>
      </c>
      <c r="X121" s="19">
        <v>45297</v>
      </c>
      <c r="Y121" s="26">
        <v>214.5</v>
      </c>
      <c r="Z121" s="61">
        <v>0</v>
      </c>
      <c r="AB121" s="28">
        <f t="shared" si="14"/>
        <v>0.14199999999999999</v>
      </c>
      <c r="AE121" s="61" t="str">
        <f t="shared" si="19"/>
        <v/>
      </c>
      <c r="AF121" s="77" t="str">
        <f>_xlfn.XLOOKUP(AD121,menu!$K$2:$K$9,menu!$J$2:$J$9,"",1)</f>
        <v/>
      </c>
      <c r="AG121" s="80" t="str">
        <f>_xlfn.XLOOKUP(AH121,menu!$O$2:$O$9,menu!$H$2:$H$9,"")</f>
        <v>Cinamon</v>
      </c>
      <c r="AH121" s="81" t="s">
        <v>78</v>
      </c>
      <c r="AI121" t="str">
        <f>_xlfn.LET(_xlpm.x,_xlfn.CONCAT(_xlfn.XLOOKUP(D121,beans!$A$2:$A$300,beans!$J$2:$J$300,"")," / ",_xlfn.XLOOKUP(D121,beans!$A$2:$A$300,beans!$K$2:$K$300,"")," - ",_xlfn.XLOOKUP(D121,beans!$A$2:$A$300,beans!$L$2:$L$300,"")),IF(_xlpm.x=" /  - ","",_xlpm.x))</f>
        <v xml:space="preserve">古吉 / 花蝶 - </v>
      </c>
      <c r="AJ121" s="23" t="s">
        <v>332</v>
      </c>
    </row>
    <row r="122" spans="1:36" x14ac:dyDescent="0.3">
      <c r="A122">
        <v>105</v>
      </c>
      <c r="B122">
        <v>250</v>
      </c>
      <c r="D122">
        <v>50</v>
      </c>
      <c r="E122" t="str">
        <f>_xlfn.LET(_xlpm.x,_xlfn.XLOOKUP(D122,beans!$A$2:$A$300,beans!$H$2:$H$300,""),IF(_xlpm.x="","",_xlpm.x))</f>
        <v>衣索比亞</v>
      </c>
      <c r="F122" s="22" t="str">
        <f>_xlfn.XLOOKUP(E122,menu!$A$2:$A$37,menu!$B$2:$B$37,"")</f>
        <v>Ethiopia</v>
      </c>
      <c r="G122" t="str">
        <f>_xlfn.XLOOKUP(E122,menu!$A$2:$A$37,menu!$C$2:$C$37,"")</f>
        <v>eth</v>
      </c>
      <c r="H122" t="str">
        <f>_xlfn.LET(_xlpm.x,_xlfn.XLOOKUP(_xlfn.XLOOKUP(D122,beans!$A$2:$A$300,beans!$I$2:$I$300),menu!$E$2:$E$20,menu!$F$2:$F$20),IF(_xlpm.x="","",_xlpm.x))</f>
        <v>washed</v>
      </c>
      <c r="I122">
        <v>190</v>
      </c>
      <c r="J122">
        <v>60</v>
      </c>
      <c r="K122">
        <v>30</v>
      </c>
      <c r="L122">
        <v>70</v>
      </c>
      <c r="M122" s="68" t="s">
        <v>80</v>
      </c>
      <c r="N122">
        <v>81.599999999999994</v>
      </c>
      <c r="O122">
        <v>20</v>
      </c>
      <c r="P122" s="67" t="s">
        <v>199</v>
      </c>
      <c r="Q122" s="68">
        <v>204.8</v>
      </c>
      <c r="R122" s="67" t="s">
        <v>336</v>
      </c>
      <c r="S122" s="68">
        <v>216.2</v>
      </c>
      <c r="T122" s="68">
        <f t="shared" si="16"/>
        <v>11.399999999999977</v>
      </c>
      <c r="U122">
        <f t="shared" si="17"/>
        <v>47</v>
      </c>
      <c r="V122">
        <f t="shared" si="15"/>
        <v>14.6</v>
      </c>
      <c r="W122">
        <f t="shared" si="18"/>
        <v>6.14</v>
      </c>
      <c r="X122" s="19">
        <v>45297</v>
      </c>
      <c r="Y122" s="26">
        <v>212.4</v>
      </c>
      <c r="Z122" s="61">
        <v>0</v>
      </c>
      <c r="AB122" s="28">
        <f t="shared" si="14"/>
        <v>0.15039999999999998</v>
      </c>
      <c r="AE122" s="61" t="str">
        <f t="shared" si="19"/>
        <v/>
      </c>
      <c r="AF122" s="77" t="str">
        <f>_xlfn.XLOOKUP(AD122,menu!$K$2:$K$9,menu!$J$2:$J$9,"",1)</f>
        <v/>
      </c>
      <c r="AG122" s="80" t="str">
        <f>_xlfn.XLOOKUP(AH122,menu!$O$2:$O$9,menu!$H$2:$H$9,"")</f>
        <v>Cinamon</v>
      </c>
      <c r="AH122" s="81" t="s">
        <v>78</v>
      </c>
      <c r="AI122" t="str">
        <f>_xlfn.LET(_xlpm.x,_xlfn.CONCAT(_xlfn.XLOOKUP(D122,beans!$A$2:$A$300,beans!$J$2:$J$300,"")," / ",_xlfn.XLOOKUP(D122,beans!$A$2:$A$300,beans!$K$2:$K$300,"")," - ",_xlfn.XLOOKUP(D122,beans!$A$2:$A$300,beans!$L$2:$L$300,"")),IF(_xlpm.x=" /  - ","",_xlpm.x))</f>
        <v xml:space="preserve">古吉 / 花蝶 - </v>
      </c>
      <c r="AJ122" s="23" t="s">
        <v>337</v>
      </c>
    </row>
    <row r="123" spans="1:36" x14ac:dyDescent="0.3">
      <c r="A123">
        <v>106</v>
      </c>
      <c r="B123">
        <v>260</v>
      </c>
      <c r="D123">
        <v>50</v>
      </c>
      <c r="E123" t="str">
        <f>_xlfn.LET(_xlpm.x,_xlfn.XLOOKUP(D123,beans!$A$2:$A$300,beans!$H$2:$H$300,""),IF(_xlpm.x="","",_xlpm.x))</f>
        <v>衣索比亞</v>
      </c>
      <c r="F123" s="22" t="str">
        <f>_xlfn.XLOOKUP(E123,menu!$A$2:$A$37,menu!$B$2:$B$37,"")</f>
        <v>Ethiopia</v>
      </c>
      <c r="G123" t="str">
        <f>_xlfn.XLOOKUP(E123,menu!$A$2:$A$37,menu!$C$2:$C$37,"")</f>
        <v>eth</v>
      </c>
      <c r="H123" t="str">
        <f>_xlfn.LET(_xlpm.x,_xlfn.XLOOKUP(_xlfn.XLOOKUP(D123,beans!$A$2:$A$300,beans!$I$2:$I$300),menu!$E$2:$E$20,menu!$F$2:$F$20),IF(_xlpm.x="","",_xlpm.x))</f>
        <v>washed</v>
      </c>
      <c r="I123">
        <v>190</v>
      </c>
      <c r="J123">
        <v>60</v>
      </c>
      <c r="K123">
        <v>30</v>
      </c>
      <c r="L123">
        <v>70</v>
      </c>
      <c r="M123" s="68" t="s">
        <v>207</v>
      </c>
      <c r="N123">
        <v>83</v>
      </c>
      <c r="O123">
        <v>17</v>
      </c>
      <c r="P123" s="67" t="s">
        <v>338</v>
      </c>
      <c r="Q123" s="68">
        <v>205.7</v>
      </c>
      <c r="R123" s="67" t="s">
        <v>339</v>
      </c>
      <c r="S123" s="68">
        <v>220</v>
      </c>
      <c r="T123" s="68">
        <f t="shared" si="16"/>
        <v>14.300000000000011</v>
      </c>
      <c r="U123">
        <f t="shared" si="17"/>
        <v>40</v>
      </c>
      <c r="V123">
        <f t="shared" si="15"/>
        <v>21.5</v>
      </c>
      <c r="W123">
        <f t="shared" si="18"/>
        <v>5.29</v>
      </c>
      <c r="X123" s="19">
        <v>45297</v>
      </c>
      <c r="Y123" s="26">
        <v>223</v>
      </c>
      <c r="Z123" s="61">
        <v>0</v>
      </c>
      <c r="AB123" s="28">
        <f t="shared" si="14"/>
        <v>0.1423076923076923</v>
      </c>
      <c r="AE123" s="61" t="str">
        <f t="shared" si="19"/>
        <v/>
      </c>
      <c r="AF123" s="77" t="str">
        <f>_xlfn.XLOOKUP(AD123,menu!$K$2:$K$9,menu!$J$2:$J$9,"",1)</f>
        <v/>
      </c>
      <c r="AG123" s="80" t="str">
        <f>_xlfn.XLOOKUP(AH123,menu!$O$2:$O$9,menu!$H$2:$H$9,"")</f>
        <v>Cinamon</v>
      </c>
      <c r="AH123" s="81" t="s">
        <v>78</v>
      </c>
      <c r="AI123" t="str">
        <f>_xlfn.LET(_xlpm.x,_xlfn.CONCAT(_xlfn.XLOOKUP(D123,beans!$A$2:$A$300,beans!$J$2:$J$300,"")," / ",_xlfn.XLOOKUP(D123,beans!$A$2:$A$300,beans!$K$2:$K$300,"")," - ",_xlfn.XLOOKUP(D123,beans!$A$2:$A$300,beans!$L$2:$L$300,"")),IF(_xlpm.x=" /  - ","",_xlpm.x))</f>
        <v xml:space="preserve">古吉 / 花蝶 - </v>
      </c>
      <c r="AJ123" s="23" t="s">
        <v>340</v>
      </c>
    </row>
    <row r="124" spans="1:36" x14ac:dyDescent="0.3">
      <c r="A124">
        <v>107</v>
      </c>
      <c r="B124">
        <v>260</v>
      </c>
      <c r="D124">
        <v>50</v>
      </c>
      <c r="E124" t="str">
        <f>_xlfn.LET(_xlpm.x,_xlfn.XLOOKUP(D124,beans!$A$2:$A$300,beans!$H$2:$H$300,""),IF(_xlpm.x="","",_xlpm.x))</f>
        <v>衣索比亞</v>
      </c>
      <c r="F124" s="22" t="str">
        <f>_xlfn.XLOOKUP(E124,menu!$A$2:$A$37,menu!$B$2:$B$37,"")</f>
        <v>Ethiopia</v>
      </c>
      <c r="G124" t="str">
        <f>_xlfn.XLOOKUP(E124,menu!$A$2:$A$37,menu!$C$2:$C$37,"")</f>
        <v>eth</v>
      </c>
      <c r="H124" t="str">
        <f>_xlfn.LET(_xlpm.x,_xlfn.XLOOKUP(_xlfn.XLOOKUP(D124,beans!$A$2:$A$300,beans!$I$2:$I$300),menu!$E$2:$E$20,menu!$F$2:$F$20),IF(_xlpm.x="","",_xlpm.x))</f>
        <v>washed</v>
      </c>
      <c r="I124">
        <v>190</v>
      </c>
      <c r="J124">
        <v>60</v>
      </c>
      <c r="K124">
        <v>30</v>
      </c>
      <c r="L124">
        <v>70</v>
      </c>
      <c r="S124" s="68">
        <v>220</v>
      </c>
      <c r="T124" s="68">
        <f t="shared" ref="T124:T155" si="20">_xlfn.LET(_xlpm.x,S124-Q124,IF(_xlpm.x=0,"",_xlpm.x))</f>
        <v>220</v>
      </c>
      <c r="U124" t="str">
        <f t="shared" ref="U124:U155" si="21">_xlfn.LET(_xlpm.x,(TIMEVALUE("0:"&amp;SUBSTITUTE(R124,"'",":"))-TIMEVALUE("0:"&amp;SUBSTITUTE(P124,"'",":")))*86400,IF(_xlpm.x=0,"",ROUND(_xlpm.x,2)))</f>
        <v/>
      </c>
      <c r="V124">
        <f t="shared" si="15"/>
        <v>0</v>
      </c>
      <c r="W124" t="str">
        <f t="shared" ref="W124:W155" si="22">_xlfn.LET(_xlpm.x,(TIMEVALUE("0:"&amp;SUBSTITUTE(R124,"'",":"))-TIMEVALUE("0:"&amp;SUBSTITUTE(P124,"'",":")))*86400,IF(_xlpm.x=0,"",ROUND(_xlpm.x/((TIMEVALUE("0:"&amp;SUBSTITUTE(R124,"'",":"))-TIMEVALUE("0:0:0"))*864),2)))</f>
        <v/>
      </c>
      <c r="X124" s="19">
        <v>45297</v>
      </c>
      <c r="Y124" s="26">
        <v>222.7</v>
      </c>
      <c r="Z124" s="61">
        <v>0</v>
      </c>
      <c r="AB124" s="28">
        <f t="shared" si="14"/>
        <v>0.1434615384615385</v>
      </c>
      <c r="AE124" s="61" t="str">
        <f t="shared" ref="AE124:AE155" si="23">_xlfn.LET(_xlpm.x,AD124-AC124,IF(_xlpm.x=0,"",_xlpm.x))</f>
        <v/>
      </c>
      <c r="AF124" s="77" t="str">
        <f>_xlfn.XLOOKUP(AD124,menu!$K$2:$K$9,menu!$J$2:$J$9,"",1)</f>
        <v/>
      </c>
      <c r="AG124" s="80" t="str">
        <f>_xlfn.XLOOKUP(AH124,menu!$O$2:$O$9,menu!$H$2:$H$9,"")</f>
        <v>Cinamon</v>
      </c>
      <c r="AH124" s="81" t="s">
        <v>78</v>
      </c>
      <c r="AI124" t="str">
        <f>_xlfn.LET(_xlpm.x,_xlfn.CONCAT(_xlfn.XLOOKUP(D124,beans!$A$2:$A$300,beans!$J$2:$J$300,"")," / ",_xlfn.XLOOKUP(D124,beans!$A$2:$A$300,beans!$K$2:$K$300,"")," - ",_xlfn.XLOOKUP(D124,beans!$A$2:$A$300,beans!$L$2:$L$300,"")),IF(_xlpm.x=" /  - ","",_xlpm.x))</f>
        <v xml:space="preserve">古吉 / 花蝶 - </v>
      </c>
      <c r="AJ124" s="23" t="s">
        <v>341</v>
      </c>
    </row>
    <row r="125" spans="1:36" x14ac:dyDescent="0.3">
      <c r="A125">
        <v>108</v>
      </c>
      <c r="B125">
        <v>250</v>
      </c>
      <c r="D125">
        <v>50</v>
      </c>
      <c r="E125" t="str">
        <f>_xlfn.LET(_xlpm.x,_xlfn.XLOOKUP(D125,beans!$A$2:$A$300,beans!$H$2:$H$300,""),IF(_xlpm.x="","",_xlpm.x))</f>
        <v>衣索比亞</v>
      </c>
      <c r="F125" s="22" t="str">
        <f>_xlfn.XLOOKUP(E125,menu!$A$2:$A$37,menu!$B$2:$B$37,"")</f>
        <v>Ethiopia</v>
      </c>
      <c r="G125" t="str">
        <f>_xlfn.XLOOKUP(E125,menu!$A$2:$A$37,menu!$C$2:$C$37,"")</f>
        <v>eth</v>
      </c>
      <c r="H125" t="str">
        <f>_xlfn.LET(_xlpm.x,_xlfn.XLOOKUP(_xlfn.XLOOKUP(D125,beans!$A$2:$A$300,beans!$I$2:$I$300),menu!$E$2:$E$20,menu!$F$2:$F$20),IF(_xlpm.x="","",_xlpm.x))</f>
        <v>washed</v>
      </c>
      <c r="I125">
        <v>190</v>
      </c>
      <c r="J125">
        <v>60</v>
      </c>
      <c r="K125">
        <v>30</v>
      </c>
      <c r="L125">
        <v>70</v>
      </c>
      <c r="S125" s="68">
        <v>220</v>
      </c>
      <c r="T125" s="68">
        <f t="shared" si="20"/>
        <v>220</v>
      </c>
      <c r="U125" t="str">
        <f t="shared" si="21"/>
        <v/>
      </c>
      <c r="V125">
        <f t="shared" si="15"/>
        <v>0</v>
      </c>
      <c r="W125" t="str">
        <f t="shared" si="22"/>
        <v/>
      </c>
      <c r="X125" s="19">
        <v>45297</v>
      </c>
      <c r="Y125" s="26">
        <v>213.3</v>
      </c>
      <c r="Z125" s="61">
        <v>0</v>
      </c>
      <c r="AB125" s="28">
        <f t="shared" si="14"/>
        <v>0.14679999999999996</v>
      </c>
      <c r="AE125" s="61" t="str">
        <f t="shared" si="23"/>
        <v/>
      </c>
      <c r="AF125" s="77" t="str">
        <f>_xlfn.XLOOKUP(AD125,menu!$K$2:$K$9,menu!$J$2:$J$9,"",1)</f>
        <v/>
      </c>
      <c r="AG125" s="80" t="str">
        <f>_xlfn.XLOOKUP(AH125,menu!$O$2:$O$9,menu!$H$2:$H$9,"")</f>
        <v>Cinamon</v>
      </c>
      <c r="AH125" s="81" t="s">
        <v>78</v>
      </c>
      <c r="AI125" t="str">
        <f>_xlfn.LET(_xlpm.x,_xlfn.CONCAT(_xlfn.XLOOKUP(D125,beans!$A$2:$A$300,beans!$J$2:$J$300,"")," / ",_xlfn.XLOOKUP(D125,beans!$A$2:$A$300,beans!$K$2:$K$300,"")," - ",_xlfn.XLOOKUP(D125,beans!$A$2:$A$300,beans!$L$2:$L$300,"")),IF(_xlpm.x=" /  - ","",_xlpm.x))</f>
        <v xml:space="preserve">古吉 / 花蝶 - </v>
      </c>
      <c r="AJ125" s="23" t="s">
        <v>341</v>
      </c>
    </row>
    <row r="126" spans="1:36" x14ac:dyDescent="0.3">
      <c r="A126">
        <v>109</v>
      </c>
      <c r="B126">
        <v>250</v>
      </c>
      <c r="D126">
        <v>50</v>
      </c>
      <c r="E126" t="str">
        <f>_xlfn.LET(_xlpm.x,_xlfn.XLOOKUP(D126,beans!$A$2:$A$300,beans!$H$2:$H$300,""),IF(_xlpm.x="","",_xlpm.x))</f>
        <v>衣索比亞</v>
      </c>
      <c r="F126" s="22" t="str">
        <f>_xlfn.XLOOKUP(E126,menu!$A$2:$A$37,menu!$B$2:$B$37,"")</f>
        <v>Ethiopia</v>
      </c>
      <c r="G126" t="str">
        <f>_xlfn.XLOOKUP(E126,menu!$A$2:$A$37,menu!$C$2:$C$37,"")</f>
        <v>eth</v>
      </c>
      <c r="H126" t="str">
        <f>_xlfn.LET(_xlpm.x,_xlfn.XLOOKUP(_xlfn.XLOOKUP(D126,beans!$A$2:$A$300,beans!$I$2:$I$300),menu!$E$2:$E$20,menu!$F$2:$F$20),IF(_xlpm.x="","",_xlpm.x))</f>
        <v>washed</v>
      </c>
      <c r="I126">
        <v>190</v>
      </c>
      <c r="J126">
        <v>60</v>
      </c>
      <c r="K126">
        <v>30</v>
      </c>
      <c r="L126">
        <v>70</v>
      </c>
      <c r="M126" s="68" t="s">
        <v>121</v>
      </c>
      <c r="N126">
        <v>82.6</v>
      </c>
      <c r="O126">
        <v>16</v>
      </c>
      <c r="P126" s="67" t="s">
        <v>342</v>
      </c>
      <c r="Q126" s="68">
        <v>212.9</v>
      </c>
      <c r="R126" s="67" t="s">
        <v>296</v>
      </c>
      <c r="S126" s="68">
        <v>220</v>
      </c>
      <c r="T126" s="68">
        <f t="shared" si="20"/>
        <v>7.0999999999999943</v>
      </c>
      <c r="U126">
        <f t="shared" si="21"/>
        <v>12</v>
      </c>
      <c r="V126">
        <f t="shared" si="15"/>
        <v>35.5</v>
      </c>
      <c r="W126">
        <f t="shared" si="22"/>
        <v>1.59</v>
      </c>
      <c r="X126" s="19">
        <v>45297</v>
      </c>
      <c r="Y126" s="26">
        <v>213</v>
      </c>
      <c r="Z126" s="61">
        <v>0</v>
      </c>
      <c r="AB126" s="28">
        <f t="shared" si="14"/>
        <v>0.14799999999999999</v>
      </c>
      <c r="AE126" s="61" t="str">
        <f t="shared" si="23"/>
        <v/>
      </c>
      <c r="AF126" s="77" t="str">
        <f>_xlfn.XLOOKUP(AD126,menu!$K$2:$K$9,menu!$J$2:$J$9,"",1)</f>
        <v/>
      </c>
      <c r="AG126" s="80" t="str">
        <f>_xlfn.XLOOKUP(AH126,menu!$O$2:$O$9,menu!$H$2:$H$9,"")</f>
        <v>Cinamon</v>
      </c>
      <c r="AH126" s="81" t="s">
        <v>78</v>
      </c>
      <c r="AI126" t="str">
        <f>_xlfn.LET(_xlpm.x,_xlfn.CONCAT(_xlfn.XLOOKUP(D126,beans!$A$2:$A$300,beans!$J$2:$J$300,"")," / ",_xlfn.XLOOKUP(D126,beans!$A$2:$A$300,beans!$K$2:$K$300,"")," - ",_xlfn.XLOOKUP(D126,beans!$A$2:$A$300,beans!$L$2:$L$300,"")),IF(_xlpm.x=" /  - ","",_xlpm.x))</f>
        <v xml:space="preserve">古吉 / 花蝶 - </v>
      </c>
      <c r="AJ126" s="23" t="s">
        <v>341</v>
      </c>
    </row>
    <row r="127" spans="1:36" x14ac:dyDescent="0.3">
      <c r="A127">
        <v>110</v>
      </c>
      <c r="B127">
        <v>250</v>
      </c>
      <c r="D127">
        <v>24</v>
      </c>
      <c r="E127" t="str">
        <f>_xlfn.LET(_xlpm.x,_xlfn.XLOOKUP(D127,beans!$A$2:$A$300,beans!$H$2:$H$300,""),IF(_xlpm.x="","",_xlpm.x))</f>
        <v>肯亞</v>
      </c>
      <c r="F127" s="22" t="str">
        <f>_xlfn.XLOOKUP(E127,menu!$A$2:$A$37,menu!$B$2:$B$37,"")</f>
        <v>Kenya</v>
      </c>
      <c r="G127" t="str">
        <f>_xlfn.XLOOKUP(E127,menu!$A$2:$A$37,menu!$C$2:$C$37,"")</f>
        <v>ken</v>
      </c>
      <c r="H127" t="str">
        <f>_xlfn.LET(_xlpm.x,_xlfn.XLOOKUP(_xlfn.XLOOKUP(D127,beans!$A$2:$A$300,beans!$I$2:$I$300),menu!$E$2:$E$20,menu!$F$2:$F$20),IF(_xlpm.x="","",_xlpm.x))</f>
        <v>washed</v>
      </c>
      <c r="I127">
        <v>200</v>
      </c>
      <c r="J127">
        <v>70</v>
      </c>
      <c r="K127">
        <v>30</v>
      </c>
      <c r="L127">
        <v>70</v>
      </c>
      <c r="M127" s="68" t="s">
        <v>109</v>
      </c>
      <c r="N127">
        <v>90.5</v>
      </c>
      <c r="O127">
        <v>20</v>
      </c>
      <c r="P127" s="67" t="s">
        <v>343</v>
      </c>
      <c r="Q127" s="68">
        <v>200.9</v>
      </c>
      <c r="R127" s="67" t="s">
        <v>302</v>
      </c>
      <c r="S127" s="68">
        <v>230.6</v>
      </c>
      <c r="T127" s="68">
        <f t="shared" si="20"/>
        <v>29.699999999999989</v>
      </c>
      <c r="U127">
        <f t="shared" si="21"/>
        <v>162</v>
      </c>
      <c r="V127">
        <f t="shared" si="15"/>
        <v>11</v>
      </c>
      <c r="W127">
        <f t="shared" si="22"/>
        <v>21.57</v>
      </c>
      <c r="X127" s="19">
        <v>45297</v>
      </c>
      <c r="Y127" s="26">
        <v>207.9</v>
      </c>
      <c r="Z127" s="61">
        <v>0</v>
      </c>
      <c r="AB127" s="28">
        <f t="shared" si="14"/>
        <v>0.16839999999999997</v>
      </c>
      <c r="AE127" s="61" t="str">
        <f t="shared" si="23"/>
        <v/>
      </c>
      <c r="AF127" s="77" t="str">
        <f>_xlfn.XLOOKUP(AD127,menu!$K$2:$K$9,menu!$J$2:$J$9,"",1)</f>
        <v/>
      </c>
      <c r="AG127" s="80" t="str">
        <f>_xlfn.XLOOKUP(AH127,menu!$O$2:$O$9,menu!$H$2:$H$9,"")</f>
        <v>Medium</v>
      </c>
      <c r="AH127" s="81" t="s">
        <v>72</v>
      </c>
      <c r="AI127" t="str">
        <f>_xlfn.LET(_xlpm.x,_xlfn.CONCAT(_xlfn.XLOOKUP(D127,beans!$A$2:$A$300,beans!$J$2:$J$300,"")," / ",_xlfn.XLOOKUP(D127,beans!$A$2:$A$300,beans!$K$2:$K$300,"")," - ",_xlfn.XLOOKUP(D127,beans!$A$2:$A$300,beans!$L$2:$L$300,"")),IF(_xlpm.x=" /  - ","",_xlpm.x))</f>
        <v>麒麟雅加 / 奇雅沐谷 - SL28 / Ruiru 11 / Batian</v>
      </c>
      <c r="AJ127" s="23" t="s">
        <v>329</v>
      </c>
    </row>
    <row r="128" spans="1:36" x14ac:dyDescent="0.3">
      <c r="A128">
        <v>111</v>
      </c>
      <c r="B128">
        <v>500</v>
      </c>
      <c r="D128">
        <v>46</v>
      </c>
      <c r="E128" t="str">
        <f>_xlfn.LET(_xlpm.x,_xlfn.XLOOKUP(D128,beans!$A$2:$A$300,beans!$H$2:$H$300,""),IF(_xlpm.x="","",_xlpm.x))</f>
        <v>哥倫比亞</v>
      </c>
      <c r="F128" s="22" t="str">
        <f>_xlfn.XLOOKUP(E128,menu!$A$2:$A$37,menu!$B$2:$B$37,"")</f>
        <v>Colombia</v>
      </c>
      <c r="G128" t="str">
        <f>_xlfn.XLOOKUP(E128,menu!$A$2:$A$37,menu!$C$2:$C$37,"")</f>
        <v>col</v>
      </c>
      <c r="H128" t="str">
        <f>_xlfn.LET(_xlpm.x,_xlfn.XLOOKUP(_xlfn.XLOOKUP(D128,beans!$A$2:$A$300,beans!$I$2:$I$300),menu!$E$2:$E$20,menu!$F$2:$F$20),IF(_xlpm.x="","",_xlpm.x))</f>
        <v>natural</v>
      </c>
      <c r="I128">
        <v>200</v>
      </c>
      <c r="J128">
        <v>70</v>
      </c>
      <c r="K128">
        <v>30</v>
      </c>
      <c r="L128">
        <v>70</v>
      </c>
      <c r="M128" s="68" t="s">
        <v>207</v>
      </c>
      <c r="N128">
        <v>78.400000000000006</v>
      </c>
      <c r="O128">
        <v>16</v>
      </c>
      <c r="P128" s="67" t="s">
        <v>344</v>
      </c>
      <c r="Q128" s="68">
        <v>200</v>
      </c>
      <c r="R128" s="67" t="s">
        <v>345</v>
      </c>
      <c r="S128" s="68">
        <v>213.8</v>
      </c>
      <c r="T128" s="68">
        <f t="shared" si="20"/>
        <v>13.800000000000011</v>
      </c>
      <c r="U128">
        <f t="shared" si="21"/>
        <v>109</v>
      </c>
      <c r="V128">
        <f t="shared" si="15"/>
        <v>7.6</v>
      </c>
      <c r="W128">
        <f t="shared" si="22"/>
        <v>13.89</v>
      </c>
      <c r="X128" s="19">
        <v>45297</v>
      </c>
      <c r="Y128" s="26">
        <v>430.3</v>
      </c>
      <c r="Z128" s="61">
        <v>0</v>
      </c>
      <c r="AB128" s="28">
        <f t="shared" si="14"/>
        <v>0.13939999999999997</v>
      </c>
      <c r="AC128" s="110">
        <v>38.700000000000003</v>
      </c>
      <c r="AD128" s="26">
        <v>58.4</v>
      </c>
      <c r="AE128" s="61">
        <f t="shared" si="23"/>
        <v>19.699999999999996</v>
      </c>
      <c r="AF128" s="77" t="str">
        <f>_xlfn.XLOOKUP(AD128,menu!$K$2:$K$9,menu!$J$2:$J$9,"",1)</f>
        <v>中</v>
      </c>
      <c r="AG128" s="80" t="str">
        <f>_xlfn.XLOOKUP(AH128,menu!$O$2:$O$9,menu!$H$2:$H$9,"")</f>
        <v>Medium</v>
      </c>
      <c r="AH128" s="81" t="s">
        <v>72</v>
      </c>
      <c r="AI128" t="str">
        <f>_xlfn.LET(_xlpm.x,_xlfn.CONCAT(_xlfn.XLOOKUP(D128,beans!$A$2:$A$300,beans!$J$2:$J$300,"")," / ",_xlfn.XLOOKUP(D128,beans!$A$2:$A$300,beans!$K$2:$K$300,"")," - ",_xlfn.XLOOKUP(D128,beans!$A$2:$A$300,beans!$L$2:$L$300,"")),IF(_xlpm.x=" /  - ","",_xlpm.x))</f>
        <v>昆迪瑪卡 / 緹比莉塔  - 卡斯提優</v>
      </c>
      <c r="AJ128" s="23" t="s">
        <v>329</v>
      </c>
    </row>
    <row r="129" spans="1:36" x14ac:dyDescent="0.3">
      <c r="A129">
        <v>112</v>
      </c>
      <c r="B129">
        <v>250</v>
      </c>
      <c r="D129">
        <v>44</v>
      </c>
      <c r="E129" t="str">
        <f>_xlfn.LET(_xlpm.x,_xlfn.XLOOKUP(D129,beans!$A$2:$A$300,beans!$H$2:$H$300,""),IF(_xlpm.x="","",_xlpm.x))</f>
        <v>衣索比亞</v>
      </c>
      <c r="F129" s="22" t="str">
        <f>_xlfn.XLOOKUP(E129,menu!$A$2:$A$37,menu!$B$2:$B$37,"")</f>
        <v>Ethiopia</v>
      </c>
      <c r="G129" t="str">
        <f>_xlfn.XLOOKUP(E129,menu!$A$2:$A$37,menu!$C$2:$C$37,"")</f>
        <v>eth</v>
      </c>
      <c r="H129" t="str">
        <f>_xlfn.LET(_xlpm.x,_xlfn.XLOOKUP(_xlfn.XLOOKUP(D129,beans!$A$2:$A$300,beans!$I$2:$I$300),menu!$E$2:$E$20,menu!$F$2:$F$20),IF(_xlpm.x="","",_xlpm.x))</f>
        <v>Special</v>
      </c>
      <c r="I129">
        <v>190</v>
      </c>
      <c r="J129">
        <v>70</v>
      </c>
      <c r="K129">
        <v>40</v>
      </c>
      <c r="L129">
        <v>70</v>
      </c>
      <c r="M129" s="68" t="s">
        <v>346</v>
      </c>
      <c r="N129">
        <v>83.3</v>
      </c>
      <c r="O129">
        <v>17</v>
      </c>
      <c r="P129" s="67" t="s">
        <v>344</v>
      </c>
      <c r="Q129" s="68">
        <v>204.2</v>
      </c>
      <c r="R129" s="67" t="s">
        <v>308</v>
      </c>
      <c r="S129" s="68">
        <v>213.8</v>
      </c>
      <c r="T129" s="68">
        <f t="shared" si="20"/>
        <v>9.6000000000000227</v>
      </c>
      <c r="U129">
        <f t="shared" si="21"/>
        <v>84</v>
      </c>
      <c r="V129">
        <f t="shared" si="15"/>
        <v>6.9</v>
      </c>
      <c r="W129">
        <f t="shared" si="22"/>
        <v>11.05</v>
      </c>
      <c r="X129" s="19">
        <v>45297</v>
      </c>
      <c r="Y129" s="26">
        <v>213.5</v>
      </c>
      <c r="Z129" s="61">
        <v>0</v>
      </c>
      <c r="AB129" s="28">
        <f t="shared" si="14"/>
        <v>0.14599999999999999</v>
      </c>
      <c r="AC129" s="110">
        <v>52.6</v>
      </c>
      <c r="AD129" s="26">
        <v>73.8</v>
      </c>
      <c r="AE129" s="61">
        <f t="shared" si="23"/>
        <v>21.199999999999996</v>
      </c>
      <c r="AF129" s="77" t="str">
        <f>_xlfn.XLOOKUP(AD129,menu!$K$2:$K$9,menu!$J$2:$J$9,"",1)</f>
        <v>淺</v>
      </c>
      <c r="AG129" s="80" t="str">
        <f>_xlfn.XLOOKUP(AH129,menu!$O$2:$O$9,menu!$H$2:$H$9,"")</f>
        <v>Cinamon</v>
      </c>
      <c r="AH129" s="81" t="s">
        <v>78</v>
      </c>
      <c r="AI129" t="str">
        <f>_xlfn.LET(_xlpm.x,_xlfn.CONCAT(_xlfn.XLOOKUP(D129,beans!$A$2:$A$300,beans!$J$2:$J$300,"")," / ",_xlfn.XLOOKUP(D129,beans!$A$2:$A$300,beans!$K$2:$K$300,"")," - ",_xlfn.XLOOKUP(D129,beans!$A$2:$A$300,beans!$L$2:$L$300,"")),IF(_xlpm.x=" /  - ","",_xlpm.x))</f>
        <v xml:space="preserve">耶加雪菲 / 百香果特殊發酵 厭氧日曬處理 G1 - </v>
      </c>
      <c r="AJ129" s="23" t="s">
        <v>257</v>
      </c>
    </row>
    <row r="130" spans="1:36" x14ac:dyDescent="0.3">
      <c r="A130">
        <v>113</v>
      </c>
      <c r="B130">
        <v>200</v>
      </c>
      <c r="D130">
        <v>10</v>
      </c>
      <c r="E130" t="str">
        <f>_xlfn.LET(_xlpm.x,_xlfn.XLOOKUP(D130,beans!$A$2:$A$300,beans!$H$2:$H$300,""),IF(_xlpm.x="","",_xlpm.x))</f>
        <v>衣索比亞</v>
      </c>
      <c r="F130" s="22" t="str">
        <f>_xlfn.XLOOKUP(E130,menu!$A$2:$A$37,menu!$B$2:$B$37,"")</f>
        <v>Ethiopia</v>
      </c>
      <c r="G130" t="str">
        <f>_xlfn.XLOOKUP(E130,menu!$A$2:$A$37,menu!$C$2:$C$37,"")</f>
        <v>eth</v>
      </c>
      <c r="H130" t="str">
        <f>_xlfn.LET(_xlpm.x,_xlfn.XLOOKUP(_xlfn.XLOOKUP(D130,beans!$A$2:$A$300,beans!$I$2:$I$300),menu!$E$2:$E$20,menu!$F$2:$F$20),IF(_xlpm.x="","",_xlpm.x))</f>
        <v>natural</v>
      </c>
      <c r="I130">
        <v>190</v>
      </c>
      <c r="J130">
        <v>70</v>
      </c>
      <c r="K130">
        <v>30</v>
      </c>
      <c r="L130">
        <v>70</v>
      </c>
      <c r="M130" s="68" t="s">
        <v>54</v>
      </c>
      <c r="N130">
        <v>86.4</v>
      </c>
      <c r="O130">
        <v>18</v>
      </c>
      <c r="P130" s="67" t="s">
        <v>347</v>
      </c>
      <c r="Q130" s="68">
        <v>206.4</v>
      </c>
      <c r="R130" s="67" t="s">
        <v>348</v>
      </c>
      <c r="S130" s="68">
        <v>217.7</v>
      </c>
      <c r="T130" s="68">
        <f t="shared" si="20"/>
        <v>11.299999999999983</v>
      </c>
      <c r="U130">
        <f t="shared" si="21"/>
        <v>70</v>
      </c>
      <c r="V130">
        <f t="shared" si="15"/>
        <v>9.6999999999999993</v>
      </c>
      <c r="W130">
        <f t="shared" si="22"/>
        <v>9.51</v>
      </c>
      <c r="X130" s="19">
        <v>45297</v>
      </c>
      <c r="Y130" s="26">
        <v>170.8</v>
      </c>
      <c r="Z130" s="61">
        <v>0</v>
      </c>
      <c r="AB130" s="28">
        <f t="shared" ref="AB130:AB193" si="24">IF(Y130 &gt; 0,(B130-Y130)/B130," ")</f>
        <v>0.14599999999999994</v>
      </c>
      <c r="AE130" s="61" t="str">
        <f t="shared" si="23"/>
        <v/>
      </c>
      <c r="AF130" s="77" t="str">
        <f>_xlfn.XLOOKUP(AD130,menu!$K$2:$K$9,menu!$J$2:$J$9,"",1)</f>
        <v/>
      </c>
      <c r="AG130" s="80" t="str">
        <f>_xlfn.XLOOKUP(AH130,menu!$O$2:$O$9,menu!$H$2:$H$9,"")</f>
        <v>Cinamon</v>
      </c>
      <c r="AH130" s="81" t="s">
        <v>78</v>
      </c>
      <c r="AI130" t="str">
        <f>_xlfn.LET(_xlpm.x,_xlfn.CONCAT(_xlfn.XLOOKUP(D130,beans!$A$2:$A$300,beans!$J$2:$J$300,"")," / ",_xlfn.XLOOKUP(D130,beans!$A$2:$A$300,beans!$K$2:$K$300,"")," - ",_xlfn.XLOOKUP(D130,beans!$A$2:$A$300,beans!$L$2:$L$300,"")),IF(_xlpm.x=" /  - ","",_xlpm.x))</f>
        <v>古吉 罕貝拉 / 花蝶 - Heirloom</v>
      </c>
      <c r="AJ130" s="23" t="s">
        <v>349</v>
      </c>
    </row>
    <row r="131" spans="1:36" x14ac:dyDescent="0.3">
      <c r="A131">
        <v>114</v>
      </c>
      <c r="B131">
        <v>250</v>
      </c>
      <c r="D131">
        <v>7</v>
      </c>
      <c r="E131" t="str">
        <f>_xlfn.LET(_xlpm.x,_xlfn.XLOOKUP(D131,beans!$A$2:$A$300,beans!$H$2:$H$300,""),IF(_xlpm.x="","",_xlpm.x))</f>
        <v>瓜地馬拉</v>
      </c>
      <c r="F131" s="22" t="str">
        <f>_xlfn.XLOOKUP(E131,menu!$A$2:$A$37,menu!$B$2:$B$37,"")</f>
        <v>Guatemala</v>
      </c>
      <c r="G131" t="str">
        <f>_xlfn.XLOOKUP(E131,menu!$A$2:$A$37,menu!$C$2:$C$37,"")</f>
        <v>gtm</v>
      </c>
      <c r="H131" t="str">
        <f>_xlfn.LET(_xlpm.x,_xlfn.XLOOKUP(_xlfn.XLOOKUP(D131,beans!$A$2:$A$300,beans!$I$2:$I$300),menu!$E$2:$E$20,menu!$F$2:$F$20),IF(_xlpm.x="","",_xlpm.x))</f>
        <v>washed</v>
      </c>
      <c r="I131">
        <v>190</v>
      </c>
      <c r="J131">
        <v>70</v>
      </c>
      <c r="K131">
        <v>40</v>
      </c>
      <c r="L131">
        <v>70</v>
      </c>
      <c r="M131" s="68" t="s">
        <v>71</v>
      </c>
      <c r="N131">
        <v>86.1</v>
      </c>
      <c r="O131">
        <v>16</v>
      </c>
      <c r="P131" s="67" t="s">
        <v>350</v>
      </c>
      <c r="Q131" s="68">
        <v>202.9</v>
      </c>
      <c r="R131" s="67" t="s">
        <v>351</v>
      </c>
      <c r="S131" s="68">
        <v>220.7</v>
      </c>
      <c r="T131" s="68">
        <f t="shared" si="20"/>
        <v>17.799999999999983</v>
      </c>
      <c r="U131">
        <f t="shared" si="21"/>
        <v>131</v>
      </c>
      <c r="V131">
        <f t="shared" ref="V131:V194" si="25">IFERROR(ROUND(T131*60/U131,1), )</f>
        <v>8.1999999999999993</v>
      </c>
      <c r="W131">
        <f t="shared" si="22"/>
        <v>16.75</v>
      </c>
      <c r="X131" s="19">
        <v>45297</v>
      </c>
      <c r="Y131" s="26">
        <v>212.7</v>
      </c>
      <c r="Z131" s="61">
        <v>0</v>
      </c>
      <c r="AB131" s="28">
        <f t="shared" si="24"/>
        <v>0.14920000000000005</v>
      </c>
      <c r="AC131" s="110">
        <v>37.799999999999997</v>
      </c>
      <c r="AD131" s="26">
        <v>67.599999999999994</v>
      </c>
      <c r="AE131" s="61">
        <f t="shared" si="23"/>
        <v>29.799999999999997</v>
      </c>
      <c r="AF131" s="77" t="str">
        <f>_xlfn.XLOOKUP(AD131,menu!$K$2:$K$9,menu!$J$2:$J$9,"",1)</f>
        <v>中淺</v>
      </c>
      <c r="AG131" s="80" t="str">
        <f>_xlfn.XLOOKUP(AH131,menu!$O$2:$O$9,menu!$H$2:$H$9,"")</f>
        <v>Medium</v>
      </c>
      <c r="AH131" s="81" t="s">
        <v>72</v>
      </c>
      <c r="AI131" t="str">
        <f>_xlfn.LET(_xlpm.x,_xlfn.CONCAT(_xlfn.XLOOKUP(D131,beans!$A$2:$A$300,beans!$J$2:$J$300,"")," / ",_xlfn.XLOOKUP(D131,beans!$A$2:$A$300,beans!$K$2:$K$300,"")," - ",_xlfn.XLOOKUP(D131,beans!$A$2:$A$300,beans!$L$2:$L$300,"")),IF(_xlpm.x=" /  - ","",_xlpm.x))</f>
        <v>安提瓜 (Antiqua) / 拉米妮塔 花神 - Peaberry</v>
      </c>
      <c r="AJ131" s="23" t="s">
        <v>303</v>
      </c>
    </row>
    <row r="132" spans="1:36" x14ac:dyDescent="0.3">
      <c r="A132">
        <v>115</v>
      </c>
      <c r="B132">
        <v>250</v>
      </c>
      <c r="D132">
        <v>38</v>
      </c>
      <c r="E132" t="str">
        <f>_xlfn.LET(_xlpm.x,_xlfn.XLOOKUP(D132,beans!$A$2:$A$300,beans!$H$2:$H$300,""),IF(_xlpm.x="","",_xlpm.x))</f>
        <v>巴拿馬</v>
      </c>
      <c r="F132" s="22" t="str">
        <f>_xlfn.XLOOKUP(E132,menu!$A$2:$A$37,menu!$B$2:$B$37,"")</f>
        <v>Panama</v>
      </c>
      <c r="G132" t="str">
        <f>_xlfn.XLOOKUP(E132,menu!$A$2:$A$37,menu!$C$2:$C$37,"")</f>
        <v>pan</v>
      </c>
      <c r="H132" t="str">
        <f>_xlfn.LET(_xlpm.x,_xlfn.XLOOKUP(_xlfn.XLOOKUP(D132,beans!$A$2:$A$300,beans!$I$2:$I$300),menu!$E$2:$E$20,menu!$F$2:$F$20),IF(_xlpm.x="","",_xlpm.x))</f>
        <v>washed</v>
      </c>
      <c r="I132">
        <v>200</v>
      </c>
      <c r="J132">
        <v>70</v>
      </c>
      <c r="K132">
        <v>40</v>
      </c>
      <c r="L132">
        <v>70</v>
      </c>
      <c r="M132" s="68" t="s">
        <v>207</v>
      </c>
      <c r="N132">
        <v>87.2</v>
      </c>
      <c r="O132">
        <v>17</v>
      </c>
      <c r="P132" s="67" t="s">
        <v>123</v>
      </c>
      <c r="Q132" s="68">
        <v>203.5</v>
      </c>
      <c r="R132" s="67" t="s">
        <v>352</v>
      </c>
      <c r="S132" s="68">
        <v>213.5</v>
      </c>
      <c r="T132" s="68">
        <f t="shared" si="20"/>
        <v>10</v>
      </c>
      <c r="U132">
        <f t="shared" si="21"/>
        <v>74</v>
      </c>
      <c r="V132">
        <f t="shared" si="25"/>
        <v>8.1</v>
      </c>
      <c r="W132">
        <f t="shared" si="22"/>
        <v>10.16</v>
      </c>
      <c r="X132" s="19">
        <v>45297</v>
      </c>
      <c r="Y132" s="26">
        <v>216.8</v>
      </c>
      <c r="Z132" s="61">
        <v>0</v>
      </c>
      <c r="AB132" s="28">
        <f t="shared" si="24"/>
        <v>0.13279999999999995</v>
      </c>
      <c r="AC132" s="110">
        <v>56.3</v>
      </c>
      <c r="AD132" s="26">
        <v>71.7</v>
      </c>
      <c r="AE132" s="61">
        <f t="shared" si="23"/>
        <v>15.400000000000006</v>
      </c>
      <c r="AF132" s="77" t="str">
        <f>_xlfn.XLOOKUP(AD132,menu!$K$2:$K$9,menu!$J$2:$J$9,"",1)</f>
        <v>淺</v>
      </c>
      <c r="AG132" s="80" t="str">
        <f>_xlfn.XLOOKUP(AH132,menu!$O$2:$O$9,menu!$H$2:$H$9,"")</f>
        <v>Cinamon</v>
      </c>
      <c r="AH132" s="81" t="s">
        <v>78</v>
      </c>
      <c r="AI132" t="str">
        <f>_xlfn.LET(_xlpm.x,_xlfn.CONCAT(_xlfn.XLOOKUP(D132,beans!$A$2:$A$300,beans!$J$2:$J$300,"")," / ",_xlfn.XLOOKUP(D132,beans!$A$2:$A$300,beans!$K$2:$K$300,"")," - ",_xlfn.XLOOKUP(D132,beans!$A$2:$A$300,beans!$L$2:$L$300,"")),IF(_xlpm.x=" /  - ","",_xlpm.x))</f>
        <v>波奎特 / 百合花 - Caturra</v>
      </c>
      <c r="AJ132" s="23" t="s">
        <v>303</v>
      </c>
    </row>
    <row r="133" spans="1:36" x14ac:dyDescent="0.3">
      <c r="A133">
        <v>116</v>
      </c>
      <c r="B133">
        <v>250</v>
      </c>
      <c r="D133">
        <v>47</v>
      </c>
      <c r="E133" t="str">
        <f>_xlfn.LET(_xlpm.x,_xlfn.XLOOKUP(D133,beans!$A$2:$A$300,beans!$H$2:$H$300,""),IF(_xlpm.x="","",_xlpm.x))</f>
        <v>衣索比亞</v>
      </c>
      <c r="F133" s="22" t="str">
        <f>_xlfn.XLOOKUP(E133,menu!$A$2:$A$37,menu!$B$2:$B$37,"")</f>
        <v>Ethiopia</v>
      </c>
      <c r="G133" t="str">
        <f>_xlfn.XLOOKUP(E133,menu!$A$2:$A$37,menu!$C$2:$C$37,"")</f>
        <v>eth</v>
      </c>
      <c r="H133" t="str">
        <f>_xlfn.LET(_xlpm.x,_xlfn.XLOOKUP(_xlfn.XLOOKUP(D133,beans!$A$2:$A$300,beans!$I$2:$I$300),menu!$E$2:$E$20,menu!$F$2:$F$20),IF(_xlpm.x="","",_xlpm.x))</f>
        <v>washed</v>
      </c>
      <c r="I133">
        <v>200</v>
      </c>
      <c r="J133">
        <v>70</v>
      </c>
      <c r="K133">
        <v>40</v>
      </c>
      <c r="L133">
        <v>70</v>
      </c>
      <c r="M133" s="68" t="s">
        <v>121</v>
      </c>
      <c r="N133">
        <v>84.8</v>
      </c>
      <c r="O133">
        <v>17</v>
      </c>
      <c r="P133" s="67" t="s">
        <v>268</v>
      </c>
      <c r="Q133" s="68">
        <v>200.8</v>
      </c>
      <c r="R133" s="67" t="s">
        <v>214</v>
      </c>
      <c r="S133" s="68">
        <v>214.4</v>
      </c>
      <c r="T133" s="68">
        <f t="shared" si="20"/>
        <v>13.599999999999994</v>
      </c>
      <c r="U133">
        <f t="shared" si="21"/>
        <v>96</v>
      </c>
      <c r="V133">
        <f t="shared" si="25"/>
        <v>8.5</v>
      </c>
      <c r="W133">
        <f t="shared" si="22"/>
        <v>13.06</v>
      </c>
      <c r="X133" s="19">
        <v>45297</v>
      </c>
      <c r="Y133" s="26">
        <v>213</v>
      </c>
      <c r="Z133" s="61">
        <v>0</v>
      </c>
      <c r="AB133" s="28">
        <f t="shared" si="24"/>
        <v>0.14799999999999999</v>
      </c>
      <c r="AC133" s="110">
        <v>58.8</v>
      </c>
      <c r="AD133" s="26">
        <v>70.900000000000006</v>
      </c>
      <c r="AE133" s="61">
        <f t="shared" si="23"/>
        <v>12.100000000000009</v>
      </c>
      <c r="AF133" s="77" t="str">
        <f>_xlfn.XLOOKUP(AD133,menu!$K$2:$K$9,menu!$J$2:$J$9,"",1)</f>
        <v>淺</v>
      </c>
      <c r="AG133" s="80" t="str">
        <f>_xlfn.XLOOKUP(AH133,menu!$O$2:$O$9,menu!$H$2:$H$9,"")</f>
        <v>Cinamon</v>
      </c>
      <c r="AH133" s="81" t="s">
        <v>78</v>
      </c>
      <c r="AI133" t="str">
        <f>_xlfn.LET(_xlpm.x,_xlfn.CONCAT(_xlfn.XLOOKUP(D133,beans!$A$2:$A$300,beans!$J$2:$J$300,"")," / ",_xlfn.XLOOKUP(D133,beans!$A$2:$A$300,beans!$K$2:$K$300,"")," - ",_xlfn.XLOOKUP(D133,beans!$A$2:$A$300,beans!$L$2:$L$300,"")),IF(_xlpm.x=" /  - ","",_xlpm.x))</f>
        <v>吉馬莉姆 / 果美村 - 寶貝藝妓</v>
      </c>
      <c r="AJ133" s="23" t="s">
        <v>303</v>
      </c>
    </row>
    <row r="134" spans="1:36" x14ac:dyDescent="0.3">
      <c r="A134">
        <v>117</v>
      </c>
      <c r="B134">
        <v>200</v>
      </c>
      <c r="E134" t="s">
        <v>353</v>
      </c>
      <c r="F134" s="22" t="str">
        <f>_xlfn.XLOOKUP(E134,menu!$A$2:$A$37,menu!$B$2:$B$37,"")</f>
        <v>Colombia</v>
      </c>
      <c r="G134" t="str">
        <f>_xlfn.XLOOKUP(E134,menu!$A$2:$A$37,menu!$C$2:$C$37,"")</f>
        <v>col</v>
      </c>
      <c r="H134" t="s">
        <v>44</v>
      </c>
      <c r="I134">
        <v>200</v>
      </c>
      <c r="J134">
        <v>70</v>
      </c>
      <c r="K134">
        <v>30</v>
      </c>
      <c r="L134">
        <v>70</v>
      </c>
      <c r="M134" s="68" t="s">
        <v>163</v>
      </c>
      <c r="N134">
        <v>90.2</v>
      </c>
      <c r="O134">
        <v>18</v>
      </c>
      <c r="P134" s="67" t="s">
        <v>354</v>
      </c>
      <c r="Q134" s="68">
        <v>208.3</v>
      </c>
      <c r="R134" s="67" t="s">
        <v>355</v>
      </c>
      <c r="S134" s="68">
        <v>216.7</v>
      </c>
      <c r="T134" s="68">
        <f t="shared" si="20"/>
        <v>8.3999999999999773</v>
      </c>
      <c r="U134">
        <f t="shared" si="21"/>
        <v>53</v>
      </c>
      <c r="V134">
        <f t="shared" si="25"/>
        <v>9.5</v>
      </c>
      <c r="W134">
        <f t="shared" si="22"/>
        <v>7.89</v>
      </c>
      <c r="X134" s="19">
        <v>45299</v>
      </c>
      <c r="Y134" s="26">
        <v>174.3</v>
      </c>
      <c r="Z134" s="61">
        <v>0</v>
      </c>
      <c r="AB134" s="28">
        <f t="shared" si="24"/>
        <v>0.12849999999999995</v>
      </c>
      <c r="AC134" s="110">
        <v>51.8</v>
      </c>
      <c r="AD134" s="26">
        <v>68.7</v>
      </c>
      <c r="AE134" s="61">
        <f t="shared" si="23"/>
        <v>16.900000000000006</v>
      </c>
      <c r="AF134" s="77" t="str">
        <f>_xlfn.XLOOKUP(AD134,menu!$K$2:$K$9,menu!$J$2:$J$9,"",1)</f>
        <v>中淺</v>
      </c>
      <c r="AG134" s="80" t="str">
        <f>_xlfn.XLOOKUP(AH134,menu!$O$2:$O$9,menu!$H$2:$H$9,"")</f>
        <v>Medium</v>
      </c>
      <c r="AH134" s="81" t="s">
        <v>72</v>
      </c>
      <c r="AI134" t="s">
        <v>356</v>
      </c>
      <c r="AJ134" s="23" t="s">
        <v>357</v>
      </c>
    </row>
    <row r="135" spans="1:36" x14ac:dyDescent="0.3">
      <c r="A135">
        <v>118</v>
      </c>
      <c r="B135">
        <v>250</v>
      </c>
      <c r="C135">
        <v>6</v>
      </c>
      <c r="D135">
        <v>9</v>
      </c>
      <c r="E135" t="str">
        <f>_xlfn.LET(_xlpm.x,_xlfn.XLOOKUP(D135,beans!$A$2:$A$300,beans!$H$2:$H$300,""),IF(_xlpm.x="","",_xlpm.x))</f>
        <v>衣索比亞</v>
      </c>
      <c r="F135" s="22" t="str">
        <f>_xlfn.XLOOKUP(E135,menu!$A$2:$A$37,menu!$B$2:$B$37,"")</f>
        <v>Ethiopia</v>
      </c>
      <c r="G135" t="str">
        <f>_xlfn.XLOOKUP(E135,menu!$A$2:$A$37,menu!$C$2:$C$37,"")</f>
        <v>eth</v>
      </c>
      <c r="H135" t="str">
        <f>_xlfn.LET(_xlpm.x,_xlfn.XLOOKUP(_xlfn.XLOOKUP(D135,beans!$A$2:$A$300,beans!$I$2:$I$300),menu!$E$2:$E$20,menu!$F$2:$F$20),IF(_xlpm.x="","",_xlpm.x))</f>
        <v>natural</v>
      </c>
      <c r="I135">
        <v>190</v>
      </c>
      <c r="J135">
        <v>70</v>
      </c>
      <c r="K135">
        <v>37</v>
      </c>
      <c r="L135">
        <v>70</v>
      </c>
      <c r="M135" s="68" t="s">
        <v>67</v>
      </c>
      <c r="N135">
        <v>83.9</v>
      </c>
      <c r="O135">
        <v>16</v>
      </c>
      <c r="P135" s="67" t="s">
        <v>150</v>
      </c>
      <c r="Q135" s="68">
        <v>204.2</v>
      </c>
      <c r="R135" s="67" t="s">
        <v>358</v>
      </c>
      <c r="S135" s="68">
        <v>215.7</v>
      </c>
      <c r="T135" s="68">
        <f t="shared" si="20"/>
        <v>11.5</v>
      </c>
      <c r="U135">
        <f t="shared" si="21"/>
        <v>96</v>
      </c>
      <c r="V135">
        <f t="shared" si="25"/>
        <v>7.2</v>
      </c>
      <c r="W135">
        <f t="shared" si="22"/>
        <v>12.87</v>
      </c>
      <c r="X135" s="19">
        <v>45299</v>
      </c>
      <c r="Y135" s="26">
        <v>210.2</v>
      </c>
      <c r="Z135" s="61">
        <v>0</v>
      </c>
      <c r="AA135" s="61">
        <v>0</v>
      </c>
      <c r="AB135" s="28">
        <f t="shared" si="24"/>
        <v>0.15920000000000004</v>
      </c>
      <c r="AC135" s="110">
        <v>49</v>
      </c>
      <c r="AD135" s="26">
        <v>64.400000000000006</v>
      </c>
      <c r="AE135" s="61">
        <f t="shared" si="23"/>
        <v>15.400000000000006</v>
      </c>
      <c r="AF135" s="77" t="str">
        <f>_xlfn.XLOOKUP(AD135,menu!$K$2:$K$9,menu!$J$2:$J$9,"",1)</f>
        <v>中淺</v>
      </c>
      <c r="AG135" s="80" t="str">
        <f>_xlfn.XLOOKUP(AH135,menu!$O$2:$O$9,menu!$H$2:$H$9,"")</f>
        <v>Cinamon</v>
      </c>
      <c r="AH135" s="81" t="s">
        <v>78</v>
      </c>
      <c r="AI135" t="str">
        <f>_xlfn.LET(_xlpm.x,_xlfn.CONCAT(_xlfn.XLOOKUP(D135,beans!$A$2:$A$300,beans!$J$2:$J$300,"")," / ",_xlfn.XLOOKUP(D135,beans!$A$2:$A$300,beans!$K$2:$K$300,"")," - ",_xlfn.XLOOKUP(D135,beans!$A$2:$A$300,beans!$L$2:$L$300,"")),IF(_xlpm.x=" /  - ","",_xlpm.x))</f>
        <v>吉瑪 利姆 / 果美村 - 寶貝藝妓</v>
      </c>
      <c r="AJ135" s="23" t="s">
        <v>359</v>
      </c>
    </row>
    <row r="136" spans="1:36" x14ac:dyDescent="0.3">
      <c r="A136">
        <v>119</v>
      </c>
      <c r="B136">
        <v>250</v>
      </c>
      <c r="D136">
        <v>11</v>
      </c>
      <c r="E136" t="str">
        <f>_xlfn.LET(_xlpm.x,_xlfn.XLOOKUP(D136,beans!$A$2:$A$300,beans!$H$2:$H$300,""),IF(_xlpm.x="","",_xlpm.x))</f>
        <v>衣索比亞</v>
      </c>
      <c r="F136" s="22" t="str">
        <f>_xlfn.XLOOKUP(E136,menu!$A$2:$A$37,menu!$B$2:$B$37,"")</f>
        <v>Ethiopia</v>
      </c>
      <c r="G136" t="str">
        <f>_xlfn.XLOOKUP(E136,menu!$A$2:$A$37,menu!$C$2:$C$37,"")</f>
        <v>eth</v>
      </c>
      <c r="H136" t="str">
        <f>_xlfn.LET(_xlpm.x,_xlfn.XLOOKUP(_xlfn.XLOOKUP(D136,beans!$A$2:$A$300,beans!$I$2:$I$300),menu!$E$2:$E$20,menu!$F$2:$F$20),IF(_xlpm.x="","",_xlpm.x))</f>
        <v>natural</v>
      </c>
      <c r="I136">
        <v>190</v>
      </c>
      <c r="J136">
        <v>70</v>
      </c>
      <c r="K136">
        <v>39</v>
      </c>
      <c r="L136">
        <v>70</v>
      </c>
      <c r="M136" s="68" t="s">
        <v>87</v>
      </c>
      <c r="N136">
        <v>84</v>
      </c>
      <c r="O136">
        <v>17</v>
      </c>
      <c r="P136" s="67" t="s">
        <v>142</v>
      </c>
      <c r="Q136" s="68">
        <v>201.7</v>
      </c>
      <c r="R136" s="67" t="s">
        <v>183</v>
      </c>
      <c r="S136" s="68">
        <v>213.1</v>
      </c>
      <c r="T136" s="68">
        <f t="shared" si="20"/>
        <v>11.400000000000006</v>
      </c>
      <c r="U136">
        <f t="shared" si="21"/>
        <v>98</v>
      </c>
      <c r="V136">
        <f t="shared" si="25"/>
        <v>7</v>
      </c>
      <c r="W136">
        <f t="shared" si="22"/>
        <v>13.24</v>
      </c>
      <c r="X136" s="19">
        <v>45299</v>
      </c>
      <c r="Y136" s="26">
        <v>217</v>
      </c>
      <c r="Z136" s="61">
        <v>0</v>
      </c>
      <c r="AA136" s="61">
        <v>0</v>
      </c>
      <c r="AB136" s="28">
        <f t="shared" si="24"/>
        <v>0.13200000000000001</v>
      </c>
      <c r="AC136" s="110">
        <v>50.2</v>
      </c>
      <c r="AD136" s="26">
        <v>72.5</v>
      </c>
      <c r="AE136" s="61">
        <f t="shared" si="23"/>
        <v>22.299999999999997</v>
      </c>
      <c r="AF136" s="77" t="str">
        <f>_xlfn.XLOOKUP(AD136,menu!$K$2:$K$9,menu!$J$2:$J$9,"",1)</f>
        <v>淺</v>
      </c>
      <c r="AG136" s="80" t="str">
        <f>_xlfn.XLOOKUP(AH136,menu!$O$2:$O$9,menu!$H$2:$H$9,"")</f>
        <v>Cinamon</v>
      </c>
      <c r="AH136" s="81" t="s">
        <v>78</v>
      </c>
      <c r="AI136" t="str">
        <f>_xlfn.LET(_xlpm.x,_xlfn.CONCAT(_xlfn.XLOOKUP(D136,beans!$A$2:$A$300,beans!$J$2:$J$300,"")," / ",_xlfn.XLOOKUP(D136,beans!$A$2:$A$300,beans!$K$2:$K$300,"")," - ",_xlfn.XLOOKUP(D136,beans!$A$2:$A$300,beans!$L$2:$L$300,"")),IF(_xlpm.x=" /  - ","",_xlpm.x))</f>
        <v>班奇 馬吉 / 格林藝妓森林 - Gori Geisha Forest</v>
      </c>
      <c r="AJ136" s="23" t="s">
        <v>360</v>
      </c>
    </row>
    <row r="137" spans="1:36" x14ac:dyDescent="0.3">
      <c r="A137">
        <v>120</v>
      </c>
      <c r="B137">
        <v>250</v>
      </c>
      <c r="D137">
        <v>43</v>
      </c>
      <c r="E137" t="str">
        <f>_xlfn.LET(_xlpm.x,_xlfn.XLOOKUP(D137,beans!$A$2:$A$300,beans!$H$2:$H$300,""),IF(_xlpm.x="","",_xlpm.x))</f>
        <v>衣索比亞</v>
      </c>
      <c r="F137" s="22" t="str">
        <f>_xlfn.XLOOKUP(E137,menu!$A$2:$A$37,menu!$B$2:$B$37,"")</f>
        <v>Ethiopia</v>
      </c>
      <c r="G137" t="str">
        <f>_xlfn.XLOOKUP(E137,menu!$A$2:$A$37,menu!$C$2:$C$37,"")</f>
        <v>eth</v>
      </c>
      <c r="H137" t="str">
        <f>_xlfn.LET(_xlpm.x,_xlfn.XLOOKUP(_xlfn.XLOOKUP(D137,beans!$A$2:$A$300,beans!$I$2:$I$300),menu!$E$2:$E$20,menu!$F$2:$F$20),IF(_xlpm.x="","",_xlpm.x))</f>
        <v>natural</v>
      </c>
      <c r="I137">
        <v>190</v>
      </c>
      <c r="J137">
        <v>70</v>
      </c>
      <c r="K137">
        <v>40</v>
      </c>
      <c r="L137">
        <v>70</v>
      </c>
      <c r="M137" s="68" t="s">
        <v>67</v>
      </c>
      <c r="N137">
        <v>83.4</v>
      </c>
      <c r="O137">
        <v>17</v>
      </c>
      <c r="P137" s="67" t="s">
        <v>245</v>
      </c>
      <c r="Q137" s="68">
        <v>205.9</v>
      </c>
      <c r="R137" s="67" t="s">
        <v>348</v>
      </c>
      <c r="S137" s="68">
        <v>218</v>
      </c>
      <c r="T137" s="68">
        <f t="shared" si="20"/>
        <v>12.099999999999994</v>
      </c>
      <c r="U137">
        <f t="shared" si="21"/>
        <v>88</v>
      </c>
      <c r="V137">
        <f t="shared" si="25"/>
        <v>8.3000000000000007</v>
      </c>
      <c r="W137">
        <f t="shared" si="22"/>
        <v>11.96</v>
      </c>
      <c r="X137" s="19">
        <v>45299</v>
      </c>
      <c r="Y137" s="26">
        <v>215</v>
      </c>
      <c r="Z137" s="61">
        <v>0</v>
      </c>
      <c r="AA137" s="61">
        <v>0</v>
      </c>
      <c r="AB137" s="28">
        <f t="shared" si="24"/>
        <v>0.14000000000000001</v>
      </c>
      <c r="AC137" s="110">
        <v>54</v>
      </c>
      <c r="AD137" s="26">
        <v>65.5</v>
      </c>
      <c r="AE137" s="61">
        <f t="shared" si="23"/>
        <v>11.5</v>
      </c>
      <c r="AF137" s="77" t="str">
        <f>_xlfn.XLOOKUP(AD137,menu!$K$2:$K$9,menu!$J$2:$J$9,"",1)</f>
        <v>中淺</v>
      </c>
      <c r="AG137" s="80" t="str">
        <f>_xlfn.XLOOKUP(AH137,menu!$O$2:$O$9,menu!$H$2:$H$9,"")</f>
        <v>Cinamon</v>
      </c>
      <c r="AH137" s="81" t="s">
        <v>78</v>
      </c>
      <c r="AI137" t="str">
        <f>_xlfn.LET(_xlpm.x,_xlfn.CONCAT(_xlfn.XLOOKUP(D137,beans!$A$2:$A$300,beans!$J$2:$J$300,"")," / ",_xlfn.XLOOKUP(D137,beans!$A$2:$A$300,beans!$K$2:$K$300,"")," - ",_xlfn.XLOOKUP(D137,beans!$A$2:$A$300,beans!$L$2:$L$300,"")),IF(_xlpm.x=" /  - ","",_xlpm.x))</f>
        <v>西達馬 / 朵望丘合作社 - 74110</v>
      </c>
      <c r="AJ137" s="23" t="s">
        <v>360</v>
      </c>
    </row>
    <row r="138" spans="1:36" x14ac:dyDescent="0.3">
      <c r="A138">
        <v>121</v>
      </c>
      <c r="B138">
        <v>250</v>
      </c>
      <c r="C138">
        <v>6</v>
      </c>
      <c r="D138">
        <v>44</v>
      </c>
      <c r="E138" t="str">
        <f>_xlfn.LET(_xlpm.x,_xlfn.XLOOKUP(D138,beans!$A$2:$A$300,beans!$H$2:$H$300,""),IF(_xlpm.x="","",_xlpm.x))</f>
        <v>衣索比亞</v>
      </c>
      <c r="F138" s="22" t="str">
        <f>_xlfn.XLOOKUP(E138,menu!$A$2:$A$37,menu!$B$2:$B$37,"")</f>
        <v>Ethiopia</v>
      </c>
      <c r="G138" t="str">
        <f>_xlfn.XLOOKUP(E138,menu!$A$2:$A$37,menu!$C$2:$C$37,"")</f>
        <v>eth</v>
      </c>
      <c r="H138" t="str">
        <f>_xlfn.LET(_xlpm.x,_xlfn.XLOOKUP(_xlfn.XLOOKUP(D138,beans!$A$2:$A$300,beans!$I$2:$I$300),menu!$E$2:$E$20,menu!$F$2:$F$20),IF(_xlpm.x="","",_xlpm.x))</f>
        <v>Special</v>
      </c>
      <c r="I138">
        <v>190</v>
      </c>
      <c r="J138">
        <v>70</v>
      </c>
      <c r="K138">
        <v>40</v>
      </c>
      <c r="L138">
        <v>70</v>
      </c>
      <c r="M138" s="68" t="s">
        <v>109</v>
      </c>
      <c r="N138">
        <v>84</v>
      </c>
      <c r="O138">
        <v>17</v>
      </c>
      <c r="P138" s="67" t="s">
        <v>211</v>
      </c>
      <c r="Q138" s="68">
        <v>205.7</v>
      </c>
      <c r="R138" s="67" t="s">
        <v>296</v>
      </c>
      <c r="S138" s="68">
        <v>212.9</v>
      </c>
      <c r="T138" s="68">
        <f t="shared" si="20"/>
        <v>7.2000000000000171</v>
      </c>
      <c r="U138">
        <f t="shared" si="21"/>
        <v>72</v>
      </c>
      <c r="V138">
        <f t="shared" si="25"/>
        <v>6</v>
      </c>
      <c r="W138">
        <f t="shared" si="22"/>
        <v>9.5399999999999991</v>
      </c>
      <c r="X138" s="19">
        <v>45299</v>
      </c>
      <c r="Y138" s="26">
        <v>213</v>
      </c>
      <c r="Z138" s="61">
        <v>0</v>
      </c>
      <c r="AA138" s="61">
        <v>0</v>
      </c>
      <c r="AB138" s="28">
        <f t="shared" si="24"/>
        <v>0.14799999999999999</v>
      </c>
      <c r="AC138" s="110">
        <v>42.6</v>
      </c>
      <c r="AD138" s="26">
        <v>70.7</v>
      </c>
      <c r="AE138" s="61">
        <f t="shared" si="23"/>
        <v>28.1</v>
      </c>
      <c r="AF138" s="77" t="str">
        <f>_xlfn.XLOOKUP(AD138,menu!$K$2:$K$9,menu!$J$2:$J$9,"",1)</f>
        <v>淺</v>
      </c>
      <c r="AG138" s="80" t="str">
        <f>_xlfn.XLOOKUP(AH138,menu!$O$2:$O$9,menu!$H$2:$H$9,"")</f>
        <v>Cinamon</v>
      </c>
      <c r="AH138" s="81" t="s">
        <v>78</v>
      </c>
      <c r="AI138" t="str">
        <f>_xlfn.LET(_xlpm.x,_xlfn.CONCAT(_xlfn.XLOOKUP(D138,beans!$A$2:$A$300,beans!$J$2:$J$300,"")," / ",_xlfn.XLOOKUP(D138,beans!$A$2:$A$300,beans!$K$2:$K$300,"")," - ",_xlfn.XLOOKUP(D138,beans!$A$2:$A$300,beans!$L$2:$L$300,"")),IF(_xlpm.x=" /  - ","",_xlpm.x))</f>
        <v xml:space="preserve">耶加雪菲 / 百香果特殊發酵 厭氧日曬處理 G1 - </v>
      </c>
      <c r="AJ138" s="23" t="s">
        <v>361</v>
      </c>
    </row>
    <row r="139" spans="1:36" x14ac:dyDescent="0.3">
      <c r="A139">
        <v>122</v>
      </c>
      <c r="B139">
        <v>200</v>
      </c>
      <c r="E139" t="s">
        <v>279</v>
      </c>
      <c r="F139" s="22" t="str">
        <f>_xlfn.XLOOKUP(E139,menu!$A$2:$A$37,menu!$B$2:$B$37,"")</f>
        <v>Panama</v>
      </c>
      <c r="G139" t="str">
        <f>_xlfn.XLOOKUP(E139,menu!$A$2:$A$37,menu!$C$2:$C$37,"")</f>
        <v>pan</v>
      </c>
      <c r="H139" t="s">
        <v>59</v>
      </c>
      <c r="I139">
        <v>200</v>
      </c>
      <c r="J139">
        <v>70</v>
      </c>
      <c r="K139">
        <v>40</v>
      </c>
      <c r="L139">
        <v>75</v>
      </c>
      <c r="M139" s="68" t="s">
        <v>346</v>
      </c>
      <c r="N139">
        <v>88</v>
      </c>
      <c r="O139">
        <v>18</v>
      </c>
      <c r="P139" s="67" t="s">
        <v>150</v>
      </c>
      <c r="Q139" s="68">
        <v>208.6</v>
      </c>
      <c r="R139" s="67" t="s">
        <v>362</v>
      </c>
      <c r="S139" s="68">
        <v>216.4</v>
      </c>
      <c r="T139" s="68">
        <f t="shared" si="20"/>
        <v>7.8000000000000114</v>
      </c>
      <c r="U139">
        <f t="shared" si="21"/>
        <v>54</v>
      </c>
      <c r="V139">
        <f t="shared" si="25"/>
        <v>8.6999999999999993</v>
      </c>
      <c r="W139">
        <f t="shared" si="22"/>
        <v>7.67</v>
      </c>
      <c r="X139" s="19">
        <v>45300</v>
      </c>
      <c r="Y139" s="26">
        <v>172.3</v>
      </c>
      <c r="Z139" s="61">
        <v>0</v>
      </c>
      <c r="AB139" s="28">
        <f t="shared" si="24"/>
        <v>0.13849999999999996</v>
      </c>
      <c r="AC139" s="110">
        <v>53.3</v>
      </c>
      <c r="AD139" s="26">
        <v>68.599999999999994</v>
      </c>
      <c r="AE139" s="61">
        <f t="shared" si="23"/>
        <v>15.299999999999997</v>
      </c>
      <c r="AF139" s="77" t="str">
        <f>_xlfn.XLOOKUP(AD139,menu!$K$2:$K$9,menu!$J$2:$J$9,"",1)</f>
        <v>中淺</v>
      </c>
      <c r="AG139" s="80" t="str">
        <f>_xlfn.XLOOKUP(AH139,menu!$O$2:$O$9,menu!$H$2:$H$9,"")</f>
        <v>Medium</v>
      </c>
      <c r="AH139" s="81" t="s">
        <v>72</v>
      </c>
      <c r="AI139" t="s">
        <v>363</v>
      </c>
      <c r="AJ139" s="23" t="s">
        <v>364</v>
      </c>
    </row>
    <row r="140" spans="1:36" x14ac:dyDescent="0.3">
      <c r="A140">
        <v>123</v>
      </c>
      <c r="B140">
        <v>200</v>
      </c>
      <c r="C140">
        <v>7</v>
      </c>
      <c r="E140" t="s">
        <v>297</v>
      </c>
      <c r="F140" s="22" t="str">
        <f>_xlfn.XLOOKUP(E140,menu!$A$2:$A$37,menu!$B$2:$B$37,"")</f>
        <v>Salvador</v>
      </c>
      <c r="G140" t="str">
        <f>_xlfn.XLOOKUP(E140,menu!$A$2:$A$37,menu!$C$2:$C$37,"")</f>
        <v>slv</v>
      </c>
      <c r="H140" t="s">
        <v>59</v>
      </c>
      <c r="I140">
        <v>200</v>
      </c>
      <c r="J140">
        <v>70</v>
      </c>
      <c r="K140">
        <v>40</v>
      </c>
      <c r="L140">
        <v>75</v>
      </c>
      <c r="M140" s="68" t="s">
        <v>190</v>
      </c>
      <c r="N140">
        <v>90.6</v>
      </c>
      <c r="O140">
        <v>18</v>
      </c>
      <c r="P140" s="67" t="s">
        <v>40</v>
      </c>
      <c r="Q140" s="68">
        <v>201.5</v>
      </c>
      <c r="R140" s="67" t="s">
        <v>365</v>
      </c>
      <c r="S140" s="68">
        <v>210.8</v>
      </c>
      <c r="T140" s="68">
        <f t="shared" si="20"/>
        <v>9.3000000000000114</v>
      </c>
      <c r="U140">
        <f t="shared" si="21"/>
        <v>65</v>
      </c>
      <c r="V140">
        <f t="shared" si="25"/>
        <v>8.6</v>
      </c>
      <c r="W140">
        <f t="shared" si="22"/>
        <v>9.8000000000000007</v>
      </c>
      <c r="X140" s="19">
        <v>45300</v>
      </c>
      <c r="Y140" s="26">
        <v>176.1</v>
      </c>
      <c r="Z140" s="61">
        <v>0</v>
      </c>
      <c r="AB140" s="28">
        <f t="shared" si="24"/>
        <v>0.11950000000000002</v>
      </c>
      <c r="AC140" s="110">
        <v>57.6</v>
      </c>
      <c r="AD140" s="26">
        <v>73.2</v>
      </c>
      <c r="AE140" s="61">
        <f t="shared" si="23"/>
        <v>15.600000000000001</v>
      </c>
      <c r="AF140" s="77" t="str">
        <f>_xlfn.XLOOKUP(AD140,menu!$K$2:$K$9,menu!$J$2:$J$9,"",1)</f>
        <v>淺</v>
      </c>
      <c r="AG140" s="80" t="str">
        <f>_xlfn.XLOOKUP(AH140,menu!$O$2:$O$9,menu!$H$2:$H$9,"")</f>
        <v>Medium</v>
      </c>
      <c r="AH140" s="81" t="s">
        <v>72</v>
      </c>
      <c r="AI140" t="str">
        <f>_xlfn.LET(_xlpm.x,_xlfn.CONCAT(_xlfn.XLOOKUP(D140,beans!$A$2:$A$300,beans!$J$2:$J$300,"")," / ",_xlfn.XLOOKUP(D140,beans!$A$2:$A$300,beans!$K$2:$K$300,"")," - ",_xlfn.XLOOKUP(D140,beans!$A$2:$A$300,beans!$L$2:$L$300,"")),IF(_xlpm.x=" /  - ","",_xlpm.x))</f>
        <v/>
      </c>
      <c r="AJ140" s="23" t="s">
        <v>366</v>
      </c>
    </row>
    <row r="141" spans="1:36" x14ac:dyDescent="0.3">
      <c r="A141">
        <v>124</v>
      </c>
      <c r="B141">
        <v>250</v>
      </c>
      <c r="D141">
        <v>53</v>
      </c>
      <c r="E141" t="str">
        <f>_xlfn.LET(_xlpm.x,_xlfn.XLOOKUP(D141,beans!$A$2:$A$300,beans!$H$2:$H$300,""),IF(_xlpm.x="","",_xlpm.x))</f>
        <v>衣索比亞</v>
      </c>
      <c r="F141" s="22" t="str">
        <f>_xlfn.XLOOKUP(E141,menu!$A$2:$A$37,menu!$B$2:$B$37,"")</f>
        <v>Ethiopia</v>
      </c>
      <c r="G141" t="str">
        <f>_xlfn.XLOOKUP(E141,menu!$A$2:$A$37,menu!$C$2:$C$37,"")</f>
        <v>eth</v>
      </c>
      <c r="H141" t="str">
        <f>_xlfn.LET(_xlpm.x,_xlfn.XLOOKUP(_xlfn.XLOOKUP(D141,beans!$A$2:$A$300,beans!$I$2:$I$300),menu!$E$2:$E$20,menu!$F$2:$F$20),IF(_xlpm.x="","",_xlpm.x))</f>
        <v>Anaerobic Natural</v>
      </c>
      <c r="I141">
        <v>200</v>
      </c>
      <c r="J141">
        <v>70</v>
      </c>
      <c r="K141">
        <v>30</v>
      </c>
      <c r="L141">
        <v>70</v>
      </c>
      <c r="M141" s="68" t="s">
        <v>207</v>
      </c>
      <c r="N141">
        <v>85</v>
      </c>
      <c r="O141">
        <v>16</v>
      </c>
      <c r="P141" s="67" t="s">
        <v>367</v>
      </c>
      <c r="Q141" s="68">
        <v>204.5</v>
      </c>
      <c r="R141" s="67" t="s">
        <v>185</v>
      </c>
      <c r="S141" s="68">
        <v>211</v>
      </c>
      <c r="T141" s="68">
        <f t="shared" si="20"/>
        <v>6.5</v>
      </c>
      <c r="U141">
        <f t="shared" si="21"/>
        <v>36</v>
      </c>
      <c r="V141">
        <f t="shared" si="25"/>
        <v>10.8</v>
      </c>
      <c r="W141">
        <f t="shared" si="22"/>
        <v>5.21</v>
      </c>
      <c r="X141" s="19">
        <v>45306</v>
      </c>
      <c r="Y141" s="26">
        <v>219</v>
      </c>
      <c r="Z141" s="61">
        <v>0</v>
      </c>
      <c r="AB141" s="28">
        <f t="shared" si="24"/>
        <v>0.124</v>
      </c>
      <c r="AC141" s="110">
        <v>51.3</v>
      </c>
      <c r="AD141" s="26">
        <v>78.900000000000006</v>
      </c>
      <c r="AE141" s="61">
        <f t="shared" si="23"/>
        <v>27.600000000000009</v>
      </c>
      <c r="AF141" s="77" t="str">
        <f>_xlfn.XLOOKUP(AD141,menu!$K$2:$K$9,menu!$J$2:$J$9,"",1)</f>
        <v>淺</v>
      </c>
      <c r="AG141" s="80" t="str">
        <f>_xlfn.XLOOKUP(AH141,menu!$O$2:$O$9,menu!$H$2:$H$9,"")</f>
        <v>Cinamon</v>
      </c>
      <c r="AH141" s="81" t="s">
        <v>78</v>
      </c>
      <c r="AI141" t="str">
        <f>_xlfn.LET(_xlpm.x,_xlfn.CONCAT(_xlfn.XLOOKUP(D141,beans!$A$2:$A$300,beans!$J$2:$J$300,"")," / ",_xlfn.XLOOKUP(D141,beans!$A$2:$A$300,beans!$K$2:$K$300,"")," - ",_xlfn.XLOOKUP(D141,beans!$A$2:$A$300,beans!$L$2:$L$300,"")),IF(_xlpm.x=" /  - ","",_xlpm.x))</f>
        <v>耶加雪菲 / 切切雷(Chelchele) - 原生種</v>
      </c>
      <c r="AJ141" s="23" t="s">
        <v>368</v>
      </c>
    </row>
    <row r="142" spans="1:36" ht="32.4" x14ac:dyDescent="0.3">
      <c r="A142">
        <v>125</v>
      </c>
      <c r="B142">
        <v>250</v>
      </c>
      <c r="C142">
        <v>7</v>
      </c>
      <c r="D142">
        <v>6</v>
      </c>
      <c r="E142" t="str">
        <f>_xlfn.LET(_xlpm.x,_xlfn.XLOOKUP(D142,beans!$A$2:$A$300,beans!$H$2:$H$300,""),IF(_xlpm.x="","",_xlpm.x))</f>
        <v>肯亞</v>
      </c>
      <c r="F142" s="22" t="str">
        <f>_xlfn.XLOOKUP(E142,menu!$A$2:$A$37,menu!$B$2:$B$37,"")</f>
        <v>Kenya</v>
      </c>
      <c r="G142" t="str">
        <f>_xlfn.XLOOKUP(E142,menu!$A$2:$A$37,menu!$C$2:$C$37,"")</f>
        <v>ken</v>
      </c>
      <c r="H142" t="str">
        <f>_xlfn.LET(_xlpm.x,_xlfn.XLOOKUP(_xlfn.XLOOKUP(D142,beans!$A$2:$A$300,beans!$I$2:$I$300),menu!$E$2:$E$20,menu!$F$2:$F$20),IF(_xlpm.x="","",_xlpm.x))</f>
        <v>washed</v>
      </c>
      <c r="I142">
        <v>200</v>
      </c>
      <c r="J142">
        <v>70</v>
      </c>
      <c r="K142">
        <v>30</v>
      </c>
      <c r="L142">
        <v>70</v>
      </c>
      <c r="M142" s="68" t="s">
        <v>190</v>
      </c>
      <c r="N142">
        <v>86.8</v>
      </c>
      <c r="O142">
        <v>17</v>
      </c>
      <c r="P142" s="67" t="s">
        <v>369</v>
      </c>
      <c r="Q142" s="68">
        <v>204.5</v>
      </c>
      <c r="R142" s="67" t="s">
        <v>370</v>
      </c>
      <c r="S142" s="68">
        <v>211.4</v>
      </c>
      <c r="T142" s="68">
        <f t="shared" si="20"/>
        <v>6.9000000000000057</v>
      </c>
      <c r="U142">
        <f t="shared" si="21"/>
        <v>58</v>
      </c>
      <c r="V142">
        <f t="shared" si="25"/>
        <v>7.1</v>
      </c>
      <c r="W142">
        <f t="shared" si="22"/>
        <v>8.43</v>
      </c>
      <c r="X142" s="19">
        <v>45306</v>
      </c>
      <c r="Y142" s="26">
        <v>216</v>
      </c>
      <c r="Z142" s="61">
        <v>0</v>
      </c>
      <c r="AA142" s="61">
        <v>0</v>
      </c>
      <c r="AB142" s="28">
        <f t="shared" si="24"/>
        <v>0.13600000000000001</v>
      </c>
      <c r="AC142" s="110">
        <v>51</v>
      </c>
      <c r="AD142" s="26">
        <v>64.900000000000006</v>
      </c>
      <c r="AE142" s="61">
        <f t="shared" si="23"/>
        <v>13.900000000000006</v>
      </c>
      <c r="AF142" s="77" t="str">
        <f>_xlfn.XLOOKUP(AD142,menu!$K$2:$K$9,menu!$J$2:$J$9,"",1)</f>
        <v>中淺</v>
      </c>
      <c r="AG142" s="80" t="str">
        <f>_xlfn.XLOOKUP(AH142,menu!$O$2:$O$9,menu!$H$2:$H$9,"")</f>
        <v>Medium</v>
      </c>
      <c r="AH142" s="81" t="s">
        <v>72</v>
      </c>
      <c r="AI142" t="str">
        <f>_xlfn.LET(_xlpm.x,_xlfn.CONCAT(_xlfn.XLOOKUP(D142,beans!$A$2:$A$300,beans!$J$2:$J$300,"")," / ",_xlfn.XLOOKUP(D142,beans!$A$2:$A$300,beans!$K$2:$K$300,"")," - ",_xlfn.XLOOKUP(D142,beans!$A$2:$A$300,beans!$L$2:$L$300,"")),IF(_xlpm.x=" /  - ","",_xlpm.x))</f>
        <v>東非大裂谷產區 / 烏克栗栗/黑莓皇后 - SL28, SL34, 少許Ruiru以及Batian</v>
      </c>
      <c r="AJ142" s="23" t="s">
        <v>371</v>
      </c>
    </row>
    <row r="143" spans="1:36" x14ac:dyDescent="0.3">
      <c r="A143">
        <v>126</v>
      </c>
      <c r="B143">
        <v>250</v>
      </c>
      <c r="C143">
        <v>6</v>
      </c>
      <c r="D143">
        <v>7</v>
      </c>
      <c r="E143" t="str">
        <f>_xlfn.LET(_xlpm.x,_xlfn.XLOOKUP(D143,beans!$A$2:$A$300,beans!$H$2:$H$300,""),IF(_xlpm.x="","",_xlpm.x))</f>
        <v>瓜地馬拉</v>
      </c>
      <c r="F143" s="22" t="str">
        <f>_xlfn.XLOOKUP(E143,menu!$A$2:$A$37,menu!$B$2:$B$37,"")</f>
        <v>Guatemala</v>
      </c>
      <c r="G143" t="str">
        <f>_xlfn.XLOOKUP(E143,menu!$A$2:$A$37,menu!$C$2:$C$37,"")</f>
        <v>gtm</v>
      </c>
      <c r="H143" t="str">
        <f>_xlfn.LET(_xlpm.x,_xlfn.XLOOKUP(_xlfn.XLOOKUP(D143,beans!$A$2:$A$300,beans!$I$2:$I$300),menu!$E$2:$E$20,menu!$F$2:$F$20),IF(_xlpm.x="","",_xlpm.x))</f>
        <v>washed</v>
      </c>
      <c r="I143">
        <v>200</v>
      </c>
      <c r="J143">
        <v>70</v>
      </c>
      <c r="K143">
        <v>30</v>
      </c>
      <c r="L143">
        <v>70</v>
      </c>
      <c r="M143" s="68" t="s">
        <v>229</v>
      </c>
      <c r="N143">
        <v>90.4</v>
      </c>
      <c r="O143">
        <v>20</v>
      </c>
      <c r="P143" s="67" t="s">
        <v>236</v>
      </c>
      <c r="Q143" s="68">
        <v>203.9</v>
      </c>
      <c r="R143" s="67" t="s">
        <v>365</v>
      </c>
      <c r="S143" s="68">
        <v>216.3</v>
      </c>
      <c r="T143" s="68">
        <f t="shared" si="20"/>
        <v>12.400000000000006</v>
      </c>
      <c r="U143">
        <f t="shared" si="21"/>
        <v>83</v>
      </c>
      <c r="V143">
        <f t="shared" si="25"/>
        <v>9</v>
      </c>
      <c r="W143">
        <f t="shared" si="22"/>
        <v>12.52</v>
      </c>
      <c r="X143" s="19">
        <v>45306</v>
      </c>
      <c r="Y143" s="26">
        <v>215.7</v>
      </c>
      <c r="Z143" s="61">
        <v>0</v>
      </c>
      <c r="AB143" s="28">
        <f t="shared" si="24"/>
        <v>0.13720000000000004</v>
      </c>
      <c r="AC143" s="110">
        <v>53.9</v>
      </c>
      <c r="AD143" s="26">
        <v>63.9</v>
      </c>
      <c r="AE143" s="61">
        <f t="shared" si="23"/>
        <v>10</v>
      </c>
      <c r="AF143" s="77" t="str">
        <f>_xlfn.XLOOKUP(AD143,menu!$K$2:$K$9,menu!$J$2:$J$9,"",1)</f>
        <v>中淺</v>
      </c>
      <c r="AG143" s="80" t="str">
        <f>_xlfn.XLOOKUP(AH143,menu!$O$2:$O$9,menu!$H$2:$H$9,"")</f>
        <v>Medium</v>
      </c>
      <c r="AH143" s="81" t="s">
        <v>72</v>
      </c>
      <c r="AI143" t="str">
        <f>_xlfn.LET(_xlpm.x,_xlfn.CONCAT(_xlfn.XLOOKUP(D143,beans!$A$2:$A$300,beans!$J$2:$J$300,"")," / ",_xlfn.XLOOKUP(D143,beans!$A$2:$A$300,beans!$K$2:$K$300,"")," - ",_xlfn.XLOOKUP(D143,beans!$A$2:$A$300,beans!$L$2:$L$300,"")),IF(_xlpm.x=" /  - ","",_xlpm.x))</f>
        <v>安提瓜 (Antiqua) / 拉米妮塔 花神 - Peaberry</v>
      </c>
      <c r="AJ143" s="23" t="s">
        <v>372</v>
      </c>
    </row>
    <row r="144" spans="1:36" x14ac:dyDescent="0.3">
      <c r="A144">
        <v>127</v>
      </c>
      <c r="B144">
        <v>420</v>
      </c>
      <c r="D144">
        <v>2</v>
      </c>
      <c r="E144" t="str">
        <f>_xlfn.LET(_xlpm.x,_xlfn.XLOOKUP(D144,beans!$A$2:$A$300,beans!$H$2:$H$300,""),IF(_xlpm.x="","",_xlpm.x))</f>
        <v>哥斯大黎加</v>
      </c>
      <c r="F144" s="22" t="str">
        <f>_xlfn.XLOOKUP(E144,menu!$A$2:$A$37,menu!$B$2:$B$37,"")</f>
        <v>Costa Rica</v>
      </c>
      <c r="G144" t="str">
        <f>_xlfn.XLOOKUP(E144,menu!$A$2:$A$37,menu!$C$2:$C$37,"")</f>
        <v>cri</v>
      </c>
      <c r="H144" t="str">
        <f>_xlfn.LET(_xlpm.x,_xlfn.XLOOKUP(_xlfn.XLOOKUP(D144,beans!$A$2:$A$300,beans!$I$2:$I$300),menu!$E$2:$E$20,menu!$F$2:$F$20),IF(_xlpm.x="","",_xlpm.x))</f>
        <v>raisin-honey</v>
      </c>
      <c r="I144">
        <v>200</v>
      </c>
      <c r="J144">
        <v>80</v>
      </c>
      <c r="K144">
        <v>30</v>
      </c>
      <c r="L144">
        <v>75</v>
      </c>
      <c r="M144" s="68" t="s">
        <v>217</v>
      </c>
      <c r="N144">
        <v>78.8</v>
      </c>
      <c r="O144">
        <v>18</v>
      </c>
      <c r="P144" s="67" t="s">
        <v>373</v>
      </c>
      <c r="Q144" s="68">
        <v>198.9</v>
      </c>
      <c r="R144" s="67" t="s">
        <v>374</v>
      </c>
      <c r="S144" s="68">
        <v>215.7</v>
      </c>
      <c r="T144" s="68">
        <f t="shared" si="20"/>
        <v>16.799999999999983</v>
      </c>
      <c r="U144">
        <f t="shared" si="21"/>
        <v>107</v>
      </c>
      <c r="V144">
        <f t="shared" si="25"/>
        <v>9.4</v>
      </c>
      <c r="W144">
        <f t="shared" si="22"/>
        <v>14.72</v>
      </c>
      <c r="X144" s="19">
        <v>45308</v>
      </c>
      <c r="Y144" s="26">
        <v>365.1</v>
      </c>
      <c r="Z144" s="61">
        <v>0</v>
      </c>
      <c r="AA144" s="61">
        <v>0</v>
      </c>
      <c r="AB144" s="28">
        <f t="shared" si="24"/>
        <v>0.13071428571428567</v>
      </c>
      <c r="AC144" s="110">
        <v>42.3</v>
      </c>
      <c r="AD144" s="26">
        <v>64.900000000000006</v>
      </c>
      <c r="AE144" s="61">
        <f t="shared" si="23"/>
        <v>22.600000000000009</v>
      </c>
      <c r="AF144" s="77" t="str">
        <f>_xlfn.XLOOKUP(AD144,menu!$K$2:$K$9,menu!$J$2:$J$9,"",1)</f>
        <v>中淺</v>
      </c>
      <c r="AG144" s="80" t="str">
        <f>_xlfn.XLOOKUP(AH144,menu!$O$2:$O$9,menu!$H$2:$H$9,"")</f>
        <v>Medium</v>
      </c>
      <c r="AH144" s="81" t="s">
        <v>72</v>
      </c>
      <c r="AI144" t="str">
        <f>_xlfn.LET(_xlpm.x,_xlfn.CONCAT(_xlfn.XLOOKUP(D144,beans!$A$2:$A$300,beans!$J$2:$J$300,"")," / ",_xlfn.XLOOKUP(D144,beans!$A$2:$A$300,beans!$K$2:$K$300,"")," - ",_xlfn.XLOOKUP(D144,beans!$A$2:$A$300,beans!$L$2:$L$300,"")),IF(_xlpm.x=" /  - ","",_xlpm.x))</f>
        <v xml:space="preserve">Tarrazu / 卡內特 音樂家系列 莫札特 - </v>
      </c>
      <c r="AJ144" s="23" t="s">
        <v>375</v>
      </c>
    </row>
    <row r="145" spans="1:36" ht="32.4" x14ac:dyDescent="0.3">
      <c r="A145">
        <v>128</v>
      </c>
      <c r="B145">
        <v>250</v>
      </c>
      <c r="C145">
        <v>6</v>
      </c>
      <c r="D145">
        <v>9</v>
      </c>
      <c r="E145" t="str">
        <f>_xlfn.LET(_xlpm.x,_xlfn.XLOOKUP(D145,beans!$A$2:$A$300,beans!$H$2:$H$300,""),IF(_xlpm.x="","",_xlpm.x))</f>
        <v>衣索比亞</v>
      </c>
      <c r="F145" s="22" t="str">
        <f>_xlfn.XLOOKUP(E145,menu!$A$2:$A$37,menu!$B$2:$B$37,"")</f>
        <v>Ethiopia</v>
      </c>
      <c r="G145" t="str">
        <f>_xlfn.XLOOKUP(E145,menu!$A$2:$A$37,menu!$C$2:$C$37,"")</f>
        <v>eth</v>
      </c>
      <c r="H145" t="str">
        <f>_xlfn.LET(_xlpm.x,_xlfn.XLOOKUP(_xlfn.XLOOKUP(D145,beans!$A$2:$A$300,beans!$I$2:$I$300),menu!$E$2:$E$20,menu!$F$2:$F$20),IF(_xlpm.x="","",_xlpm.x))</f>
        <v>natural</v>
      </c>
      <c r="I145">
        <v>200</v>
      </c>
      <c r="J145">
        <v>70</v>
      </c>
      <c r="K145">
        <v>30</v>
      </c>
      <c r="L145">
        <v>75</v>
      </c>
      <c r="M145" s="68" t="s">
        <v>146</v>
      </c>
      <c r="N145">
        <v>85.1</v>
      </c>
      <c r="O145">
        <v>17</v>
      </c>
      <c r="P145" s="67" t="s">
        <v>376</v>
      </c>
      <c r="Q145" s="68">
        <v>207</v>
      </c>
      <c r="R145" s="67" t="s">
        <v>377</v>
      </c>
      <c r="S145" s="68">
        <v>215.4</v>
      </c>
      <c r="T145" s="68">
        <f t="shared" si="20"/>
        <v>8.4000000000000057</v>
      </c>
      <c r="U145">
        <f t="shared" si="21"/>
        <v>41</v>
      </c>
      <c r="V145">
        <f t="shared" si="25"/>
        <v>12.3</v>
      </c>
      <c r="W145">
        <f t="shared" si="22"/>
        <v>5.94</v>
      </c>
      <c r="X145" s="19">
        <v>45308</v>
      </c>
      <c r="Y145" s="26">
        <v>204</v>
      </c>
      <c r="Z145" s="61">
        <v>0</v>
      </c>
      <c r="AB145" s="28">
        <f t="shared" si="24"/>
        <v>0.184</v>
      </c>
      <c r="AC145" s="110">
        <v>45.8</v>
      </c>
      <c r="AD145" s="26">
        <v>70.3</v>
      </c>
      <c r="AE145" s="61">
        <f t="shared" si="23"/>
        <v>24.5</v>
      </c>
      <c r="AF145" s="77" t="str">
        <f>_xlfn.XLOOKUP(AD145,menu!$K$2:$K$9,menu!$J$2:$J$9,"",1)</f>
        <v>淺</v>
      </c>
      <c r="AG145" s="80" t="str">
        <f>_xlfn.XLOOKUP(AH145,menu!$O$2:$O$9,menu!$H$2:$H$9,"")</f>
        <v>Cinamon</v>
      </c>
      <c r="AH145" s="81" t="s">
        <v>78</v>
      </c>
      <c r="AI145" t="str">
        <f>_xlfn.LET(_xlpm.x,_xlfn.CONCAT(_xlfn.XLOOKUP(D145,beans!$A$2:$A$300,beans!$J$2:$J$300,"")," / ",_xlfn.XLOOKUP(D145,beans!$A$2:$A$300,beans!$K$2:$K$300,"")," - ",_xlfn.XLOOKUP(D145,beans!$A$2:$A$300,beans!$L$2:$L$300,"")),IF(_xlpm.x=" /  - ","",_xlpm.x))</f>
        <v>吉瑪 利姆 / 果美村 - 寶貝藝妓</v>
      </c>
      <c r="AJ145" s="23" t="s">
        <v>378</v>
      </c>
    </row>
    <row r="146" spans="1:36" x14ac:dyDescent="0.3">
      <c r="A146">
        <v>129</v>
      </c>
      <c r="B146">
        <v>200</v>
      </c>
      <c r="E146" t="s">
        <v>304</v>
      </c>
      <c r="F146" s="22" t="str">
        <f>_xlfn.XLOOKUP(E146,menu!$A$2:$A$37,menu!$B$2:$B$37,"")</f>
        <v>Guatemala</v>
      </c>
      <c r="G146" t="str">
        <f>_xlfn.XLOOKUP(E146,menu!$A$2:$A$37,menu!$C$2:$C$37,"")</f>
        <v>gtm</v>
      </c>
      <c r="H146" t="s">
        <v>44</v>
      </c>
      <c r="I146">
        <v>200</v>
      </c>
      <c r="J146">
        <v>70</v>
      </c>
      <c r="K146">
        <v>30</v>
      </c>
      <c r="L146">
        <v>75</v>
      </c>
      <c r="M146" s="68" t="s">
        <v>217</v>
      </c>
      <c r="N146">
        <v>92.8</v>
      </c>
      <c r="O146">
        <v>16</v>
      </c>
      <c r="P146" s="67" t="s">
        <v>319</v>
      </c>
      <c r="Q146" s="68">
        <v>209.3</v>
      </c>
      <c r="R146" s="67" t="s">
        <v>205</v>
      </c>
      <c r="S146" s="68">
        <v>222.6</v>
      </c>
      <c r="T146" s="68">
        <f t="shared" si="20"/>
        <v>13.299999999999983</v>
      </c>
      <c r="U146">
        <f t="shared" si="21"/>
        <v>77</v>
      </c>
      <c r="V146">
        <f t="shared" si="25"/>
        <v>10.4</v>
      </c>
      <c r="W146">
        <f t="shared" si="22"/>
        <v>10.55</v>
      </c>
      <c r="X146" s="19">
        <v>45308</v>
      </c>
      <c r="Y146" s="26">
        <v>167.6</v>
      </c>
      <c r="Z146" s="61">
        <f>150-20-10-120</f>
        <v>0</v>
      </c>
      <c r="AB146" s="28">
        <f t="shared" si="24"/>
        <v>0.16200000000000003</v>
      </c>
      <c r="AC146" s="110">
        <v>45.3</v>
      </c>
      <c r="AD146" s="26">
        <v>62.3</v>
      </c>
      <c r="AE146" s="61">
        <f t="shared" si="23"/>
        <v>17</v>
      </c>
      <c r="AF146" s="77" t="str">
        <f>_xlfn.XLOOKUP(AD146,menu!$K$2:$K$9,menu!$J$2:$J$9,"",1)</f>
        <v>中淺</v>
      </c>
      <c r="AG146" s="80" t="str">
        <f>_xlfn.XLOOKUP(AH146,menu!$O$2:$O$9,menu!$H$2:$H$9,"")</f>
        <v>Medium</v>
      </c>
      <c r="AH146" s="81" t="s">
        <v>72</v>
      </c>
      <c r="AI146" t="s">
        <v>379</v>
      </c>
      <c r="AJ146" s="23" t="s">
        <v>380</v>
      </c>
    </row>
    <row r="147" spans="1:36" x14ac:dyDescent="0.3">
      <c r="A147">
        <v>130</v>
      </c>
      <c r="B147">
        <v>250</v>
      </c>
      <c r="D147">
        <v>2</v>
      </c>
      <c r="E147" t="str">
        <f>_xlfn.LET(_xlpm.x,_xlfn.XLOOKUP(D147,beans!$A$2:$A$300,beans!$H$2:$H$300,""),IF(_xlpm.x="","",_xlpm.x))</f>
        <v>哥斯大黎加</v>
      </c>
      <c r="F147" s="22" t="str">
        <f>_xlfn.XLOOKUP(E147,menu!$A$2:$A$37,menu!$B$2:$B$37,"")</f>
        <v>Costa Rica</v>
      </c>
      <c r="G147" t="str">
        <f>_xlfn.XLOOKUP(E147,menu!$A$2:$A$37,menu!$C$2:$C$37,"")</f>
        <v>cri</v>
      </c>
      <c r="H147" t="str">
        <f>_xlfn.LET(_xlpm.x,_xlfn.XLOOKUP(_xlfn.XLOOKUP(D147,beans!$A$2:$A$300,beans!$I$2:$I$300),menu!$E$2:$E$20,menu!$F$2:$F$20),IF(_xlpm.x="","",_xlpm.x))</f>
        <v>raisin-honey</v>
      </c>
      <c r="I147">
        <v>180</v>
      </c>
      <c r="J147">
        <v>60</v>
      </c>
      <c r="K147">
        <v>60</v>
      </c>
      <c r="L147">
        <v>70</v>
      </c>
      <c r="M147" s="68" t="s">
        <v>146</v>
      </c>
      <c r="N147">
        <v>76.2</v>
      </c>
      <c r="O147">
        <v>14</v>
      </c>
      <c r="P147" s="67" t="s">
        <v>143</v>
      </c>
      <c r="Q147" s="68">
        <v>204.1</v>
      </c>
      <c r="R147" s="67" t="s">
        <v>381</v>
      </c>
      <c r="S147" s="68">
        <v>216.9</v>
      </c>
      <c r="T147" s="68">
        <f t="shared" si="20"/>
        <v>12.800000000000011</v>
      </c>
      <c r="U147">
        <f t="shared" si="21"/>
        <v>74</v>
      </c>
      <c r="V147">
        <f t="shared" si="25"/>
        <v>10.4</v>
      </c>
      <c r="W147">
        <f t="shared" si="22"/>
        <v>8.19</v>
      </c>
      <c r="X147" s="19">
        <v>45309</v>
      </c>
      <c r="Y147" s="26">
        <v>216.4</v>
      </c>
      <c r="Z147" s="61">
        <v>0</v>
      </c>
      <c r="AB147" s="28">
        <f t="shared" si="24"/>
        <v>0.13439999999999996</v>
      </c>
      <c r="AC147" s="110">
        <v>64.599999999999994</v>
      </c>
      <c r="AD147" s="26">
        <v>67</v>
      </c>
      <c r="AE147" s="61">
        <f t="shared" si="23"/>
        <v>2.4000000000000057</v>
      </c>
      <c r="AF147" s="77" t="str">
        <f>_xlfn.XLOOKUP(AD147,menu!$K$2:$K$9,menu!$J$2:$J$9,"",1)</f>
        <v>中淺</v>
      </c>
      <c r="AG147" s="80" t="str">
        <f>_xlfn.XLOOKUP(AH147,menu!$O$2:$O$9,menu!$H$2:$H$9,"")</f>
        <v>Cinamon</v>
      </c>
      <c r="AH147" s="81" t="s">
        <v>78</v>
      </c>
      <c r="AI147" t="str">
        <f>_xlfn.LET(_xlpm.x,_xlfn.CONCAT(_xlfn.XLOOKUP(D147,beans!$A$2:$A$300,beans!$J$2:$J$300,"")," / ",_xlfn.XLOOKUP(D147,beans!$A$2:$A$300,beans!$K$2:$K$300,"")," - ",_xlfn.XLOOKUP(D147,beans!$A$2:$A$300,beans!$L$2:$L$300,"")),IF(_xlpm.x=" /  - ","",_xlpm.x))</f>
        <v xml:space="preserve">Tarrazu / 卡內特 音樂家系列 莫札特 - </v>
      </c>
      <c r="AJ147" s="23" t="s">
        <v>382</v>
      </c>
    </row>
    <row r="148" spans="1:36" x14ac:dyDescent="0.3">
      <c r="A148">
        <v>131</v>
      </c>
      <c r="B148">
        <v>500</v>
      </c>
      <c r="D148">
        <v>2</v>
      </c>
      <c r="E148" t="str">
        <f>_xlfn.LET(_xlpm.x,_xlfn.XLOOKUP(D148,beans!$A$2:$A$300,beans!$H$2:$H$300,""),IF(_xlpm.x="","",_xlpm.x))</f>
        <v>哥斯大黎加</v>
      </c>
      <c r="F148" s="22" t="str">
        <f>_xlfn.XLOOKUP(E148,menu!$A$2:$A$37,menu!$B$2:$B$37,"")</f>
        <v>Costa Rica</v>
      </c>
      <c r="G148" t="str">
        <f>_xlfn.XLOOKUP(E148,menu!$A$2:$A$37,menu!$C$2:$C$37,"")</f>
        <v>cri</v>
      </c>
      <c r="H148" t="str">
        <f>_xlfn.LET(_xlpm.x,_xlfn.XLOOKUP(_xlfn.XLOOKUP(D148,beans!$A$2:$A$300,beans!$I$2:$I$300),menu!$E$2:$E$20,menu!$F$2:$F$20),IF(_xlpm.x="","",_xlpm.x))</f>
        <v>raisin-honey</v>
      </c>
      <c r="I148">
        <v>200</v>
      </c>
      <c r="J148">
        <v>80</v>
      </c>
      <c r="K148">
        <v>30</v>
      </c>
      <c r="L148">
        <v>90</v>
      </c>
      <c r="M148" s="68" t="s">
        <v>109</v>
      </c>
      <c r="N148">
        <v>81</v>
      </c>
      <c r="O148">
        <v>18</v>
      </c>
      <c r="P148" s="67" t="s">
        <v>142</v>
      </c>
      <c r="Q148" s="68">
        <v>203.7</v>
      </c>
      <c r="R148" s="67" t="s">
        <v>271</v>
      </c>
      <c r="S148" s="68">
        <v>216.3</v>
      </c>
      <c r="T148" s="68">
        <f t="shared" si="20"/>
        <v>12.600000000000023</v>
      </c>
      <c r="U148">
        <f t="shared" si="21"/>
        <v>84</v>
      </c>
      <c r="V148">
        <f t="shared" si="25"/>
        <v>9</v>
      </c>
      <c r="W148">
        <f t="shared" si="22"/>
        <v>11.57</v>
      </c>
      <c r="X148" s="19">
        <v>45309</v>
      </c>
      <c r="Y148" s="26">
        <v>434.2</v>
      </c>
      <c r="Z148" s="61">
        <v>0</v>
      </c>
      <c r="AB148" s="28">
        <f t="shared" si="24"/>
        <v>0.13160000000000002</v>
      </c>
      <c r="AC148" s="110">
        <v>43.3</v>
      </c>
      <c r="AD148" s="26">
        <v>61.5</v>
      </c>
      <c r="AE148" s="61">
        <f t="shared" si="23"/>
        <v>18.200000000000003</v>
      </c>
      <c r="AF148" s="77" t="str">
        <f>_xlfn.XLOOKUP(AD148,menu!$K$2:$K$9,menu!$J$2:$J$9,"",1)</f>
        <v>中淺</v>
      </c>
      <c r="AG148" s="80" t="str">
        <f>_xlfn.XLOOKUP(AH148,menu!$O$2:$O$9,menu!$H$2:$H$9,"")</f>
        <v>Cinamon</v>
      </c>
      <c r="AH148" s="81" t="s">
        <v>78</v>
      </c>
      <c r="AI148" t="str">
        <f>_xlfn.LET(_xlpm.x,_xlfn.CONCAT(_xlfn.XLOOKUP(D148,beans!$A$2:$A$300,beans!$J$2:$J$300,"")," / ",_xlfn.XLOOKUP(D148,beans!$A$2:$A$300,beans!$K$2:$K$300,"")," - ",_xlfn.XLOOKUP(D148,beans!$A$2:$A$300,beans!$L$2:$L$300,"")),IF(_xlpm.x=" /  - ","",_xlpm.x))</f>
        <v xml:space="preserve">Tarrazu / 卡內特 音樂家系列 莫札特 - </v>
      </c>
      <c r="AJ148" s="23" t="s">
        <v>382</v>
      </c>
    </row>
    <row r="149" spans="1:36" x14ac:dyDescent="0.3">
      <c r="A149">
        <v>132</v>
      </c>
      <c r="B149">
        <v>500</v>
      </c>
      <c r="D149">
        <v>2</v>
      </c>
      <c r="E149" t="str">
        <f>_xlfn.LET(_xlpm.x,_xlfn.XLOOKUP(D149,beans!$A$2:$A$300,beans!$H$2:$H$300,""),IF(_xlpm.x="","",_xlpm.x))</f>
        <v>哥斯大黎加</v>
      </c>
      <c r="F149" s="22" t="str">
        <f>_xlfn.XLOOKUP(E149,menu!$A$2:$A$37,menu!$B$2:$B$37,"")</f>
        <v>Costa Rica</v>
      </c>
      <c r="G149" t="str">
        <f>_xlfn.XLOOKUP(E149,menu!$A$2:$A$37,menu!$C$2:$C$37,"")</f>
        <v>cri</v>
      </c>
      <c r="H149" t="str">
        <f>_xlfn.LET(_xlpm.x,_xlfn.XLOOKUP(_xlfn.XLOOKUP(D149,beans!$A$2:$A$300,beans!$I$2:$I$300),menu!$E$2:$E$20,menu!$F$2:$F$20),IF(_xlpm.x="","",_xlpm.x))</f>
        <v>raisin-honey</v>
      </c>
      <c r="I149">
        <v>200</v>
      </c>
      <c r="J149">
        <v>80</v>
      </c>
      <c r="K149">
        <v>30</v>
      </c>
      <c r="L149">
        <v>90</v>
      </c>
      <c r="M149" s="68" t="s">
        <v>109</v>
      </c>
      <c r="N149">
        <v>81.900000000000006</v>
      </c>
      <c r="O149">
        <v>18</v>
      </c>
      <c r="P149" s="67" t="s">
        <v>369</v>
      </c>
      <c r="Q149" s="68">
        <v>201.5</v>
      </c>
      <c r="R149" s="67" t="s">
        <v>335</v>
      </c>
      <c r="S149" s="68">
        <v>216.4</v>
      </c>
      <c r="T149" s="68">
        <f t="shared" si="20"/>
        <v>14.900000000000006</v>
      </c>
      <c r="U149">
        <f t="shared" si="21"/>
        <v>84</v>
      </c>
      <c r="V149">
        <f t="shared" si="25"/>
        <v>10.6</v>
      </c>
      <c r="W149">
        <f t="shared" si="22"/>
        <v>11.76</v>
      </c>
      <c r="X149" s="19">
        <v>45309</v>
      </c>
      <c r="Y149" s="26">
        <v>434.2</v>
      </c>
      <c r="Z149" s="61">
        <v>0</v>
      </c>
      <c r="AB149" s="28">
        <f t="shared" si="24"/>
        <v>0.13160000000000002</v>
      </c>
      <c r="AE149" s="61" t="str">
        <f t="shared" si="23"/>
        <v/>
      </c>
      <c r="AF149" s="77" t="str">
        <f>_xlfn.XLOOKUP(AD149,menu!$K$2:$K$9,menu!$J$2:$J$9,"",1)</f>
        <v/>
      </c>
      <c r="AG149" s="80" t="str">
        <f>_xlfn.XLOOKUP(AH149,menu!$O$2:$O$9,menu!$H$2:$H$9,"")</f>
        <v>Cinamon</v>
      </c>
      <c r="AH149" s="81" t="s">
        <v>78</v>
      </c>
      <c r="AI149" t="str">
        <f>_xlfn.LET(_xlpm.x,_xlfn.CONCAT(_xlfn.XLOOKUP(D149,beans!$A$2:$A$300,beans!$J$2:$J$300,"")," / ",_xlfn.XLOOKUP(D149,beans!$A$2:$A$300,beans!$K$2:$K$300,"")," - ",_xlfn.XLOOKUP(D149,beans!$A$2:$A$300,beans!$L$2:$L$300,"")),IF(_xlpm.x=" /  - ","",_xlpm.x))</f>
        <v xml:space="preserve">Tarrazu / 卡內特 音樂家系列 莫札特 - </v>
      </c>
      <c r="AJ149" s="23" t="s">
        <v>382</v>
      </c>
    </row>
    <row r="150" spans="1:36" x14ac:dyDescent="0.3">
      <c r="A150">
        <v>133</v>
      </c>
      <c r="B150">
        <v>325</v>
      </c>
      <c r="D150">
        <v>4</v>
      </c>
      <c r="E150" t="str">
        <f>_xlfn.LET(_xlpm.x,_xlfn.XLOOKUP(D150,beans!$A$2:$A$300,beans!$H$2:$H$300,""),IF(_xlpm.x="","",_xlpm.x))</f>
        <v>衣索比亞</v>
      </c>
      <c r="F150" s="22" t="str">
        <f>_xlfn.XLOOKUP(E150,menu!$A$2:$A$37,menu!$B$2:$B$37,"")</f>
        <v>Ethiopia</v>
      </c>
      <c r="G150" t="str">
        <f>_xlfn.XLOOKUP(E150,menu!$A$2:$A$37,menu!$C$2:$C$37,"")</f>
        <v>eth</v>
      </c>
      <c r="H150" t="str">
        <f>_xlfn.LET(_xlpm.x,_xlfn.XLOOKUP(_xlfn.XLOOKUP(D150,beans!$A$2:$A$300,beans!$I$2:$I$300),menu!$E$2:$E$20,menu!$F$2:$F$20),IF(_xlpm.x="","",_xlpm.x))</f>
        <v>red-honey</v>
      </c>
      <c r="I150">
        <v>200</v>
      </c>
      <c r="J150">
        <v>70</v>
      </c>
      <c r="K150">
        <v>30</v>
      </c>
      <c r="L150">
        <v>70</v>
      </c>
      <c r="M150" s="68" t="s">
        <v>207</v>
      </c>
      <c r="N150">
        <v>80.7</v>
      </c>
      <c r="O150">
        <v>16</v>
      </c>
      <c r="P150" s="67" t="s">
        <v>98</v>
      </c>
      <c r="Q150" s="68">
        <v>200.6</v>
      </c>
      <c r="R150" s="67" t="s">
        <v>383</v>
      </c>
      <c r="S150" s="68">
        <v>214.1</v>
      </c>
      <c r="T150" s="68">
        <f t="shared" si="20"/>
        <v>13.5</v>
      </c>
      <c r="U150">
        <f t="shared" si="21"/>
        <v>60</v>
      </c>
      <c r="V150">
        <f t="shared" si="25"/>
        <v>13.5</v>
      </c>
      <c r="W150">
        <f t="shared" si="22"/>
        <v>8.5</v>
      </c>
      <c r="X150" s="19">
        <v>45309</v>
      </c>
      <c r="Y150" s="26">
        <v>276</v>
      </c>
      <c r="Z150" s="61">
        <v>0</v>
      </c>
      <c r="AB150" s="28">
        <f t="shared" si="24"/>
        <v>0.15076923076923077</v>
      </c>
      <c r="AE150" s="61" t="str">
        <f t="shared" si="23"/>
        <v/>
      </c>
      <c r="AF150" s="77" t="str">
        <f>_xlfn.XLOOKUP(AD150,menu!$K$2:$K$9,menu!$J$2:$J$9,"",1)</f>
        <v/>
      </c>
      <c r="AG150" s="80" t="str">
        <f>_xlfn.XLOOKUP(AH150,menu!$O$2:$O$9,menu!$H$2:$H$9,"")</f>
        <v>Medium</v>
      </c>
      <c r="AH150" s="81" t="s">
        <v>72</v>
      </c>
      <c r="AI150" t="str">
        <f>_xlfn.LET(_xlpm.x,_xlfn.CONCAT(_xlfn.XLOOKUP(D150,beans!$A$2:$A$300,beans!$J$2:$J$300,"")," / ",_xlfn.XLOOKUP(D150,beans!$A$2:$A$300,beans!$K$2:$K$300,"")," - ",_xlfn.XLOOKUP(D150,beans!$A$2:$A$300,beans!$L$2:$L$300,"")),IF(_xlpm.x=" /  - ","",_xlpm.x))</f>
        <v>古吉 罕貝拉 / 月見野櫻花 - Heirloom</v>
      </c>
      <c r="AJ150" s="23" t="s">
        <v>384</v>
      </c>
    </row>
    <row r="151" spans="1:36" x14ac:dyDescent="0.3">
      <c r="A151">
        <v>134</v>
      </c>
      <c r="B151">
        <v>325</v>
      </c>
      <c r="D151">
        <v>4</v>
      </c>
      <c r="E151" t="str">
        <f>_xlfn.LET(_xlpm.x,_xlfn.XLOOKUP(D151,beans!$A$2:$A$300,beans!$H$2:$H$300,""),IF(_xlpm.x="","",_xlpm.x))</f>
        <v>衣索比亞</v>
      </c>
      <c r="F151" s="22" t="str">
        <f>_xlfn.XLOOKUP(E151,menu!$A$2:$A$37,menu!$B$2:$B$37,"")</f>
        <v>Ethiopia</v>
      </c>
      <c r="G151" t="str">
        <f>_xlfn.XLOOKUP(E151,menu!$A$2:$A$37,menu!$C$2:$C$37,"")</f>
        <v>eth</v>
      </c>
      <c r="H151" t="str">
        <f>_xlfn.LET(_xlpm.x,_xlfn.XLOOKUP(_xlfn.XLOOKUP(D151,beans!$A$2:$A$300,beans!$I$2:$I$300),menu!$E$2:$E$20,menu!$F$2:$F$20),IF(_xlpm.x="","",_xlpm.x))</f>
        <v>red-honey</v>
      </c>
      <c r="I151">
        <v>200</v>
      </c>
      <c r="J151">
        <v>70</v>
      </c>
      <c r="K151">
        <v>30</v>
      </c>
      <c r="L151">
        <v>70</v>
      </c>
      <c r="M151" s="68" t="s">
        <v>54</v>
      </c>
      <c r="N151">
        <v>82.6</v>
      </c>
      <c r="O151">
        <v>15</v>
      </c>
      <c r="P151" s="67" t="s">
        <v>142</v>
      </c>
      <c r="Q151" s="68">
        <v>199.9</v>
      </c>
      <c r="R151" s="67" t="s">
        <v>362</v>
      </c>
      <c r="S151" s="68">
        <v>214.2</v>
      </c>
      <c r="T151" s="68">
        <f t="shared" si="20"/>
        <v>14.299999999999983</v>
      </c>
      <c r="U151">
        <f t="shared" si="21"/>
        <v>62</v>
      </c>
      <c r="V151">
        <f t="shared" si="25"/>
        <v>13.8</v>
      </c>
      <c r="W151">
        <f t="shared" si="22"/>
        <v>8.81</v>
      </c>
      <c r="X151" s="19">
        <v>45309</v>
      </c>
      <c r="Y151" s="26">
        <v>276</v>
      </c>
      <c r="Z151" s="61">
        <v>0</v>
      </c>
      <c r="AB151" s="28">
        <f t="shared" si="24"/>
        <v>0.15076923076923077</v>
      </c>
      <c r="AE151" s="61" t="str">
        <f t="shared" si="23"/>
        <v/>
      </c>
      <c r="AF151" s="77" t="str">
        <f>_xlfn.XLOOKUP(AD151,menu!$K$2:$K$9,menu!$J$2:$J$9,"",1)</f>
        <v/>
      </c>
      <c r="AG151" s="80" t="str">
        <f>_xlfn.XLOOKUP(AH151,menu!$O$2:$O$9,menu!$H$2:$H$9,"")</f>
        <v>Medium</v>
      </c>
      <c r="AH151" s="81" t="s">
        <v>72</v>
      </c>
      <c r="AI151" t="str">
        <f>_xlfn.LET(_xlpm.x,_xlfn.CONCAT(_xlfn.XLOOKUP(D151,beans!$A$2:$A$300,beans!$J$2:$J$300,"")," / ",_xlfn.XLOOKUP(D151,beans!$A$2:$A$300,beans!$K$2:$K$300,"")," - ",_xlfn.XLOOKUP(D151,beans!$A$2:$A$300,beans!$L$2:$L$300,"")),IF(_xlpm.x=" /  - ","",_xlpm.x))</f>
        <v>古吉 罕貝拉 / 月見野櫻花 - Heirloom</v>
      </c>
      <c r="AJ151" s="23" t="s">
        <v>385</v>
      </c>
    </row>
    <row r="152" spans="1:36" x14ac:dyDescent="0.3">
      <c r="A152">
        <v>135</v>
      </c>
      <c r="B152">
        <v>500</v>
      </c>
      <c r="D152">
        <v>9</v>
      </c>
      <c r="E152" t="str">
        <f>_xlfn.LET(_xlpm.x,_xlfn.XLOOKUP(D152,beans!$A$2:$A$300,beans!$H$2:$H$300,""),IF(_xlpm.x="","",_xlpm.x))</f>
        <v>衣索比亞</v>
      </c>
      <c r="F152" s="22" t="str">
        <f>_xlfn.XLOOKUP(E152,menu!$A$2:$A$37,menu!$B$2:$B$37,"")</f>
        <v>Ethiopia</v>
      </c>
      <c r="G152" t="str">
        <f>_xlfn.XLOOKUP(E152,menu!$A$2:$A$37,menu!$C$2:$C$37,"")</f>
        <v>eth</v>
      </c>
      <c r="H152" t="str">
        <f>_xlfn.LET(_xlpm.x,_xlfn.XLOOKUP(_xlfn.XLOOKUP(D152,beans!$A$2:$A$300,beans!$I$2:$I$300),menu!$E$2:$E$20,menu!$F$2:$F$20),IF(_xlpm.x="","",_xlpm.x))</f>
        <v>natural</v>
      </c>
      <c r="I152">
        <v>200</v>
      </c>
      <c r="J152">
        <v>80</v>
      </c>
      <c r="K152">
        <v>25</v>
      </c>
      <c r="L152">
        <v>90</v>
      </c>
      <c r="M152" s="68" t="s">
        <v>217</v>
      </c>
      <c r="N152">
        <v>81.2</v>
      </c>
      <c r="O152">
        <v>15</v>
      </c>
      <c r="P152" s="67" t="s">
        <v>373</v>
      </c>
      <c r="Q152" s="68">
        <v>202.6</v>
      </c>
      <c r="R152" s="67" t="s">
        <v>386</v>
      </c>
      <c r="S152" s="68">
        <v>212.3</v>
      </c>
      <c r="T152" s="68">
        <f t="shared" si="20"/>
        <v>9.7000000000000171</v>
      </c>
      <c r="U152">
        <f t="shared" si="21"/>
        <v>44</v>
      </c>
      <c r="V152">
        <f t="shared" si="25"/>
        <v>13.2</v>
      </c>
      <c r="W152">
        <f t="shared" si="22"/>
        <v>6.63</v>
      </c>
      <c r="X152" s="19">
        <v>45311</v>
      </c>
      <c r="Y152" s="26">
        <v>428.3</v>
      </c>
      <c r="Z152" s="61">
        <v>0</v>
      </c>
      <c r="AB152" s="28">
        <f t="shared" si="24"/>
        <v>0.14339999999999997</v>
      </c>
      <c r="AC152" s="110">
        <v>49.5</v>
      </c>
      <c r="AD152" s="26">
        <v>70.5</v>
      </c>
      <c r="AE152" s="61">
        <f t="shared" si="23"/>
        <v>21</v>
      </c>
      <c r="AF152" s="77" t="str">
        <f>_xlfn.XLOOKUP(AD152,menu!$K$2:$K$9,menu!$J$2:$J$9,"",1)</f>
        <v>淺</v>
      </c>
      <c r="AG152" s="80" t="str">
        <f>_xlfn.XLOOKUP(AH152,menu!$O$2:$O$9,menu!$H$2:$H$9,"")</f>
        <v>Cinamon</v>
      </c>
      <c r="AH152" s="81" t="s">
        <v>78</v>
      </c>
      <c r="AI152" t="str">
        <f>_xlfn.LET(_xlpm.x,_xlfn.CONCAT(_xlfn.XLOOKUP(D152,beans!$A$2:$A$300,beans!$J$2:$J$300,"")," / ",_xlfn.XLOOKUP(D152,beans!$A$2:$A$300,beans!$K$2:$K$300,"")," - ",_xlfn.XLOOKUP(D152,beans!$A$2:$A$300,beans!$L$2:$L$300,"")),IF(_xlpm.x=" /  - ","",_xlpm.x))</f>
        <v>吉瑪 利姆 / 果美村 - 寶貝藝妓</v>
      </c>
      <c r="AJ152" s="23" t="s">
        <v>387</v>
      </c>
    </row>
    <row r="153" spans="1:36" x14ac:dyDescent="0.3">
      <c r="A153">
        <v>136</v>
      </c>
      <c r="B153">
        <v>600</v>
      </c>
      <c r="D153">
        <v>47</v>
      </c>
      <c r="E153" t="str">
        <f>_xlfn.LET(_xlpm.x,_xlfn.XLOOKUP(D153,beans!$A$2:$A$300,beans!$H$2:$H$300,""),IF(_xlpm.x="","",_xlpm.x))</f>
        <v>衣索比亞</v>
      </c>
      <c r="F153" s="22" t="str">
        <f>_xlfn.XLOOKUP(E153,menu!$A$2:$A$37,menu!$B$2:$B$37,"")</f>
        <v>Ethiopia</v>
      </c>
      <c r="G153" t="str">
        <f>_xlfn.XLOOKUP(E153,menu!$A$2:$A$37,menu!$C$2:$C$37,"")</f>
        <v>eth</v>
      </c>
      <c r="H153" t="str">
        <f>_xlfn.LET(_xlpm.x,_xlfn.XLOOKUP(_xlfn.XLOOKUP(D153,beans!$A$2:$A$300,beans!$I$2:$I$300),menu!$E$2:$E$20,menu!$F$2:$F$20),IF(_xlpm.x="","",_xlpm.x))</f>
        <v>washed</v>
      </c>
      <c r="I153">
        <v>200</v>
      </c>
      <c r="J153">
        <v>80</v>
      </c>
      <c r="K153">
        <v>25</v>
      </c>
      <c r="L153">
        <v>95</v>
      </c>
      <c r="M153" s="68" t="s">
        <v>54</v>
      </c>
      <c r="N153">
        <v>80.3</v>
      </c>
      <c r="O153">
        <v>16</v>
      </c>
      <c r="P153" s="67" t="s">
        <v>301</v>
      </c>
      <c r="Q153" s="68">
        <v>198.5</v>
      </c>
      <c r="R153" s="67" t="s">
        <v>136</v>
      </c>
      <c r="S153" s="68">
        <v>210.2</v>
      </c>
      <c r="T153" s="68">
        <f t="shared" si="20"/>
        <v>11.699999999999989</v>
      </c>
      <c r="U153">
        <f t="shared" si="21"/>
        <v>71</v>
      </c>
      <c r="V153">
        <f t="shared" si="25"/>
        <v>9.9</v>
      </c>
      <c r="W153">
        <f t="shared" si="22"/>
        <v>9.82</v>
      </c>
      <c r="X153" s="19">
        <v>45311</v>
      </c>
      <c r="Y153" s="26">
        <v>513.5</v>
      </c>
      <c r="Z153" s="61">
        <v>0</v>
      </c>
      <c r="AB153" s="28">
        <f t="shared" si="24"/>
        <v>0.14416666666666667</v>
      </c>
      <c r="AC153" s="110">
        <v>63.1</v>
      </c>
      <c r="AD153" s="26">
        <v>77</v>
      </c>
      <c r="AE153" s="61">
        <f t="shared" si="23"/>
        <v>13.899999999999999</v>
      </c>
      <c r="AF153" s="77" t="str">
        <f>_xlfn.XLOOKUP(AD153,menu!$K$2:$K$9,menu!$J$2:$J$9,"",1)</f>
        <v>淺</v>
      </c>
      <c r="AG153" s="80" t="str">
        <f>_xlfn.XLOOKUP(AH153,menu!$O$2:$O$9,menu!$H$2:$H$9,"")</f>
        <v>Cinamon</v>
      </c>
      <c r="AH153" s="81" t="s">
        <v>78</v>
      </c>
      <c r="AI153" t="str">
        <f>_xlfn.LET(_xlpm.x,_xlfn.CONCAT(_xlfn.XLOOKUP(D153,beans!$A$2:$A$300,beans!$J$2:$J$300,"")," / ",_xlfn.XLOOKUP(D153,beans!$A$2:$A$300,beans!$K$2:$K$300,"")," - ",_xlfn.XLOOKUP(D153,beans!$A$2:$A$300,beans!$L$2:$L$300,"")),IF(_xlpm.x=" /  - ","",_xlpm.x))</f>
        <v>吉馬莉姆 / 果美村 - 寶貝藝妓</v>
      </c>
      <c r="AJ153" s="23" t="s">
        <v>388</v>
      </c>
    </row>
    <row r="154" spans="1:36" x14ac:dyDescent="0.3">
      <c r="A154">
        <v>137</v>
      </c>
      <c r="B154">
        <v>250</v>
      </c>
      <c r="D154">
        <v>42</v>
      </c>
      <c r="E154" t="str">
        <f>_xlfn.LET(_xlpm.x,_xlfn.XLOOKUP(D154,beans!$A$2:$A$300,beans!$H$2:$H$300,""),IF(_xlpm.x="","",_xlpm.x))</f>
        <v>瓜地馬拉</v>
      </c>
      <c r="F154" s="22" t="str">
        <f>_xlfn.XLOOKUP(E154,menu!$A$2:$A$37,menu!$B$2:$B$37,"")</f>
        <v>Guatemala</v>
      </c>
      <c r="G154" t="str">
        <f>_xlfn.XLOOKUP(E154,menu!$A$2:$A$37,menu!$C$2:$C$37,"")</f>
        <v>gtm</v>
      </c>
      <c r="H154" t="str">
        <f>_xlfn.LET(_xlpm.x,_xlfn.XLOOKUP(_xlfn.XLOOKUP(D154,beans!$A$2:$A$300,beans!$I$2:$I$300),menu!$E$2:$E$20,menu!$F$2:$F$20),IF(_xlpm.x="","",_xlpm.x))</f>
        <v>honey</v>
      </c>
      <c r="I154">
        <v>200</v>
      </c>
      <c r="J154">
        <v>70</v>
      </c>
      <c r="K154">
        <v>30</v>
      </c>
      <c r="L154">
        <v>70</v>
      </c>
      <c r="M154" s="68" t="s">
        <v>157</v>
      </c>
      <c r="N154">
        <v>83.1</v>
      </c>
      <c r="O154">
        <v>15</v>
      </c>
      <c r="P154" s="67" t="s">
        <v>41</v>
      </c>
      <c r="Q154" s="68">
        <v>208.1</v>
      </c>
      <c r="R154" s="67" t="s">
        <v>389</v>
      </c>
      <c r="S154" s="68">
        <v>216.9</v>
      </c>
      <c r="T154" s="68">
        <f t="shared" si="20"/>
        <v>8.8000000000000114</v>
      </c>
      <c r="U154">
        <f t="shared" si="21"/>
        <v>57</v>
      </c>
      <c r="V154">
        <f t="shared" si="25"/>
        <v>9.3000000000000007</v>
      </c>
      <c r="W154">
        <f t="shared" si="22"/>
        <v>7.73</v>
      </c>
      <c r="X154" s="19">
        <v>45312</v>
      </c>
      <c r="Y154" s="26">
        <v>214.9</v>
      </c>
      <c r="Z154" s="61">
        <v>0</v>
      </c>
      <c r="AB154" s="28">
        <f t="shared" si="24"/>
        <v>0.14039999999999997</v>
      </c>
      <c r="AC154" s="110">
        <v>59.8</v>
      </c>
      <c r="AD154" s="26">
        <v>65.900000000000006</v>
      </c>
      <c r="AE154" s="61">
        <f t="shared" si="23"/>
        <v>6.1000000000000085</v>
      </c>
      <c r="AF154" s="77" t="str">
        <f>_xlfn.XLOOKUP(AD154,menu!$K$2:$K$9,menu!$J$2:$J$9,"",1)</f>
        <v>中淺</v>
      </c>
      <c r="AG154" s="80" t="str">
        <f>_xlfn.XLOOKUP(AH154,menu!$O$2:$O$9,menu!$H$2:$H$9,"")</f>
        <v>Medium</v>
      </c>
      <c r="AH154" s="81" t="s">
        <v>72</v>
      </c>
      <c r="AI154" t="str">
        <f>_xlfn.LET(_xlpm.x,_xlfn.CONCAT(_xlfn.XLOOKUP(D154,beans!$A$2:$A$300,beans!$J$2:$J$300,"")," / ",_xlfn.XLOOKUP(D154,beans!$A$2:$A$300,beans!$K$2:$K$300,"")," - ",_xlfn.XLOOKUP(D154,beans!$A$2:$A$300,beans!$L$2:$L$300,"")),IF(_xlpm.x=" /  - ","",_xlpm.x))</f>
        <v>薇微特南果 / 聖安東尼奧莊園 - 波旁,鐵皮卡</v>
      </c>
      <c r="AJ154" s="23" t="s">
        <v>390</v>
      </c>
    </row>
    <row r="155" spans="1:36" x14ac:dyDescent="0.3">
      <c r="A155">
        <v>138</v>
      </c>
      <c r="B155">
        <v>250</v>
      </c>
      <c r="D155">
        <v>42</v>
      </c>
      <c r="E155" t="str">
        <f>_xlfn.LET(_xlpm.x,_xlfn.XLOOKUP(D155,beans!$A$2:$A$300,beans!$H$2:$H$300,""),IF(_xlpm.x="","",_xlpm.x))</f>
        <v>瓜地馬拉</v>
      </c>
      <c r="F155" s="22" t="str">
        <f>_xlfn.XLOOKUP(E155,menu!$A$2:$A$37,menu!$B$2:$B$37,"")</f>
        <v>Guatemala</v>
      </c>
      <c r="G155" t="str">
        <f>_xlfn.XLOOKUP(E155,menu!$A$2:$A$37,menu!$C$2:$C$37,"")</f>
        <v>gtm</v>
      </c>
      <c r="H155" t="str">
        <f>_xlfn.LET(_xlpm.x,_xlfn.XLOOKUP(_xlfn.XLOOKUP(D155,beans!$A$2:$A$300,beans!$I$2:$I$300),menu!$E$2:$E$20,menu!$F$2:$F$20),IF(_xlpm.x="","",_xlpm.x))</f>
        <v>honey</v>
      </c>
      <c r="I155">
        <v>200</v>
      </c>
      <c r="J155">
        <v>70</v>
      </c>
      <c r="K155">
        <v>30</v>
      </c>
      <c r="L155">
        <v>70</v>
      </c>
      <c r="M155" s="68" t="s">
        <v>109</v>
      </c>
      <c r="N155">
        <v>84.6</v>
      </c>
      <c r="O155">
        <v>15</v>
      </c>
      <c r="P155" s="67" t="s">
        <v>391</v>
      </c>
      <c r="Q155" s="68">
        <v>209.9</v>
      </c>
      <c r="R155" s="67" t="s">
        <v>392</v>
      </c>
      <c r="S155" s="68">
        <v>214.4</v>
      </c>
      <c r="T155" s="68">
        <f t="shared" si="20"/>
        <v>4.5</v>
      </c>
      <c r="U155">
        <f t="shared" si="21"/>
        <v>25</v>
      </c>
      <c r="V155">
        <f t="shared" si="25"/>
        <v>10.8</v>
      </c>
      <c r="W155">
        <f t="shared" si="22"/>
        <v>3.8</v>
      </c>
      <c r="X155" s="19">
        <v>45312</v>
      </c>
      <c r="Y155" s="26">
        <v>216.4</v>
      </c>
      <c r="Z155" s="61">
        <f>200-60-140</f>
        <v>0</v>
      </c>
      <c r="AB155" s="28">
        <f t="shared" si="24"/>
        <v>0.13439999999999996</v>
      </c>
      <c r="AC155" s="110">
        <v>60.1</v>
      </c>
      <c r="AD155" s="26">
        <v>73.7</v>
      </c>
      <c r="AE155" s="61">
        <f t="shared" si="23"/>
        <v>13.600000000000001</v>
      </c>
      <c r="AF155" s="77" t="str">
        <f>_xlfn.XLOOKUP(AD155,menu!$K$2:$K$9,menu!$J$2:$J$9,"",1)</f>
        <v>淺</v>
      </c>
      <c r="AG155" s="80" t="str">
        <f>_xlfn.XLOOKUP(AH155,menu!$O$2:$O$9,menu!$H$2:$H$9,"")</f>
        <v>Cinamon</v>
      </c>
      <c r="AH155" s="81" t="s">
        <v>78</v>
      </c>
      <c r="AI155" t="str">
        <f>_xlfn.LET(_xlpm.x,_xlfn.CONCAT(_xlfn.XLOOKUP(D155,beans!$A$2:$A$300,beans!$J$2:$J$300,"")," / ",_xlfn.XLOOKUP(D155,beans!$A$2:$A$300,beans!$K$2:$K$300,"")," - ",_xlfn.XLOOKUP(D155,beans!$A$2:$A$300,beans!$L$2:$L$300,"")),IF(_xlpm.x=" /  - ","",_xlpm.x))</f>
        <v>薇微特南果 / 聖安東尼奧莊園 - 波旁,鐵皮卡</v>
      </c>
      <c r="AJ155" s="23" t="s">
        <v>393</v>
      </c>
    </row>
    <row r="156" spans="1:36" ht="32.4" x14ac:dyDescent="0.3">
      <c r="A156">
        <v>139</v>
      </c>
      <c r="B156">
        <v>250</v>
      </c>
      <c r="C156">
        <v>5</v>
      </c>
      <c r="D156">
        <v>45</v>
      </c>
      <c r="E156" t="str">
        <f>_xlfn.LET(_xlpm.x,_xlfn.XLOOKUP(D156,beans!$A$2:$A$300,beans!$H$2:$H$300,""),IF(_xlpm.x="","",_xlpm.x))</f>
        <v>哥倫比亞</v>
      </c>
      <c r="F156" s="22" t="str">
        <f>_xlfn.XLOOKUP(E156,menu!$A$2:$A$37,menu!$B$2:$B$37,"")</f>
        <v>Colombia</v>
      </c>
      <c r="G156" t="str">
        <f>_xlfn.XLOOKUP(E156,menu!$A$2:$A$37,menu!$C$2:$C$37,"")</f>
        <v>col</v>
      </c>
      <c r="H156" t="str">
        <f>_xlfn.LET(_xlpm.x,_xlfn.XLOOKUP(_xlfn.XLOOKUP(D156,beans!$A$2:$A$300,beans!$I$2:$I$300),menu!$E$2:$E$20,menu!$F$2:$F$20),IF(_xlpm.x="","",_xlpm.x))</f>
        <v>Special</v>
      </c>
      <c r="I156">
        <v>200</v>
      </c>
      <c r="J156">
        <v>70</v>
      </c>
      <c r="K156">
        <v>30</v>
      </c>
      <c r="L156">
        <v>70</v>
      </c>
      <c r="M156" s="68" t="s">
        <v>190</v>
      </c>
      <c r="N156">
        <v>85.3</v>
      </c>
      <c r="O156">
        <v>17</v>
      </c>
      <c r="P156" s="67" t="s">
        <v>370</v>
      </c>
      <c r="Q156" s="68">
        <v>208.9</v>
      </c>
      <c r="R156" s="67" t="s">
        <v>214</v>
      </c>
      <c r="S156" s="68">
        <v>215.6</v>
      </c>
      <c r="T156" s="68">
        <f t="shared" ref="T156:T182" si="26">_xlfn.LET(_xlpm.x,S156-Q156,IF(_xlpm.x=0,"",_xlpm.x))</f>
        <v>6.6999999999999886</v>
      </c>
      <c r="U156">
        <f t="shared" ref="U156:U182" si="27">_xlfn.LET(_xlpm.x,(TIMEVALUE("0:"&amp;SUBSTITUTE(R156,"'",":"))-TIMEVALUE("0:"&amp;SUBSTITUTE(P156,"'",":")))*86400,IF(_xlpm.x=0,"",ROUND(_xlpm.x,2)))</f>
        <v>47</v>
      </c>
      <c r="V156">
        <f t="shared" si="25"/>
        <v>8.6</v>
      </c>
      <c r="W156">
        <f t="shared" ref="W156:W182" si="28">_xlfn.LET(_xlpm.x,(TIMEVALUE("0:"&amp;SUBSTITUTE(R156,"'",":"))-TIMEVALUE("0:"&amp;SUBSTITUTE(P156,"'",":")))*86400,IF(_xlpm.x=0,"",ROUND(_xlpm.x/((TIMEVALUE("0:"&amp;SUBSTITUTE(R156,"'",":"))-TIMEVALUE("0:0:0"))*864),2)))</f>
        <v>6.39</v>
      </c>
      <c r="X156" s="19">
        <v>45312</v>
      </c>
      <c r="Y156" s="26">
        <v>216.7</v>
      </c>
      <c r="Z156" s="61">
        <v>0</v>
      </c>
      <c r="AB156" s="28">
        <f t="shared" si="24"/>
        <v>0.13320000000000004</v>
      </c>
      <c r="AC156" s="110">
        <v>48.3</v>
      </c>
      <c r="AD156" s="26">
        <v>70.7</v>
      </c>
      <c r="AE156" s="61">
        <f t="shared" ref="AE156:AE182" si="29">_xlfn.LET(_xlpm.x,AD156-AC156,IF(_xlpm.x=0,"",_xlpm.x))</f>
        <v>22.400000000000006</v>
      </c>
      <c r="AF156" s="77" t="str">
        <f>_xlfn.XLOOKUP(AD156,menu!$K$2:$K$9,menu!$J$2:$J$9,"",1)</f>
        <v>淺</v>
      </c>
      <c r="AG156" s="80" t="str">
        <f>_xlfn.XLOOKUP(AH156,menu!$O$2:$O$9,menu!$H$2:$H$9,"")</f>
        <v>Cinamon</v>
      </c>
      <c r="AH156" s="81" t="s">
        <v>78</v>
      </c>
      <c r="AI156" t="str">
        <f>_xlfn.LET(_xlpm.x,_xlfn.CONCAT(_xlfn.XLOOKUP(D156,beans!$A$2:$A$300,beans!$J$2:$J$300,"")," / ",_xlfn.XLOOKUP(D156,beans!$A$2:$A$300,beans!$K$2:$K$300,"")," - ",_xlfn.XLOOKUP(D156,beans!$A$2:$A$300,beans!$L$2:$L$300,"")),IF(_xlpm.x=" /  - ","",_xlpm.x))</f>
        <v>薇拉省 / 蒙大布蘭蔻莊園 - 紫卡杜拉</v>
      </c>
      <c r="AJ156" s="23" t="s">
        <v>394</v>
      </c>
    </row>
    <row r="157" spans="1:36" x14ac:dyDescent="0.3">
      <c r="A157">
        <v>140</v>
      </c>
      <c r="B157">
        <v>250</v>
      </c>
      <c r="D157">
        <v>43</v>
      </c>
      <c r="E157" t="str">
        <f>_xlfn.LET(_xlpm.x,_xlfn.XLOOKUP(D157,beans!$A$2:$A$300,beans!$H$2:$H$300,""),IF(_xlpm.x="","",_xlpm.x))</f>
        <v>衣索比亞</v>
      </c>
      <c r="F157" s="22" t="str">
        <f>_xlfn.XLOOKUP(E157,menu!$A$2:$A$37,menu!$B$2:$B$37,"")</f>
        <v>Ethiopia</v>
      </c>
      <c r="G157" t="str">
        <f>_xlfn.XLOOKUP(E157,menu!$A$2:$A$37,menu!$C$2:$C$37,"")</f>
        <v>eth</v>
      </c>
      <c r="H157" t="str">
        <f>_xlfn.LET(_xlpm.x,_xlfn.XLOOKUP(_xlfn.XLOOKUP(D157,beans!$A$2:$A$300,beans!$I$2:$I$300),menu!$E$2:$E$20,menu!$F$2:$F$20),IF(_xlpm.x="","",_xlpm.x))</f>
        <v>natural</v>
      </c>
      <c r="I157">
        <v>200</v>
      </c>
      <c r="J157">
        <v>70</v>
      </c>
      <c r="K157">
        <v>30</v>
      </c>
      <c r="L157">
        <v>70</v>
      </c>
      <c r="M157" s="68" t="s">
        <v>121</v>
      </c>
      <c r="N157">
        <v>84.8</v>
      </c>
      <c r="O157">
        <v>17</v>
      </c>
      <c r="P157" s="67" t="s">
        <v>103</v>
      </c>
      <c r="Q157" s="68">
        <v>207.8</v>
      </c>
      <c r="R157" s="67" t="s">
        <v>362</v>
      </c>
      <c r="S157" s="68">
        <v>215</v>
      </c>
      <c r="T157" s="68">
        <f t="shared" si="26"/>
        <v>7.1999999999999886</v>
      </c>
      <c r="U157">
        <f t="shared" si="27"/>
        <v>47</v>
      </c>
      <c r="V157">
        <f t="shared" si="25"/>
        <v>9.1999999999999993</v>
      </c>
      <c r="W157">
        <f t="shared" si="28"/>
        <v>6.68</v>
      </c>
      <c r="X157" s="19">
        <v>45312</v>
      </c>
      <c r="Y157" s="26">
        <v>218.8</v>
      </c>
      <c r="Z157" s="61">
        <v>0</v>
      </c>
      <c r="AB157" s="28">
        <f t="shared" si="24"/>
        <v>0.12479999999999995</v>
      </c>
      <c r="AC157" s="110">
        <v>61</v>
      </c>
      <c r="AD157" s="26">
        <v>72.2</v>
      </c>
      <c r="AE157" s="61">
        <f t="shared" si="29"/>
        <v>11.200000000000003</v>
      </c>
      <c r="AF157" s="77" t="str">
        <f>_xlfn.XLOOKUP(AD157,menu!$K$2:$K$9,menu!$J$2:$J$9,"",1)</f>
        <v>淺</v>
      </c>
      <c r="AG157" s="80" t="str">
        <f>_xlfn.XLOOKUP(AH157,menu!$O$2:$O$9,menu!$H$2:$H$9,"")</f>
        <v>Cinamon</v>
      </c>
      <c r="AH157" s="81" t="s">
        <v>78</v>
      </c>
      <c r="AI157" t="str">
        <f>_xlfn.LET(_xlpm.x,_xlfn.CONCAT(_xlfn.XLOOKUP(D157,beans!$A$2:$A$300,beans!$J$2:$J$300,"")," / ",_xlfn.XLOOKUP(D157,beans!$A$2:$A$300,beans!$K$2:$K$300,"")," - ",_xlfn.XLOOKUP(D157,beans!$A$2:$A$300,beans!$L$2:$L$300,"")),IF(_xlpm.x=" /  - ","",_xlpm.x))</f>
        <v>西達馬 / 朵望丘合作社 - 74110</v>
      </c>
      <c r="AJ157" s="23" t="s">
        <v>395</v>
      </c>
    </row>
    <row r="158" spans="1:36" x14ac:dyDescent="0.3">
      <c r="A158">
        <v>141</v>
      </c>
      <c r="B158">
        <v>250</v>
      </c>
      <c r="D158">
        <v>46</v>
      </c>
      <c r="E158" t="str">
        <f>_xlfn.LET(_xlpm.x,_xlfn.XLOOKUP(D158,beans!$A$2:$A$300,beans!$H$2:$H$300,""),IF(_xlpm.x="","",_xlpm.x))</f>
        <v>哥倫比亞</v>
      </c>
      <c r="F158" s="22" t="str">
        <f>_xlfn.XLOOKUP(E158,menu!$A$2:$A$37,menu!$B$2:$B$37,"")</f>
        <v>Colombia</v>
      </c>
      <c r="G158" t="str">
        <f>_xlfn.XLOOKUP(E158,menu!$A$2:$A$37,menu!$C$2:$C$37,"")</f>
        <v>col</v>
      </c>
      <c r="H158" t="str">
        <f>_xlfn.LET(_xlpm.x,_xlfn.XLOOKUP(_xlfn.XLOOKUP(D158,beans!$A$2:$A$300,beans!$I$2:$I$300),menu!$E$2:$E$20,menu!$F$2:$F$20),IF(_xlpm.x="","",_xlpm.x))</f>
        <v>natural</v>
      </c>
      <c r="I158">
        <v>210</v>
      </c>
      <c r="J158">
        <v>70</v>
      </c>
      <c r="K158">
        <v>30</v>
      </c>
      <c r="L158">
        <v>70</v>
      </c>
      <c r="M158" s="68" t="s">
        <v>188</v>
      </c>
      <c r="N158">
        <v>87.4</v>
      </c>
      <c r="O158">
        <v>17</v>
      </c>
      <c r="P158" s="67" t="s">
        <v>396</v>
      </c>
      <c r="Q158" s="68">
        <v>203.9</v>
      </c>
      <c r="R158" s="67" t="s">
        <v>154</v>
      </c>
      <c r="S158" s="68">
        <v>213.1</v>
      </c>
      <c r="T158" s="68">
        <f t="shared" si="26"/>
        <v>9.1999999999999886</v>
      </c>
      <c r="U158">
        <f t="shared" si="27"/>
        <v>51</v>
      </c>
      <c r="V158">
        <f t="shared" si="25"/>
        <v>10.8</v>
      </c>
      <c r="W158">
        <f t="shared" si="28"/>
        <v>7.45</v>
      </c>
      <c r="X158" s="19">
        <v>45312</v>
      </c>
      <c r="Y158" s="26">
        <v>215.7</v>
      </c>
      <c r="Z158" s="61">
        <v>0</v>
      </c>
      <c r="AB158" s="28">
        <f t="shared" si="24"/>
        <v>0.13720000000000004</v>
      </c>
      <c r="AC158" s="110">
        <v>43.7</v>
      </c>
      <c r="AD158" s="26">
        <v>63.7</v>
      </c>
      <c r="AE158" s="61">
        <f t="shared" si="29"/>
        <v>20</v>
      </c>
      <c r="AF158" s="77" t="str">
        <f>_xlfn.XLOOKUP(AD158,menu!$K$2:$K$9,menu!$J$2:$J$9,"",1)</f>
        <v>中淺</v>
      </c>
      <c r="AG158" s="80" t="str">
        <f>_xlfn.XLOOKUP(AH158,menu!$O$2:$O$9,menu!$H$2:$H$9,"")</f>
        <v>Cinamon</v>
      </c>
      <c r="AH158" s="81" t="s">
        <v>78</v>
      </c>
      <c r="AI158" t="str">
        <f>_xlfn.LET(_xlpm.x,_xlfn.CONCAT(_xlfn.XLOOKUP(D158,beans!$A$2:$A$300,beans!$J$2:$J$300,"")," / ",_xlfn.XLOOKUP(D158,beans!$A$2:$A$300,beans!$K$2:$K$300,"")," - ",_xlfn.XLOOKUP(D158,beans!$A$2:$A$300,beans!$L$2:$L$300,"")),IF(_xlpm.x=" /  - ","",_xlpm.x))</f>
        <v>昆迪瑪卡 / 緹比莉塔  - 卡斯提優</v>
      </c>
      <c r="AJ158" s="23" t="s">
        <v>395</v>
      </c>
    </row>
    <row r="159" spans="1:36" ht="32.4" x14ac:dyDescent="0.3">
      <c r="A159">
        <v>142</v>
      </c>
      <c r="B159">
        <v>250</v>
      </c>
      <c r="D159">
        <v>35</v>
      </c>
      <c r="E159" t="str">
        <f>_xlfn.LET(_xlpm.x,_xlfn.XLOOKUP(D159,beans!$A$2:$A$300,beans!$H$2:$H$300,""),IF(_xlpm.x="","",_xlpm.x))</f>
        <v>哥倫比亞</v>
      </c>
      <c r="F159" s="22" t="str">
        <f>_xlfn.XLOOKUP(E159,menu!$A$2:$A$37,menu!$B$2:$B$37,"")</f>
        <v>Colombia</v>
      </c>
      <c r="G159" t="str">
        <f>_xlfn.XLOOKUP(E159,menu!$A$2:$A$37,menu!$C$2:$C$37,"")</f>
        <v>col</v>
      </c>
      <c r="H159" t="str">
        <f>_xlfn.LET(_xlpm.x,_xlfn.XLOOKUP(_xlfn.XLOOKUP(D159,beans!$A$2:$A$300,beans!$I$2:$I$300),menu!$E$2:$E$20,menu!$F$2:$F$20),IF(_xlpm.x="","",_xlpm.x))</f>
        <v>Ice Fermentation Natural</v>
      </c>
      <c r="I159">
        <v>210</v>
      </c>
      <c r="J159">
        <v>70</v>
      </c>
      <c r="K159">
        <v>30</v>
      </c>
      <c r="L159">
        <v>70</v>
      </c>
      <c r="M159" s="68" t="s">
        <v>207</v>
      </c>
      <c r="N159">
        <v>90.5</v>
      </c>
      <c r="O159">
        <v>15</v>
      </c>
      <c r="P159" s="67" t="s">
        <v>289</v>
      </c>
      <c r="Q159" s="68">
        <v>205</v>
      </c>
      <c r="R159" s="67" t="s">
        <v>139</v>
      </c>
      <c r="S159" s="68">
        <v>213.3</v>
      </c>
      <c r="T159" s="68">
        <f t="shared" si="26"/>
        <v>8.3000000000000114</v>
      </c>
      <c r="U159">
        <f t="shared" si="27"/>
        <v>44</v>
      </c>
      <c r="V159">
        <f t="shared" si="25"/>
        <v>11.3</v>
      </c>
      <c r="W159">
        <f t="shared" si="28"/>
        <v>7.09</v>
      </c>
      <c r="X159" s="19">
        <v>45312</v>
      </c>
      <c r="Y159" s="26">
        <v>215.7</v>
      </c>
      <c r="Z159" s="61">
        <v>0</v>
      </c>
      <c r="AB159" s="28">
        <f t="shared" si="24"/>
        <v>0.13720000000000004</v>
      </c>
      <c r="AC159" s="110">
        <v>42.5</v>
      </c>
      <c r="AD159" s="26">
        <v>53.4</v>
      </c>
      <c r="AE159" s="61">
        <f t="shared" si="29"/>
        <v>10.899999999999999</v>
      </c>
      <c r="AF159" s="77" t="str">
        <f>_xlfn.XLOOKUP(AD159,menu!$K$2:$K$9,menu!$J$2:$J$9,"",1)</f>
        <v>中</v>
      </c>
      <c r="AG159" s="80" t="str">
        <f>_xlfn.XLOOKUP(AH159,menu!$O$2:$O$9,menu!$H$2:$H$9,"")</f>
        <v>Cinamon</v>
      </c>
      <c r="AH159" s="81" t="s">
        <v>78</v>
      </c>
      <c r="AI159" t="str">
        <f>_xlfn.LET(_xlpm.x,_xlfn.CONCAT(_xlfn.XLOOKUP(D159,beans!$A$2:$A$300,beans!$J$2:$J$300,"")," / ",_xlfn.XLOOKUP(D159,beans!$A$2:$A$300,beans!$K$2:$K$300,"")," - ",_xlfn.XLOOKUP(D159,beans!$A$2:$A$300,beans!$L$2:$L$300,"")),IF(_xlpm.x=" /  - ","",_xlpm.x))</f>
        <v>San Agustin, Huila / 納維斯塔莊園 - 卡杜拉</v>
      </c>
      <c r="AJ159" s="23" t="s">
        <v>397</v>
      </c>
    </row>
    <row r="160" spans="1:36" ht="32.4" x14ac:dyDescent="0.3">
      <c r="A160">
        <v>143</v>
      </c>
      <c r="B160">
        <v>230</v>
      </c>
      <c r="C160">
        <v>7</v>
      </c>
      <c r="D160">
        <v>53</v>
      </c>
      <c r="E160" t="str">
        <f>_xlfn.LET(_xlpm.x,_xlfn.XLOOKUP(D160,beans!$A$2:$A$300,beans!$H$2:$H$300,""),IF(_xlpm.x="","",_xlpm.x))</f>
        <v>衣索比亞</v>
      </c>
      <c r="F160" s="22" t="str">
        <f>_xlfn.XLOOKUP(E160,menu!$A$2:$A$37,menu!$B$2:$B$37,"")</f>
        <v>Ethiopia</v>
      </c>
      <c r="G160" t="str">
        <f>_xlfn.XLOOKUP(E160,menu!$A$2:$A$37,menu!$C$2:$C$37,"")</f>
        <v>eth</v>
      </c>
      <c r="H160" t="str">
        <f>_xlfn.LET(_xlpm.x,_xlfn.XLOOKUP(_xlfn.XLOOKUP(D160,beans!$A$2:$A$300,beans!$I$2:$I$300),menu!$E$2:$E$20,menu!$F$2:$F$20),IF(_xlpm.x="","",_xlpm.x))</f>
        <v>Anaerobic Natural</v>
      </c>
      <c r="I160">
        <v>200</v>
      </c>
      <c r="J160">
        <v>70</v>
      </c>
      <c r="K160">
        <v>30</v>
      </c>
      <c r="L160">
        <v>60</v>
      </c>
      <c r="M160" s="68" t="s">
        <v>207</v>
      </c>
      <c r="N160">
        <v>82.6</v>
      </c>
      <c r="O160">
        <v>16</v>
      </c>
      <c r="P160" s="67" t="s">
        <v>398</v>
      </c>
      <c r="Q160" s="68">
        <v>203</v>
      </c>
      <c r="R160" s="67" t="s">
        <v>374</v>
      </c>
      <c r="S160" s="68">
        <v>213.8</v>
      </c>
      <c r="T160" s="68">
        <f t="shared" si="26"/>
        <v>10.800000000000011</v>
      </c>
      <c r="U160">
        <f t="shared" si="27"/>
        <v>58</v>
      </c>
      <c r="V160">
        <f t="shared" si="25"/>
        <v>11.2</v>
      </c>
      <c r="W160">
        <f t="shared" si="28"/>
        <v>7.98</v>
      </c>
      <c r="X160" s="19">
        <v>45319</v>
      </c>
      <c r="Y160" s="26">
        <v>199.4</v>
      </c>
      <c r="Z160" s="61">
        <v>0</v>
      </c>
      <c r="AB160" s="28">
        <f t="shared" si="24"/>
        <v>0.13304347826086954</v>
      </c>
      <c r="AC160" s="110">
        <v>60.9</v>
      </c>
      <c r="AD160" s="26">
        <v>76.8</v>
      </c>
      <c r="AE160" s="61">
        <f t="shared" si="29"/>
        <v>15.899999999999999</v>
      </c>
      <c r="AF160" s="77" t="str">
        <f>_xlfn.XLOOKUP(AD160,menu!$K$2:$K$9,menu!$J$2:$J$9,"",1)</f>
        <v>淺</v>
      </c>
      <c r="AG160" s="80" t="str">
        <f>_xlfn.XLOOKUP(AH160,menu!$O$2:$O$9,menu!$H$2:$H$9,"")</f>
        <v>Cinamon</v>
      </c>
      <c r="AH160" s="81" t="s">
        <v>78</v>
      </c>
      <c r="AI160" t="str">
        <f>_xlfn.LET(_xlpm.x,_xlfn.CONCAT(_xlfn.XLOOKUP(D160,beans!$A$2:$A$300,beans!$J$2:$J$300,"")," / ",_xlfn.XLOOKUP(D160,beans!$A$2:$A$300,beans!$K$2:$K$300,"")," - ",_xlfn.XLOOKUP(D160,beans!$A$2:$A$300,beans!$L$2:$L$300,"")),IF(_xlpm.x=" /  - ","",_xlpm.x))</f>
        <v>耶加雪菲 / 切切雷(Chelchele) - 原生種</v>
      </c>
      <c r="AJ160" s="23" t="s">
        <v>399</v>
      </c>
    </row>
    <row r="161" spans="1:36" x14ac:dyDescent="0.3">
      <c r="A161">
        <v>144</v>
      </c>
      <c r="B161">
        <v>500</v>
      </c>
      <c r="D161">
        <v>9</v>
      </c>
      <c r="E161" t="str">
        <f>_xlfn.LET(_xlpm.x,_xlfn.XLOOKUP(D161,beans!$A$2:$A$300,beans!$H$2:$H$300,""),IF(_xlpm.x="","",_xlpm.x))</f>
        <v>衣索比亞</v>
      </c>
      <c r="F161" s="22" t="str">
        <f>_xlfn.XLOOKUP(E161,menu!$A$2:$A$37,menu!$B$2:$B$37,"")</f>
        <v>Ethiopia</v>
      </c>
      <c r="G161" t="str">
        <f>_xlfn.XLOOKUP(E161,menu!$A$2:$A$37,menu!$C$2:$C$37,"")</f>
        <v>eth</v>
      </c>
      <c r="H161" t="str">
        <f>_xlfn.LET(_xlpm.x,_xlfn.XLOOKUP(_xlfn.XLOOKUP(D161,beans!$A$2:$A$300,beans!$I$2:$I$300),menu!$E$2:$E$20,menu!$F$2:$F$20),IF(_xlpm.x="","",_xlpm.x))</f>
        <v>natural</v>
      </c>
      <c r="I161">
        <v>200</v>
      </c>
      <c r="J161">
        <v>70</v>
      </c>
      <c r="K161">
        <v>30</v>
      </c>
      <c r="L161">
        <v>90</v>
      </c>
      <c r="M161" s="68" t="s">
        <v>318</v>
      </c>
      <c r="N161">
        <v>77</v>
      </c>
      <c r="O161">
        <v>15</v>
      </c>
      <c r="P161" s="67" t="s">
        <v>400</v>
      </c>
      <c r="Q161" s="68">
        <v>203.4</v>
      </c>
      <c r="R161" s="67" t="s">
        <v>401</v>
      </c>
      <c r="S161" s="68">
        <v>214.1</v>
      </c>
      <c r="T161" s="68">
        <f t="shared" si="26"/>
        <v>10.699999999999989</v>
      </c>
      <c r="U161">
        <f t="shared" si="27"/>
        <v>50</v>
      </c>
      <c r="V161">
        <f t="shared" si="25"/>
        <v>12.8</v>
      </c>
      <c r="W161">
        <f t="shared" si="28"/>
        <v>6.71</v>
      </c>
      <c r="X161" s="19">
        <v>45321</v>
      </c>
      <c r="Y161" s="26">
        <v>427.2</v>
      </c>
      <c r="Z161" s="61">
        <v>0</v>
      </c>
      <c r="AA161" s="61">
        <v>0</v>
      </c>
      <c r="AB161" s="28">
        <f t="shared" si="24"/>
        <v>0.14560000000000003</v>
      </c>
      <c r="AC161" s="110">
        <v>42.7</v>
      </c>
      <c r="AD161" s="26">
        <v>75.3</v>
      </c>
      <c r="AE161" s="61">
        <f t="shared" si="29"/>
        <v>32.599999999999994</v>
      </c>
      <c r="AF161" s="77" t="str">
        <f>_xlfn.XLOOKUP(AD161,menu!$K$2:$K$9,menu!$J$2:$J$9,"",1)</f>
        <v>淺</v>
      </c>
      <c r="AG161" s="80" t="str">
        <f>_xlfn.XLOOKUP(AH161,menu!$O$2:$O$9,menu!$H$2:$H$9,"")</f>
        <v>Cinamon</v>
      </c>
      <c r="AH161" s="81" t="s">
        <v>78</v>
      </c>
      <c r="AI161" t="str">
        <f>_xlfn.LET(_xlpm.x,_xlfn.CONCAT(_xlfn.XLOOKUP(D161,beans!$A$2:$A$300,beans!$J$2:$J$300,"")," / ",_xlfn.XLOOKUP(D161,beans!$A$2:$A$300,beans!$K$2:$K$300,"")," - ",_xlfn.XLOOKUP(D161,beans!$A$2:$A$300,beans!$L$2:$L$300,"")),IF(_xlpm.x=" /  - ","",_xlpm.x))</f>
        <v>吉瑪 利姆 / 果美村 - 寶貝藝妓</v>
      </c>
      <c r="AJ161" s="23" t="s">
        <v>402</v>
      </c>
    </row>
    <row r="162" spans="1:36" x14ac:dyDescent="0.3">
      <c r="A162">
        <v>145</v>
      </c>
      <c r="B162">
        <v>500</v>
      </c>
      <c r="C162">
        <v>7</v>
      </c>
      <c r="D162">
        <v>42</v>
      </c>
      <c r="E162" t="str">
        <f>_xlfn.LET(_xlpm.x,_xlfn.XLOOKUP(D162,beans!$A$2:$A$300,beans!$H$2:$H$300,""),IF(_xlpm.x="","",_xlpm.x))</f>
        <v>瓜地馬拉</v>
      </c>
      <c r="F162" s="22" t="str">
        <f>_xlfn.XLOOKUP(E162,menu!$A$2:$A$37,menu!$B$2:$B$37,"")</f>
        <v>Guatemala</v>
      </c>
      <c r="G162" t="str">
        <f>_xlfn.XLOOKUP(E162,menu!$A$2:$A$37,menu!$C$2:$C$37,"")</f>
        <v>gtm</v>
      </c>
      <c r="H162" t="str">
        <f>_xlfn.LET(_xlpm.x,_xlfn.XLOOKUP(_xlfn.XLOOKUP(D162,beans!$A$2:$A$300,beans!$I$2:$I$300),menu!$E$2:$E$20,menu!$F$2:$F$20),IF(_xlpm.x="","",_xlpm.x))</f>
        <v>honey</v>
      </c>
      <c r="I162">
        <v>200</v>
      </c>
      <c r="J162">
        <v>70</v>
      </c>
      <c r="K162">
        <v>30</v>
      </c>
      <c r="L162">
        <v>90</v>
      </c>
      <c r="M162" s="68" t="s">
        <v>190</v>
      </c>
      <c r="N162">
        <v>75.599999999999994</v>
      </c>
      <c r="O162">
        <v>15</v>
      </c>
      <c r="P162" s="67" t="s">
        <v>403</v>
      </c>
      <c r="Q162" s="68">
        <v>206.9</v>
      </c>
      <c r="R162" s="67" t="s">
        <v>224</v>
      </c>
      <c r="S162" s="68">
        <v>213.3</v>
      </c>
      <c r="T162" s="68">
        <f t="shared" si="26"/>
        <v>6.4000000000000057</v>
      </c>
      <c r="U162">
        <f t="shared" si="27"/>
        <v>34</v>
      </c>
      <c r="V162">
        <f t="shared" si="25"/>
        <v>11.3</v>
      </c>
      <c r="W162">
        <f t="shared" si="28"/>
        <v>4.5199999999999996</v>
      </c>
      <c r="X162" s="19">
        <v>45321</v>
      </c>
      <c r="Y162" s="26">
        <v>436</v>
      </c>
      <c r="Z162" s="61">
        <v>0</v>
      </c>
      <c r="AB162" s="28">
        <f t="shared" si="24"/>
        <v>0.128</v>
      </c>
      <c r="AC162" s="110">
        <v>45.2</v>
      </c>
      <c r="AD162" s="26">
        <v>74.3</v>
      </c>
      <c r="AE162" s="61">
        <f t="shared" si="29"/>
        <v>29.099999999999994</v>
      </c>
      <c r="AF162" s="77" t="str">
        <f>_xlfn.XLOOKUP(AD162,menu!$K$2:$K$9,menu!$J$2:$J$9,"",1)</f>
        <v>淺</v>
      </c>
      <c r="AG162" s="80" t="str">
        <f>_xlfn.XLOOKUP(AH162,menu!$O$2:$O$9,menu!$H$2:$H$9,"")</f>
        <v>Cinamon</v>
      </c>
      <c r="AH162" s="81" t="s">
        <v>78</v>
      </c>
      <c r="AI162" t="str">
        <f>_xlfn.LET(_xlpm.x,_xlfn.CONCAT(_xlfn.XLOOKUP(D162,beans!$A$2:$A$300,beans!$J$2:$J$300,"")," / ",_xlfn.XLOOKUP(D162,beans!$A$2:$A$300,beans!$K$2:$K$300,"")," - ",_xlfn.XLOOKUP(D162,beans!$A$2:$A$300,beans!$L$2:$L$300,"")),IF(_xlpm.x=" /  - ","",_xlpm.x))</f>
        <v>薇微特南果 / 聖安東尼奧莊園 - 波旁,鐵皮卡</v>
      </c>
      <c r="AJ162" s="23" t="s">
        <v>404</v>
      </c>
    </row>
    <row r="163" spans="1:36" x14ac:dyDescent="0.3">
      <c r="A163">
        <v>146</v>
      </c>
      <c r="B163">
        <v>500</v>
      </c>
      <c r="D163">
        <v>9</v>
      </c>
      <c r="E163" t="str">
        <f>_xlfn.LET(_xlpm.x,_xlfn.XLOOKUP(D163,beans!$A$2:$A$300,beans!$H$2:$H$300,""),IF(_xlpm.x="","",_xlpm.x))</f>
        <v>衣索比亞</v>
      </c>
      <c r="F163" s="22" t="str">
        <f>_xlfn.XLOOKUP(E163,menu!$A$2:$A$37,menu!$B$2:$B$37,"")</f>
        <v>Ethiopia</v>
      </c>
      <c r="G163" t="str">
        <f>_xlfn.XLOOKUP(E163,menu!$A$2:$A$37,menu!$C$2:$C$37,"")</f>
        <v>eth</v>
      </c>
      <c r="H163" t="str">
        <f>_xlfn.LET(_xlpm.x,_xlfn.XLOOKUP(_xlfn.XLOOKUP(D163,beans!$A$2:$A$300,beans!$I$2:$I$300),menu!$E$2:$E$20,menu!$F$2:$F$20),IF(_xlpm.x="","",_xlpm.x))</f>
        <v>natural</v>
      </c>
      <c r="I163">
        <v>200</v>
      </c>
      <c r="J163">
        <v>70</v>
      </c>
      <c r="K163">
        <v>30</v>
      </c>
      <c r="L163">
        <v>90</v>
      </c>
      <c r="M163" s="68" t="s">
        <v>217</v>
      </c>
      <c r="N163">
        <v>76.7</v>
      </c>
      <c r="O163">
        <v>18</v>
      </c>
      <c r="P163" s="67" t="s">
        <v>405</v>
      </c>
      <c r="Q163" s="68">
        <v>205.5</v>
      </c>
      <c r="R163" s="67" t="s">
        <v>406</v>
      </c>
      <c r="S163" s="68">
        <v>214.4</v>
      </c>
      <c r="T163" s="68">
        <f t="shared" si="26"/>
        <v>8.9000000000000057</v>
      </c>
      <c r="U163">
        <f t="shared" si="27"/>
        <v>44</v>
      </c>
      <c r="V163">
        <f t="shared" si="25"/>
        <v>12.1</v>
      </c>
      <c r="W163">
        <f t="shared" si="28"/>
        <v>5.93</v>
      </c>
      <c r="X163" s="19">
        <v>45321</v>
      </c>
      <c r="Y163" s="26">
        <v>430.9</v>
      </c>
      <c r="Z163" s="61">
        <v>0</v>
      </c>
      <c r="AB163" s="28">
        <f t="shared" si="24"/>
        <v>0.13820000000000005</v>
      </c>
      <c r="AE163" s="61" t="str">
        <f t="shared" si="29"/>
        <v/>
      </c>
      <c r="AF163" s="77" t="str">
        <f>_xlfn.XLOOKUP(AD163,menu!$K$2:$K$9,menu!$J$2:$J$9,"",1)</f>
        <v/>
      </c>
      <c r="AG163" s="80" t="str">
        <f>_xlfn.XLOOKUP(AH163,menu!$O$2:$O$9,menu!$H$2:$H$9,"")</f>
        <v>Cinamon</v>
      </c>
      <c r="AH163" s="81" t="s">
        <v>78</v>
      </c>
      <c r="AI163" t="str">
        <f>_xlfn.LET(_xlpm.x,_xlfn.CONCAT(_xlfn.XLOOKUP(D163,beans!$A$2:$A$300,beans!$J$2:$J$300,"")," / ",_xlfn.XLOOKUP(D163,beans!$A$2:$A$300,beans!$K$2:$K$300,"")," - ",_xlfn.XLOOKUP(D163,beans!$A$2:$A$300,beans!$L$2:$L$300,"")),IF(_xlpm.x=" /  - ","",_xlpm.x))</f>
        <v>吉瑪 利姆 / 果美村 - 寶貝藝妓</v>
      </c>
      <c r="AJ163" s="23" t="s">
        <v>407</v>
      </c>
    </row>
    <row r="164" spans="1:36" ht="48.6" x14ac:dyDescent="0.3">
      <c r="A164">
        <v>147</v>
      </c>
      <c r="B164">
        <v>250</v>
      </c>
      <c r="C164">
        <v>6</v>
      </c>
      <c r="D164">
        <v>38</v>
      </c>
      <c r="E164" t="str">
        <f>_xlfn.LET(_xlpm.x,_xlfn.XLOOKUP(D164,beans!$A$2:$A$300,beans!$H$2:$H$300,""),IF(_xlpm.x="","",_xlpm.x))</f>
        <v>巴拿馬</v>
      </c>
      <c r="F164" s="22" t="str">
        <f>_xlfn.XLOOKUP(E164,menu!$A$2:$A$37,menu!$B$2:$B$37,"")</f>
        <v>Panama</v>
      </c>
      <c r="G164" t="str">
        <f>_xlfn.XLOOKUP(E164,menu!$A$2:$A$37,menu!$C$2:$C$37,"")</f>
        <v>pan</v>
      </c>
      <c r="H164" t="str">
        <f>_xlfn.LET(_xlpm.x,_xlfn.XLOOKUP(_xlfn.XLOOKUP(D164,beans!$A$2:$A$300,beans!$I$2:$I$300),menu!$E$2:$E$20,menu!$F$2:$F$20),IF(_xlpm.x="","",_xlpm.x))</f>
        <v>washed</v>
      </c>
      <c r="I164">
        <v>190</v>
      </c>
      <c r="J164">
        <v>60</v>
      </c>
      <c r="K164">
        <v>30</v>
      </c>
      <c r="L164">
        <v>60</v>
      </c>
      <c r="M164" s="68" t="s">
        <v>229</v>
      </c>
      <c r="N164">
        <v>79.5</v>
      </c>
      <c r="O164">
        <v>16</v>
      </c>
      <c r="P164" s="67" t="s">
        <v>408</v>
      </c>
      <c r="Q164" s="68">
        <v>202.2</v>
      </c>
      <c r="R164" s="67" t="s">
        <v>191</v>
      </c>
      <c r="S164" s="68">
        <v>211.8</v>
      </c>
      <c r="T164" s="68">
        <f t="shared" si="26"/>
        <v>9.6000000000000227</v>
      </c>
      <c r="U164">
        <f t="shared" si="27"/>
        <v>70</v>
      </c>
      <c r="V164">
        <f t="shared" si="25"/>
        <v>8.1999999999999993</v>
      </c>
      <c r="W164">
        <f t="shared" si="28"/>
        <v>9.1300000000000008</v>
      </c>
      <c r="X164" s="19">
        <v>45326</v>
      </c>
      <c r="Y164" s="26">
        <v>215.9</v>
      </c>
      <c r="Z164" s="61">
        <v>0</v>
      </c>
      <c r="AB164" s="28">
        <f t="shared" si="24"/>
        <v>0.13639999999999997</v>
      </c>
      <c r="AC164" s="110">
        <v>64.2</v>
      </c>
      <c r="AD164" s="26">
        <v>78.900000000000006</v>
      </c>
      <c r="AE164" s="61">
        <f t="shared" si="29"/>
        <v>14.700000000000003</v>
      </c>
      <c r="AF164" s="77" t="str">
        <f>_xlfn.XLOOKUP(AD164,menu!$K$2:$K$9,menu!$J$2:$J$9,"",1)</f>
        <v>淺</v>
      </c>
      <c r="AG164" s="80" t="str">
        <f>_xlfn.XLOOKUP(AH164,menu!$O$2:$O$9,menu!$H$2:$H$9,"")</f>
        <v>Cinamon</v>
      </c>
      <c r="AH164" s="81" t="s">
        <v>78</v>
      </c>
      <c r="AI164" t="str">
        <f>_xlfn.LET(_xlpm.x,_xlfn.CONCAT(_xlfn.XLOOKUP(D164,beans!$A$2:$A$300,beans!$J$2:$J$300,"")," / ",_xlfn.XLOOKUP(D164,beans!$A$2:$A$300,beans!$K$2:$K$300,"")," - ",_xlfn.XLOOKUP(D164,beans!$A$2:$A$300,beans!$L$2:$L$300,"")),IF(_xlpm.x=" /  - ","",_xlpm.x))</f>
        <v>波奎特 / 百合花 - Caturra</v>
      </c>
      <c r="AJ164" s="23" t="s">
        <v>409</v>
      </c>
    </row>
    <row r="165" spans="1:36" ht="32.4" x14ac:dyDescent="0.3">
      <c r="A165">
        <v>148</v>
      </c>
      <c r="B165">
        <v>250</v>
      </c>
      <c r="C165">
        <v>8</v>
      </c>
      <c r="D165">
        <v>2</v>
      </c>
      <c r="E165" t="str">
        <f>_xlfn.LET(_xlpm.x,_xlfn.XLOOKUP(D165,beans!$A$2:$A$300,beans!$H$2:$H$300,""),IF(_xlpm.x="","",_xlpm.x))</f>
        <v>哥斯大黎加</v>
      </c>
      <c r="F165" s="22" t="str">
        <f>_xlfn.XLOOKUP(E165,menu!$A$2:$A$37,menu!$B$2:$B$37,"")</f>
        <v>Costa Rica</v>
      </c>
      <c r="G165" t="str">
        <f>_xlfn.XLOOKUP(E165,menu!$A$2:$A$37,menu!$C$2:$C$37,"")</f>
        <v>cri</v>
      </c>
      <c r="H165" t="str">
        <f>_xlfn.LET(_xlpm.x,_xlfn.XLOOKUP(_xlfn.XLOOKUP(D165,beans!$A$2:$A$300,beans!$I$2:$I$300),menu!$E$2:$E$20,menu!$F$2:$F$20),IF(_xlpm.x="","",_xlpm.x))</f>
        <v>raisin-honey</v>
      </c>
      <c r="I165">
        <v>190</v>
      </c>
      <c r="J165">
        <v>60</v>
      </c>
      <c r="K165">
        <v>45</v>
      </c>
      <c r="L165">
        <v>70</v>
      </c>
      <c r="M165" s="68" t="s">
        <v>190</v>
      </c>
      <c r="N165">
        <v>85</v>
      </c>
      <c r="O165">
        <v>16</v>
      </c>
      <c r="P165" s="67" t="s">
        <v>398</v>
      </c>
      <c r="Q165" s="68">
        <v>202.7</v>
      </c>
      <c r="R165" s="67" t="s">
        <v>410</v>
      </c>
      <c r="S165" s="68">
        <v>216.1</v>
      </c>
      <c r="T165" s="68">
        <f t="shared" si="26"/>
        <v>13.400000000000006</v>
      </c>
      <c r="U165">
        <f t="shared" si="27"/>
        <v>106</v>
      </c>
      <c r="V165">
        <f t="shared" si="25"/>
        <v>7.6</v>
      </c>
      <c r="W165">
        <f t="shared" si="28"/>
        <v>13.68</v>
      </c>
      <c r="X165" s="19">
        <v>45326</v>
      </c>
      <c r="Y165" s="26">
        <v>217.4</v>
      </c>
      <c r="Z165" s="61">
        <v>0</v>
      </c>
      <c r="AB165" s="28">
        <f t="shared" si="24"/>
        <v>0.13039999999999999</v>
      </c>
      <c r="AC165" s="110">
        <v>47.8</v>
      </c>
      <c r="AD165" s="26">
        <v>69.599999999999994</v>
      </c>
      <c r="AE165" s="61">
        <f t="shared" si="29"/>
        <v>21.799999999999997</v>
      </c>
      <c r="AF165" s="77" t="str">
        <f>_xlfn.XLOOKUP(AD165,menu!$K$2:$K$9,menu!$J$2:$J$9,"",1)</f>
        <v>中淺</v>
      </c>
      <c r="AG165" s="80" t="str">
        <f>_xlfn.XLOOKUP(AH165,menu!$O$2:$O$9,menu!$H$2:$H$9,"")</f>
        <v>Medium</v>
      </c>
      <c r="AH165" s="81" t="s">
        <v>72</v>
      </c>
      <c r="AI165" t="str">
        <f>_xlfn.LET(_xlpm.x,_xlfn.CONCAT(_xlfn.XLOOKUP(D165,beans!$A$2:$A$300,beans!$J$2:$J$300,"")," / ",_xlfn.XLOOKUP(D165,beans!$A$2:$A$300,beans!$K$2:$K$300,"")," - ",_xlfn.XLOOKUP(D165,beans!$A$2:$A$300,beans!$L$2:$L$300,"")),IF(_xlpm.x=" /  - ","",_xlpm.x))</f>
        <v xml:space="preserve">Tarrazu / 卡內特 音樂家系列 莫札特 - </v>
      </c>
      <c r="AJ165" s="23" t="s">
        <v>411</v>
      </c>
    </row>
    <row r="166" spans="1:36" x14ac:dyDescent="0.3">
      <c r="A166">
        <v>149</v>
      </c>
      <c r="B166">
        <v>500</v>
      </c>
      <c r="C166">
        <v>8</v>
      </c>
      <c r="D166">
        <v>14</v>
      </c>
      <c r="E166" t="str">
        <f>_xlfn.LET(_xlpm.x,_xlfn.XLOOKUP(D166,beans!$A$2:$A$300,beans!$H$2:$H$300,""),IF(_xlpm.x="","",_xlpm.x))</f>
        <v>衣索比亞</v>
      </c>
      <c r="F166" s="22" t="str">
        <f>_xlfn.XLOOKUP(E166,menu!$A$2:$A$37,menu!$B$2:$B$37,"")</f>
        <v>Ethiopia</v>
      </c>
      <c r="G166" t="str">
        <f>_xlfn.XLOOKUP(E166,menu!$A$2:$A$37,menu!$C$2:$C$37,"")</f>
        <v>eth</v>
      </c>
      <c r="H166" t="str">
        <f>_xlfn.LET(_xlpm.x,_xlfn.XLOOKUP(_xlfn.XLOOKUP(D166,beans!$A$2:$A$300,beans!$I$2:$I$300),menu!$E$2:$E$20,menu!$F$2:$F$20),IF(_xlpm.x="","",_xlpm.x))</f>
        <v>washed</v>
      </c>
      <c r="I166">
        <v>190</v>
      </c>
      <c r="J166">
        <v>70</v>
      </c>
      <c r="K166">
        <v>25</v>
      </c>
      <c r="L166">
        <v>80</v>
      </c>
      <c r="M166" s="68" t="s">
        <v>54</v>
      </c>
      <c r="N166">
        <v>75.900000000000006</v>
      </c>
      <c r="P166" s="67" t="s">
        <v>412</v>
      </c>
      <c r="Q166" s="68">
        <v>200</v>
      </c>
      <c r="R166" s="67" t="s">
        <v>206</v>
      </c>
      <c r="S166" s="68">
        <v>213.1</v>
      </c>
      <c r="T166" s="68">
        <f t="shared" si="26"/>
        <v>13.099999999999994</v>
      </c>
      <c r="U166">
        <f t="shared" si="27"/>
        <v>91</v>
      </c>
      <c r="V166">
        <f t="shared" si="25"/>
        <v>8.6</v>
      </c>
      <c r="W166">
        <f t="shared" si="28"/>
        <v>11.88</v>
      </c>
      <c r="X166" s="19">
        <v>45336</v>
      </c>
      <c r="Y166" s="26">
        <v>428.4</v>
      </c>
      <c r="Z166" s="61">
        <v>0</v>
      </c>
      <c r="AB166" s="28">
        <f t="shared" si="24"/>
        <v>0.14320000000000005</v>
      </c>
      <c r="AC166" s="110">
        <v>52</v>
      </c>
      <c r="AD166" s="26">
        <v>73.5</v>
      </c>
      <c r="AE166" s="61">
        <f t="shared" si="29"/>
        <v>21.5</v>
      </c>
      <c r="AF166" s="77" t="str">
        <f>_xlfn.XLOOKUP(AD166,menu!$K$2:$K$9,menu!$J$2:$J$9,"",1)</f>
        <v>淺</v>
      </c>
      <c r="AG166" s="80" t="str">
        <f>_xlfn.XLOOKUP(AH166,menu!$O$2:$O$9,menu!$H$2:$H$9,"")</f>
        <v>Cinamon</v>
      </c>
      <c r="AH166" s="81" t="s">
        <v>78</v>
      </c>
      <c r="AI166" t="str">
        <f>_xlfn.LET(_xlpm.x,_xlfn.CONCAT(_xlfn.XLOOKUP(D166,beans!$A$2:$A$300,beans!$J$2:$J$300,"")," / ",_xlfn.XLOOKUP(D166,beans!$A$2:$A$300,beans!$K$2:$K$300,"")," - ",_xlfn.XLOOKUP(D166,beans!$A$2:$A$300,beans!$L$2:$L$300,"")),IF(_xlpm.x=" /  - ","",_xlpm.x))</f>
        <v>古吉 / 水風鈐 - Heirloom</v>
      </c>
      <c r="AJ166" s="23" t="s">
        <v>413</v>
      </c>
    </row>
    <row r="167" spans="1:36" x14ac:dyDescent="0.3">
      <c r="A167">
        <v>150</v>
      </c>
      <c r="B167">
        <v>500</v>
      </c>
      <c r="D167">
        <v>41</v>
      </c>
      <c r="E167" t="str">
        <f>_xlfn.LET(_xlpm.x,_xlfn.XLOOKUP(D167,beans!$A$2:$A$300,beans!$H$2:$H$300,""),IF(_xlpm.x="","",_xlpm.x))</f>
        <v>衣索比亞</v>
      </c>
      <c r="F167" s="22" t="str">
        <f>_xlfn.XLOOKUP(E167,menu!$A$2:$A$37,menu!$B$2:$B$37,"")</f>
        <v>Ethiopia</v>
      </c>
      <c r="G167" t="str">
        <f>_xlfn.XLOOKUP(E167,menu!$A$2:$A$37,menu!$C$2:$C$37,"")</f>
        <v>eth</v>
      </c>
      <c r="H167" t="str">
        <f>_xlfn.LET(_xlpm.x,_xlfn.XLOOKUP(_xlfn.XLOOKUP(D167,beans!$A$2:$A$300,beans!$I$2:$I$300),menu!$E$2:$E$20,menu!$F$2:$F$20),IF(_xlpm.x="","",_xlpm.x))</f>
        <v>washed</v>
      </c>
      <c r="I167">
        <v>190</v>
      </c>
      <c r="J167">
        <v>70</v>
      </c>
      <c r="K167">
        <v>25</v>
      </c>
      <c r="L167">
        <v>80</v>
      </c>
      <c r="M167" s="68" t="s">
        <v>121</v>
      </c>
      <c r="N167">
        <v>78</v>
      </c>
      <c r="P167" s="67" t="s">
        <v>414</v>
      </c>
      <c r="Q167" s="68">
        <v>196.9</v>
      </c>
      <c r="R167" s="67" t="s">
        <v>415</v>
      </c>
      <c r="S167" s="68">
        <v>212.6</v>
      </c>
      <c r="T167" s="68">
        <f t="shared" si="26"/>
        <v>15.699999999999989</v>
      </c>
      <c r="U167">
        <f t="shared" si="27"/>
        <v>131</v>
      </c>
      <c r="V167">
        <f t="shared" si="25"/>
        <v>7.2</v>
      </c>
      <c r="W167">
        <f t="shared" si="28"/>
        <v>16.97</v>
      </c>
      <c r="X167" s="19">
        <v>45336</v>
      </c>
      <c r="Y167" s="26">
        <v>433.4</v>
      </c>
      <c r="Z167" s="61">
        <v>0</v>
      </c>
      <c r="AB167" s="28">
        <f t="shared" si="24"/>
        <v>0.13320000000000004</v>
      </c>
      <c r="AC167" s="110">
        <v>46.7</v>
      </c>
      <c r="AD167" s="26">
        <v>68.099999999999994</v>
      </c>
      <c r="AE167" s="61">
        <f t="shared" si="29"/>
        <v>21.399999999999991</v>
      </c>
      <c r="AF167" s="77" t="str">
        <f>_xlfn.XLOOKUP(AD167,menu!$K$2:$K$9,menu!$J$2:$J$9,"",1)</f>
        <v>中淺</v>
      </c>
      <c r="AG167" s="80" t="str">
        <f>_xlfn.XLOOKUP(AH167,menu!$O$2:$O$9,menu!$H$2:$H$9,"")</f>
        <v>Medium</v>
      </c>
      <c r="AH167" s="81" t="s">
        <v>72</v>
      </c>
      <c r="AI167" t="str">
        <f>_xlfn.LET(_xlpm.x,_xlfn.CONCAT(_xlfn.XLOOKUP(D167,beans!$A$2:$A$300,beans!$J$2:$J$300,"")," / ",_xlfn.XLOOKUP(D167,beans!$A$2:$A$300,beans!$K$2:$K$300,"")," - ",_xlfn.XLOOKUP(D167,beans!$A$2:$A$300,beans!$L$2:$L$300,"")),IF(_xlpm.x=" /  - ","",_xlpm.x))</f>
        <v xml:space="preserve">耶加雪菲 / 阿若默 - </v>
      </c>
      <c r="AJ167" s="23" t="s">
        <v>416</v>
      </c>
    </row>
    <row r="168" spans="1:36" x14ac:dyDescent="0.3">
      <c r="A168">
        <v>151</v>
      </c>
      <c r="B168">
        <v>500</v>
      </c>
      <c r="D168">
        <v>44</v>
      </c>
      <c r="E168" t="str">
        <f>_xlfn.LET(_xlpm.x,_xlfn.XLOOKUP(D168,beans!$A$2:$A$300,beans!$H$2:$H$300,""),IF(_xlpm.x="","",_xlpm.x))</f>
        <v>衣索比亞</v>
      </c>
      <c r="F168" s="22" t="str">
        <f>_xlfn.XLOOKUP(E168,menu!$A$2:$A$37,menu!$B$2:$B$37,"")</f>
        <v>Ethiopia</v>
      </c>
      <c r="G168" t="str">
        <f>_xlfn.XLOOKUP(E168,menu!$A$2:$A$37,menu!$C$2:$C$37,"")</f>
        <v>eth</v>
      </c>
      <c r="H168" t="str">
        <f>_xlfn.LET(_xlpm.x,_xlfn.XLOOKUP(_xlfn.XLOOKUP(D168,beans!$A$2:$A$300,beans!$I$2:$I$300),menu!$E$2:$E$20,menu!$F$2:$F$20),IF(_xlpm.x="","",_xlpm.x))</f>
        <v>Special</v>
      </c>
      <c r="I168">
        <v>190</v>
      </c>
      <c r="J168">
        <v>70</v>
      </c>
      <c r="K168">
        <v>25</v>
      </c>
      <c r="L168">
        <v>80</v>
      </c>
      <c r="M168" s="68" t="s">
        <v>207</v>
      </c>
      <c r="N168">
        <v>79.3</v>
      </c>
      <c r="P168" s="67" t="s">
        <v>41</v>
      </c>
      <c r="Q168" s="68">
        <v>201.3</v>
      </c>
      <c r="R168" s="67" t="s">
        <v>417</v>
      </c>
      <c r="S168" s="68">
        <v>213.9</v>
      </c>
      <c r="T168" s="68">
        <f t="shared" si="26"/>
        <v>12.599999999999994</v>
      </c>
      <c r="U168">
        <f t="shared" si="27"/>
        <v>88</v>
      </c>
      <c r="V168">
        <f t="shared" si="25"/>
        <v>8.6</v>
      </c>
      <c r="W168">
        <f t="shared" si="28"/>
        <v>11.46</v>
      </c>
      <c r="X168" s="19">
        <v>45336</v>
      </c>
      <c r="Y168" s="26">
        <v>423.4</v>
      </c>
      <c r="Z168" s="61">
        <v>0</v>
      </c>
      <c r="AB168" s="28">
        <f t="shared" si="24"/>
        <v>0.15320000000000006</v>
      </c>
      <c r="AC168" s="110">
        <v>39.200000000000003</v>
      </c>
      <c r="AD168" s="26">
        <v>69.7</v>
      </c>
      <c r="AE168" s="61">
        <f t="shared" si="29"/>
        <v>30.5</v>
      </c>
      <c r="AF168" s="77" t="str">
        <f>_xlfn.XLOOKUP(AD168,menu!$K$2:$K$9,menu!$J$2:$J$9,"",1)</f>
        <v>中淺</v>
      </c>
      <c r="AG168" s="80" t="str">
        <f>_xlfn.XLOOKUP(AH168,menu!$O$2:$O$9,menu!$H$2:$H$9,"")</f>
        <v>Medium</v>
      </c>
      <c r="AH168" s="81" t="s">
        <v>72</v>
      </c>
      <c r="AI168" t="str">
        <f>_xlfn.LET(_xlpm.x,_xlfn.CONCAT(_xlfn.XLOOKUP(D168,beans!$A$2:$A$300,beans!$J$2:$J$300,"")," / ",_xlfn.XLOOKUP(D168,beans!$A$2:$A$300,beans!$K$2:$K$300,"")," - ",_xlfn.XLOOKUP(D168,beans!$A$2:$A$300,beans!$L$2:$L$300,"")),IF(_xlpm.x=" /  - ","",_xlpm.x))</f>
        <v xml:space="preserve">耶加雪菲 / 百香果特殊發酵 厭氧日曬處理 G1 - </v>
      </c>
      <c r="AJ168" s="23" t="s">
        <v>416</v>
      </c>
    </row>
    <row r="169" spans="1:36" x14ac:dyDescent="0.3">
      <c r="A169">
        <v>152</v>
      </c>
      <c r="B169">
        <v>500</v>
      </c>
      <c r="D169">
        <v>2</v>
      </c>
      <c r="E169" t="str">
        <f>_xlfn.LET(_xlpm.x,_xlfn.XLOOKUP(D169,beans!$A$2:$A$300,beans!$H$2:$H$300,""),IF(_xlpm.x="","",_xlpm.x))</f>
        <v>哥斯大黎加</v>
      </c>
      <c r="F169" s="22" t="str">
        <f>_xlfn.XLOOKUP(E169,menu!$A$2:$A$37,menu!$B$2:$B$37,"")</f>
        <v>Costa Rica</v>
      </c>
      <c r="G169" t="str">
        <f>_xlfn.XLOOKUP(E169,menu!$A$2:$A$37,menu!$C$2:$C$37,"")</f>
        <v>cri</v>
      </c>
      <c r="H169" t="str">
        <f>_xlfn.LET(_xlpm.x,_xlfn.XLOOKUP(_xlfn.XLOOKUP(D169,beans!$A$2:$A$300,beans!$I$2:$I$300),menu!$E$2:$E$20,menu!$F$2:$F$20),IF(_xlpm.x="","",_xlpm.x))</f>
        <v>raisin-honey</v>
      </c>
      <c r="I169">
        <v>180</v>
      </c>
      <c r="J169">
        <v>60</v>
      </c>
      <c r="K169">
        <v>25</v>
      </c>
      <c r="L169">
        <v>80</v>
      </c>
      <c r="M169" s="68" t="s">
        <v>146</v>
      </c>
      <c r="N169">
        <v>74.8</v>
      </c>
      <c r="P169" s="67" t="s">
        <v>271</v>
      </c>
      <c r="Q169" s="68">
        <v>199.5</v>
      </c>
      <c r="R169" s="67" t="s">
        <v>155</v>
      </c>
      <c r="S169" s="68">
        <v>213.5</v>
      </c>
      <c r="T169" s="68">
        <f t="shared" si="26"/>
        <v>14</v>
      </c>
      <c r="U169">
        <f t="shared" si="27"/>
        <v>88</v>
      </c>
      <c r="V169">
        <f t="shared" si="25"/>
        <v>9.5</v>
      </c>
      <c r="W169">
        <f t="shared" si="28"/>
        <v>10.81</v>
      </c>
      <c r="X169" s="19">
        <v>45336</v>
      </c>
      <c r="Y169" s="26">
        <v>429.6</v>
      </c>
      <c r="Z169" s="61">
        <v>0</v>
      </c>
      <c r="AB169" s="28">
        <f t="shared" si="24"/>
        <v>0.14079999999999995</v>
      </c>
      <c r="AC169" s="110">
        <v>37.4</v>
      </c>
      <c r="AD169" s="26">
        <v>72.400000000000006</v>
      </c>
      <c r="AE169" s="61">
        <f t="shared" si="29"/>
        <v>35.000000000000007</v>
      </c>
      <c r="AF169" s="77" t="str">
        <f>_xlfn.XLOOKUP(AD169,menu!$K$2:$K$9,menu!$J$2:$J$9,"",1)</f>
        <v>淺</v>
      </c>
      <c r="AG169" s="80" t="str">
        <f>_xlfn.XLOOKUP(AH169,menu!$O$2:$O$9,menu!$H$2:$H$9,"")</f>
        <v>Medium</v>
      </c>
      <c r="AH169" s="81" t="s">
        <v>72</v>
      </c>
      <c r="AI169" t="str">
        <f>_xlfn.LET(_xlpm.x,_xlfn.CONCAT(_xlfn.XLOOKUP(D169,beans!$A$2:$A$300,beans!$J$2:$J$300,"")," / ",_xlfn.XLOOKUP(D169,beans!$A$2:$A$300,beans!$K$2:$K$300,"")," - ",_xlfn.XLOOKUP(D169,beans!$A$2:$A$300,beans!$L$2:$L$300,"")),IF(_xlpm.x=" /  - ","",_xlpm.x))</f>
        <v xml:space="preserve">Tarrazu / 卡內特 音樂家系列 莫札特 - </v>
      </c>
      <c r="AJ169" s="23" t="s">
        <v>416</v>
      </c>
    </row>
    <row r="170" spans="1:36" x14ac:dyDescent="0.3">
      <c r="A170">
        <v>153</v>
      </c>
      <c r="B170">
        <v>250</v>
      </c>
      <c r="D170">
        <v>27</v>
      </c>
      <c r="E170" t="str">
        <f>_xlfn.LET(_xlpm.x,_xlfn.XLOOKUP(D170,beans!$A$2:$A$300,beans!$H$2:$H$300,""),IF(_xlpm.x="","",_xlpm.x))</f>
        <v>肯亞</v>
      </c>
      <c r="F170" s="22" t="str">
        <f>_xlfn.XLOOKUP(E170,menu!$A$2:$A$37,menu!$B$2:$B$37,"")</f>
        <v>Kenya</v>
      </c>
      <c r="G170" t="str">
        <f>_xlfn.XLOOKUP(E170,menu!$A$2:$A$37,menu!$C$2:$C$37,"")</f>
        <v>ken</v>
      </c>
      <c r="H170" t="str">
        <f>_xlfn.LET(_xlpm.x,_xlfn.XLOOKUP(_xlfn.XLOOKUP(D170,beans!$A$2:$A$300,beans!$I$2:$I$300),menu!$E$2:$E$20,menu!$F$2:$F$20),IF(_xlpm.x="","",_xlpm.x))</f>
        <v>washed</v>
      </c>
      <c r="I170">
        <v>190</v>
      </c>
      <c r="J170">
        <v>70</v>
      </c>
      <c r="K170">
        <v>25</v>
      </c>
      <c r="L170">
        <v>70</v>
      </c>
      <c r="M170" s="68" t="s">
        <v>217</v>
      </c>
      <c r="N170">
        <v>87.7</v>
      </c>
      <c r="O170">
        <v>17</v>
      </c>
      <c r="P170" s="67" t="s">
        <v>210</v>
      </c>
      <c r="Q170" s="68">
        <v>201.4</v>
      </c>
      <c r="R170" s="67" t="s">
        <v>418</v>
      </c>
      <c r="S170" s="68">
        <v>216.3</v>
      </c>
      <c r="T170" s="68">
        <f t="shared" si="26"/>
        <v>14.900000000000006</v>
      </c>
      <c r="U170">
        <f t="shared" si="27"/>
        <v>113</v>
      </c>
      <c r="V170">
        <f t="shared" si="25"/>
        <v>7.9</v>
      </c>
      <c r="W170">
        <f t="shared" si="28"/>
        <v>15.59</v>
      </c>
      <c r="X170" s="19">
        <v>45336</v>
      </c>
      <c r="Y170" s="26">
        <v>216.4</v>
      </c>
      <c r="Z170" s="61">
        <v>0</v>
      </c>
      <c r="AA170" s="61">
        <v>0</v>
      </c>
      <c r="AB170" s="28">
        <f t="shared" si="24"/>
        <v>0.13439999999999996</v>
      </c>
      <c r="AC170" s="110">
        <v>39.299999999999997</v>
      </c>
      <c r="AD170" s="26">
        <v>59.9</v>
      </c>
      <c r="AE170" s="61">
        <f t="shared" si="29"/>
        <v>20.6</v>
      </c>
      <c r="AF170" s="77" t="str">
        <f>_xlfn.XLOOKUP(AD170,menu!$K$2:$K$9,menu!$J$2:$J$9,"",1)</f>
        <v>中</v>
      </c>
      <c r="AG170" s="80" t="str">
        <f>_xlfn.XLOOKUP(AH170,menu!$O$2:$O$9,menu!$H$2:$H$9,"")</f>
        <v>Medium</v>
      </c>
      <c r="AH170" s="81" t="s">
        <v>72</v>
      </c>
      <c r="AI170" t="str">
        <f>_xlfn.LET(_xlpm.x,_xlfn.CONCAT(_xlfn.XLOOKUP(D170,beans!$A$2:$A$300,beans!$J$2:$J$300,"")," / ",_xlfn.XLOOKUP(D170,beans!$A$2:$A$300,beans!$K$2:$K$300,"")," - ",_xlfn.XLOOKUP(D170,beans!$A$2:$A$300,beans!$L$2:$L$300,"")),IF(_xlpm.x=" /  - ","",_xlpm.x))</f>
        <v>穆拉雅 / 卡甘達 - SL28、SL34</v>
      </c>
      <c r="AJ170" s="23" t="s">
        <v>419</v>
      </c>
    </row>
    <row r="171" spans="1:36" x14ac:dyDescent="0.3">
      <c r="A171">
        <v>154</v>
      </c>
      <c r="B171">
        <v>250</v>
      </c>
      <c r="C171">
        <v>5</v>
      </c>
      <c r="D171">
        <v>12</v>
      </c>
      <c r="E171" t="str">
        <f>_xlfn.LET(_xlpm.x,_xlfn.XLOOKUP(D171,beans!$A$2:$A$300,beans!$H$2:$H$300,""),IF(_xlpm.x="","",_xlpm.x))</f>
        <v>尼加拉瓜</v>
      </c>
      <c r="F171" s="22" t="str">
        <f>_xlfn.XLOOKUP(E171,menu!$A$2:$A$37,menu!$B$2:$B$37,"")</f>
        <v>Nicaragua</v>
      </c>
      <c r="G171" t="str">
        <f>_xlfn.XLOOKUP(E171,menu!$A$2:$A$37,menu!$C$2:$C$37,"")</f>
        <v>nic</v>
      </c>
      <c r="H171" t="str">
        <f>_xlfn.LET(_xlpm.x,_xlfn.XLOOKUP(_xlfn.XLOOKUP(D171,beans!$A$2:$A$300,beans!$I$2:$I$300),menu!$E$2:$E$20,menu!$F$2:$F$20),IF(_xlpm.x="","",_xlpm.x))</f>
        <v>natural</v>
      </c>
      <c r="I171">
        <v>190</v>
      </c>
      <c r="J171">
        <v>70</v>
      </c>
      <c r="K171">
        <v>25</v>
      </c>
      <c r="L171">
        <v>70</v>
      </c>
      <c r="M171" s="68" t="s">
        <v>157</v>
      </c>
      <c r="N171">
        <v>89.7</v>
      </c>
      <c r="O171">
        <v>18</v>
      </c>
      <c r="P171" s="67" t="s">
        <v>420</v>
      </c>
      <c r="Q171" s="68">
        <v>205.9</v>
      </c>
      <c r="R171" s="67" t="s">
        <v>421</v>
      </c>
      <c r="S171" s="68">
        <v>215.1</v>
      </c>
      <c r="T171" s="68">
        <f t="shared" si="26"/>
        <v>9.1999999999999886</v>
      </c>
      <c r="U171">
        <f t="shared" si="27"/>
        <v>85</v>
      </c>
      <c r="V171">
        <f t="shared" si="25"/>
        <v>6.5</v>
      </c>
      <c r="W171">
        <f t="shared" si="28"/>
        <v>11.99</v>
      </c>
      <c r="X171" s="19">
        <v>45336</v>
      </c>
      <c r="Y171" s="26">
        <v>216.5</v>
      </c>
      <c r="Z171" s="61">
        <f>200-160-40</f>
        <v>0</v>
      </c>
      <c r="AA171" s="61">
        <v>0</v>
      </c>
      <c r="AB171" s="28">
        <f t="shared" si="24"/>
        <v>0.13400000000000001</v>
      </c>
      <c r="AC171" s="110">
        <v>54.3</v>
      </c>
      <c r="AD171" s="26">
        <v>65.900000000000006</v>
      </c>
      <c r="AE171" s="61">
        <f t="shared" si="29"/>
        <v>11.600000000000009</v>
      </c>
      <c r="AF171" s="77" t="str">
        <f>_xlfn.XLOOKUP(AD171,menu!$K$2:$K$9,menu!$J$2:$J$9,"",1)</f>
        <v>中淺</v>
      </c>
      <c r="AG171" s="80" t="str">
        <f>_xlfn.XLOOKUP(AH171,menu!$O$2:$O$9,menu!$H$2:$H$9,"")</f>
        <v>Medium</v>
      </c>
      <c r="AH171" s="81" t="s">
        <v>72</v>
      </c>
      <c r="AI171" t="str">
        <f>_xlfn.LET(_xlpm.x,_xlfn.CONCAT(_xlfn.XLOOKUP(D171,beans!$A$2:$A$300,beans!$J$2:$J$300,"")," / ",_xlfn.XLOOKUP(D171,beans!$A$2:$A$300,beans!$K$2:$K$300,"")," - ",_xlfn.XLOOKUP(D171,beans!$A$2:$A$300,beans!$L$2:$L$300,"")),IF(_xlpm.x=" /  - ","",_xlpm.x))</f>
        <v>希諾特加 / 暮光女神 - 卡杜拉</v>
      </c>
      <c r="AJ171" s="23" t="s">
        <v>422</v>
      </c>
    </row>
    <row r="172" spans="1:36" x14ac:dyDescent="0.3">
      <c r="A172">
        <v>155</v>
      </c>
      <c r="B172">
        <v>250</v>
      </c>
      <c r="D172">
        <v>38</v>
      </c>
      <c r="E172" t="str">
        <f>_xlfn.LET(_xlpm.x,_xlfn.XLOOKUP(D172,beans!$A$2:$A$300,beans!$H$2:$H$300,""),IF(_xlpm.x="","",_xlpm.x))</f>
        <v>巴拿馬</v>
      </c>
      <c r="F172" s="22" t="str">
        <f>_xlfn.XLOOKUP(E172,menu!$A$2:$A$37,menu!$B$2:$B$37,"")</f>
        <v>Panama</v>
      </c>
      <c r="G172" t="str">
        <f>_xlfn.XLOOKUP(E172,menu!$A$2:$A$37,menu!$C$2:$C$37,"")</f>
        <v>pan</v>
      </c>
      <c r="H172" t="str">
        <f>_xlfn.LET(_xlpm.x,_xlfn.XLOOKUP(_xlfn.XLOOKUP(D172,beans!$A$2:$A$300,beans!$I$2:$I$300),menu!$E$2:$E$20,menu!$F$2:$F$20),IF(_xlpm.x="","",_xlpm.x))</f>
        <v>washed</v>
      </c>
      <c r="I172">
        <v>200</v>
      </c>
      <c r="J172">
        <v>70</v>
      </c>
      <c r="K172">
        <v>40</v>
      </c>
      <c r="L172">
        <v>70</v>
      </c>
      <c r="M172" s="68" t="s">
        <v>207</v>
      </c>
      <c r="N172">
        <v>84.5</v>
      </c>
      <c r="O172">
        <v>21</v>
      </c>
      <c r="P172" s="67" t="s">
        <v>322</v>
      </c>
      <c r="Q172" s="68">
        <v>204.6</v>
      </c>
      <c r="R172" s="67" t="s">
        <v>138</v>
      </c>
      <c r="S172" s="68">
        <v>213.6</v>
      </c>
      <c r="T172" s="68">
        <f t="shared" si="26"/>
        <v>9</v>
      </c>
      <c r="U172">
        <f t="shared" si="27"/>
        <v>65</v>
      </c>
      <c r="V172">
        <f t="shared" si="25"/>
        <v>8.3000000000000007</v>
      </c>
      <c r="W172">
        <f t="shared" si="28"/>
        <v>9.02</v>
      </c>
      <c r="X172" s="19">
        <v>45337</v>
      </c>
      <c r="Y172" s="26">
        <v>216.6</v>
      </c>
      <c r="Z172" s="61">
        <v>0</v>
      </c>
      <c r="AA172" s="61">
        <v>0</v>
      </c>
      <c r="AB172" s="28">
        <f t="shared" si="24"/>
        <v>0.13360000000000002</v>
      </c>
      <c r="AC172" s="110">
        <v>51.5</v>
      </c>
      <c r="AD172" s="26">
        <v>68.5</v>
      </c>
      <c r="AE172" s="61">
        <f t="shared" si="29"/>
        <v>17</v>
      </c>
      <c r="AF172" s="77" t="str">
        <f>_xlfn.XLOOKUP(AD172,menu!$K$2:$K$9,menu!$J$2:$J$9,"",1)</f>
        <v>中淺</v>
      </c>
      <c r="AG172" s="80" t="str">
        <f>_xlfn.XLOOKUP(AH172,menu!$O$2:$O$9,menu!$H$2:$H$9,"")</f>
        <v>Cinamon</v>
      </c>
      <c r="AH172" s="81" t="s">
        <v>78</v>
      </c>
      <c r="AI172" t="str">
        <f>_xlfn.LET(_xlpm.x,_xlfn.CONCAT(_xlfn.XLOOKUP(D172,beans!$A$2:$A$300,beans!$J$2:$J$300,"")," / ",_xlfn.XLOOKUP(D172,beans!$A$2:$A$300,beans!$K$2:$K$300,"")," - ",_xlfn.XLOOKUP(D172,beans!$A$2:$A$300,beans!$L$2:$L$300,"")),IF(_xlpm.x=" /  - ","",_xlpm.x))</f>
        <v>波奎特 / 百合花 - Caturra</v>
      </c>
      <c r="AJ172" s="23" t="s">
        <v>423</v>
      </c>
    </row>
    <row r="173" spans="1:36" x14ac:dyDescent="0.3">
      <c r="A173">
        <v>156</v>
      </c>
      <c r="B173">
        <v>250</v>
      </c>
      <c r="D173">
        <v>42</v>
      </c>
      <c r="E173" t="str">
        <f>_xlfn.LET(_xlpm.x,_xlfn.XLOOKUP(D173,beans!$A$2:$A$300,beans!$H$2:$H$300,""),IF(_xlpm.x="","",_xlpm.x))</f>
        <v>瓜地馬拉</v>
      </c>
      <c r="F173" s="22" t="str">
        <f>_xlfn.XLOOKUP(E173,menu!$A$2:$A$37,menu!$B$2:$B$37,"")</f>
        <v>Guatemala</v>
      </c>
      <c r="G173" t="str">
        <f>_xlfn.XLOOKUP(E173,menu!$A$2:$A$37,menu!$C$2:$C$37,"")</f>
        <v>gtm</v>
      </c>
      <c r="H173" t="str">
        <f>_xlfn.LET(_xlpm.x,_xlfn.XLOOKUP(_xlfn.XLOOKUP(D173,beans!$A$2:$A$300,beans!$I$2:$I$300),menu!$E$2:$E$20,menu!$F$2:$F$20),IF(_xlpm.x="","",_xlpm.x))</f>
        <v>honey</v>
      </c>
      <c r="I173">
        <v>190</v>
      </c>
      <c r="J173">
        <v>70</v>
      </c>
      <c r="K173">
        <v>35</v>
      </c>
      <c r="L173">
        <v>70</v>
      </c>
      <c r="M173" s="68" t="s">
        <v>75</v>
      </c>
      <c r="N173">
        <v>85.4</v>
      </c>
      <c r="O173">
        <v>17</v>
      </c>
      <c r="P173" s="67" t="s">
        <v>424</v>
      </c>
      <c r="Q173" s="68">
        <v>207.8</v>
      </c>
      <c r="R173" s="67" t="s">
        <v>425</v>
      </c>
      <c r="S173" s="68">
        <v>217.5</v>
      </c>
      <c r="T173" s="68">
        <f t="shared" si="26"/>
        <v>9.6999999999999886</v>
      </c>
      <c r="U173">
        <f t="shared" si="27"/>
        <v>70</v>
      </c>
      <c r="V173">
        <f t="shared" si="25"/>
        <v>8.3000000000000007</v>
      </c>
      <c r="W173">
        <f t="shared" si="28"/>
        <v>9.4499999999999993</v>
      </c>
      <c r="X173" s="19">
        <v>45337</v>
      </c>
      <c r="Y173" s="26">
        <v>214.7</v>
      </c>
      <c r="Z173" s="61">
        <v>0</v>
      </c>
      <c r="AA173" s="61">
        <v>0</v>
      </c>
      <c r="AB173" s="28">
        <f t="shared" si="24"/>
        <v>0.14120000000000005</v>
      </c>
      <c r="AC173" s="110">
        <v>40.799999999999997</v>
      </c>
      <c r="AD173" s="26">
        <v>64.400000000000006</v>
      </c>
      <c r="AE173" s="61">
        <f t="shared" si="29"/>
        <v>23.600000000000009</v>
      </c>
      <c r="AF173" s="77" t="str">
        <f>_xlfn.XLOOKUP(AD173,menu!$K$2:$K$9,menu!$J$2:$J$9,"",1)</f>
        <v>中淺</v>
      </c>
      <c r="AG173" s="80" t="str">
        <f>_xlfn.XLOOKUP(AH173,menu!$O$2:$O$9,menu!$H$2:$H$9,"")</f>
        <v>Cinamon</v>
      </c>
      <c r="AH173" s="81" t="s">
        <v>78</v>
      </c>
      <c r="AI173" t="str">
        <f>_xlfn.LET(_xlpm.x,_xlfn.CONCAT(_xlfn.XLOOKUP(D173,beans!$A$2:$A$300,beans!$J$2:$J$300,"")," / ",_xlfn.XLOOKUP(D173,beans!$A$2:$A$300,beans!$K$2:$K$300,"")," - ",_xlfn.XLOOKUP(D173,beans!$A$2:$A$300,beans!$L$2:$L$300,"")),IF(_xlpm.x=" /  - ","",_xlpm.x))</f>
        <v>薇微特南果 / 聖安東尼奧莊園 - 波旁,鐵皮卡</v>
      </c>
      <c r="AJ173" s="23" t="s">
        <v>426</v>
      </c>
    </row>
    <row r="174" spans="1:36" ht="32.4" x14ac:dyDescent="0.3">
      <c r="A174">
        <v>157</v>
      </c>
      <c r="B174">
        <v>250</v>
      </c>
      <c r="C174">
        <v>4</v>
      </c>
      <c r="D174">
        <v>6</v>
      </c>
      <c r="E174" t="str">
        <f>_xlfn.LET(_xlpm.x,_xlfn.XLOOKUP(D174,beans!$A$2:$A$300,beans!$H$2:$H$300,""),IF(_xlpm.x="","",_xlpm.x))</f>
        <v>肯亞</v>
      </c>
      <c r="F174" s="22" t="str">
        <f>_xlfn.XLOOKUP(E174,menu!$A$2:$A$37,menu!$B$2:$B$37,"")</f>
        <v>Kenya</v>
      </c>
      <c r="G174" t="str">
        <f>_xlfn.XLOOKUP(E174,menu!$A$2:$A$37,menu!$C$2:$C$37,"")</f>
        <v>ken</v>
      </c>
      <c r="H174" t="str">
        <f>_xlfn.LET(_xlpm.x,_xlfn.XLOOKUP(_xlfn.XLOOKUP(D174,beans!$A$2:$A$300,beans!$I$2:$I$300),menu!$E$2:$E$20,menu!$F$2:$F$20),IF(_xlpm.x="","",_xlpm.x))</f>
        <v>washed</v>
      </c>
      <c r="I174">
        <v>190</v>
      </c>
      <c r="J174">
        <v>70</v>
      </c>
      <c r="K174">
        <v>30</v>
      </c>
      <c r="L174">
        <v>70</v>
      </c>
      <c r="M174" s="68" t="s">
        <v>109</v>
      </c>
      <c r="N174">
        <v>86</v>
      </c>
      <c r="O174">
        <v>18</v>
      </c>
      <c r="P174" s="67" t="s">
        <v>427</v>
      </c>
      <c r="Q174" s="68">
        <v>196.9</v>
      </c>
      <c r="R174" s="67" t="s">
        <v>428</v>
      </c>
      <c r="S174" s="68">
        <v>211.2</v>
      </c>
      <c r="T174" s="68">
        <f t="shared" si="26"/>
        <v>14.299999999999983</v>
      </c>
      <c r="U174">
        <f t="shared" si="27"/>
        <v>115</v>
      </c>
      <c r="V174">
        <f t="shared" si="25"/>
        <v>7.5</v>
      </c>
      <c r="W174">
        <f t="shared" si="28"/>
        <v>16.41</v>
      </c>
      <c r="X174" s="19">
        <v>45337</v>
      </c>
      <c r="Y174" s="26">
        <v>212.2</v>
      </c>
      <c r="Z174" s="61">
        <v>0</v>
      </c>
      <c r="AB174" s="28">
        <f t="shared" si="24"/>
        <v>0.15120000000000006</v>
      </c>
      <c r="AC174" s="110">
        <v>44.5</v>
      </c>
      <c r="AD174" s="26">
        <v>61.5</v>
      </c>
      <c r="AE174" s="61">
        <f t="shared" si="29"/>
        <v>17</v>
      </c>
      <c r="AF174" s="77" t="str">
        <f>_xlfn.XLOOKUP(AD174,menu!$K$2:$K$9,menu!$J$2:$J$9,"",1)</f>
        <v>中淺</v>
      </c>
      <c r="AG174" s="80" t="str">
        <f>_xlfn.XLOOKUP(AH174,menu!$O$2:$O$9,menu!$H$2:$H$9,"")</f>
        <v>Cinamon</v>
      </c>
      <c r="AH174" s="81" t="s">
        <v>78</v>
      </c>
      <c r="AI174" t="str">
        <f>_xlfn.LET(_xlpm.x,_xlfn.CONCAT(_xlfn.XLOOKUP(D174,beans!$A$2:$A$300,beans!$J$2:$J$300,"")," / ",_xlfn.XLOOKUP(D174,beans!$A$2:$A$300,beans!$K$2:$K$300,"")," - ",_xlfn.XLOOKUP(D174,beans!$A$2:$A$300,beans!$L$2:$L$300,"")),IF(_xlpm.x=" /  - ","",_xlpm.x))</f>
        <v>東非大裂谷產區 / 烏克栗栗/黑莓皇后 - SL28, SL34, 少許Ruiru以及Batian</v>
      </c>
      <c r="AJ174" s="23" t="s">
        <v>429</v>
      </c>
    </row>
    <row r="175" spans="1:36" x14ac:dyDescent="0.3">
      <c r="A175">
        <v>158</v>
      </c>
      <c r="B175">
        <v>250</v>
      </c>
      <c r="C175">
        <v>6</v>
      </c>
      <c r="D175">
        <v>43</v>
      </c>
      <c r="E175" t="str">
        <f>_xlfn.LET(_xlpm.x,_xlfn.XLOOKUP(D175,beans!$A$2:$A$300,beans!$H$2:$H$300,""),IF(_xlpm.x="","",_xlpm.x))</f>
        <v>衣索比亞</v>
      </c>
      <c r="F175" s="22" t="str">
        <f>_xlfn.XLOOKUP(E175,menu!$A$2:$A$37,menu!$B$2:$B$37,"")</f>
        <v>Ethiopia</v>
      </c>
      <c r="G175" t="str">
        <f>_xlfn.XLOOKUP(E175,menu!$A$2:$A$37,menu!$C$2:$C$37,"")</f>
        <v>eth</v>
      </c>
      <c r="H175" t="str">
        <f>_xlfn.LET(_xlpm.x,_xlfn.XLOOKUP(_xlfn.XLOOKUP(D175,beans!$A$2:$A$300,beans!$I$2:$I$300),menu!$E$2:$E$20,menu!$F$2:$F$20),IF(_xlpm.x="","",_xlpm.x))</f>
        <v>natural</v>
      </c>
      <c r="I175">
        <v>190</v>
      </c>
      <c r="J175">
        <v>70</v>
      </c>
      <c r="K175">
        <v>30</v>
      </c>
      <c r="L175">
        <v>70</v>
      </c>
      <c r="M175" s="68" t="s">
        <v>67</v>
      </c>
      <c r="N175">
        <v>80</v>
      </c>
      <c r="O175">
        <v>18</v>
      </c>
      <c r="P175" s="67" t="s">
        <v>400</v>
      </c>
      <c r="Q175" s="68">
        <v>207.2</v>
      </c>
      <c r="R175" s="67" t="s">
        <v>430</v>
      </c>
      <c r="S175" s="68">
        <v>216.2</v>
      </c>
      <c r="T175" s="68">
        <f t="shared" si="26"/>
        <v>9</v>
      </c>
      <c r="U175">
        <f t="shared" si="27"/>
        <v>62</v>
      </c>
      <c r="V175">
        <f t="shared" si="25"/>
        <v>8.6999999999999993</v>
      </c>
      <c r="W175">
        <f t="shared" si="28"/>
        <v>8.19</v>
      </c>
      <c r="X175" s="19">
        <v>45340</v>
      </c>
      <c r="Y175" s="26">
        <v>216.6</v>
      </c>
      <c r="Z175" s="61">
        <v>0</v>
      </c>
      <c r="AB175" s="28">
        <f t="shared" si="24"/>
        <v>0.13360000000000002</v>
      </c>
      <c r="AC175" s="110">
        <v>57.9</v>
      </c>
      <c r="AD175" s="26">
        <v>72.2</v>
      </c>
      <c r="AE175" s="61">
        <f t="shared" si="29"/>
        <v>14.300000000000004</v>
      </c>
      <c r="AF175" s="77" t="str">
        <f>_xlfn.XLOOKUP(AD175,menu!$K$2:$K$9,menu!$J$2:$J$9,"",1)</f>
        <v>淺</v>
      </c>
      <c r="AG175" s="80" t="str">
        <f>_xlfn.XLOOKUP(AH175,menu!$O$2:$O$9,menu!$H$2:$H$9,"")</f>
        <v>Cinamon</v>
      </c>
      <c r="AH175" s="81" t="s">
        <v>78</v>
      </c>
      <c r="AI175" t="str">
        <f>_xlfn.LET(_xlpm.x,_xlfn.CONCAT(_xlfn.XLOOKUP(D175,beans!$A$2:$A$300,beans!$J$2:$J$300,"")," / ",_xlfn.XLOOKUP(D175,beans!$A$2:$A$300,beans!$K$2:$K$300,"")," - ",_xlfn.XLOOKUP(D175,beans!$A$2:$A$300,beans!$L$2:$L$300,"")),IF(_xlpm.x=" /  - ","",_xlpm.x))</f>
        <v>西達馬 / 朵望丘合作社 - 74110</v>
      </c>
      <c r="AJ175" s="23" t="s">
        <v>431</v>
      </c>
    </row>
    <row r="176" spans="1:36" ht="32.4" x14ac:dyDescent="0.3">
      <c r="A176">
        <v>159</v>
      </c>
      <c r="B176">
        <v>250</v>
      </c>
      <c r="C176">
        <v>6</v>
      </c>
      <c r="D176">
        <v>9</v>
      </c>
      <c r="E176" t="str">
        <f>_xlfn.LET(_xlpm.x,_xlfn.XLOOKUP(D176,beans!$A$2:$A$300,beans!$H$2:$H$300,""),IF(_xlpm.x="","",_xlpm.x))</f>
        <v>衣索比亞</v>
      </c>
      <c r="F176" s="22" t="str">
        <f>_xlfn.XLOOKUP(E176,menu!$A$2:$A$37,menu!$B$2:$B$37,"")</f>
        <v>Ethiopia</v>
      </c>
      <c r="G176" t="str">
        <f>_xlfn.XLOOKUP(E176,menu!$A$2:$A$37,menu!$C$2:$C$37,"")</f>
        <v>eth</v>
      </c>
      <c r="H176" t="str">
        <f>_xlfn.LET(_xlpm.x,_xlfn.XLOOKUP(_xlfn.XLOOKUP(D176,beans!$A$2:$A$300,beans!$I$2:$I$300),menu!$E$2:$E$20,menu!$F$2:$F$20),IF(_xlpm.x="","",_xlpm.x))</f>
        <v>natural</v>
      </c>
      <c r="I176">
        <v>200</v>
      </c>
      <c r="J176">
        <v>70</v>
      </c>
      <c r="K176">
        <v>30</v>
      </c>
      <c r="L176">
        <v>75</v>
      </c>
      <c r="M176" s="68" t="s">
        <v>109</v>
      </c>
      <c r="N176">
        <v>87.7</v>
      </c>
      <c r="O176">
        <v>16</v>
      </c>
      <c r="P176" s="67" t="s">
        <v>103</v>
      </c>
      <c r="Q176" s="68">
        <v>209.8</v>
      </c>
      <c r="R176" s="67" t="s">
        <v>158</v>
      </c>
      <c r="S176" s="68">
        <v>215.4</v>
      </c>
      <c r="T176" s="68">
        <f t="shared" si="26"/>
        <v>5.5999999999999943</v>
      </c>
      <c r="U176">
        <f t="shared" si="27"/>
        <v>30</v>
      </c>
      <c r="V176">
        <f t="shared" si="25"/>
        <v>11.2</v>
      </c>
      <c r="W176">
        <f t="shared" si="28"/>
        <v>4.37</v>
      </c>
      <c r="X176" s="19">
        <v>45340</v>
      </c>
      <c r="Y176" s="26">
        <v>209.9</v>
      </c>
      <c r="Z176" s="61">
        <v>0</v>
      </c>
      <c r="AB176" s="28">
        <f t="shared" si="24"/>
        <v>0.16039999999999999</v>
      </c>
      <c r="AC176" s="110">
        <v>52.1</v>
      </c>
      <c r="AD176" s="26">
        <v>71.599999999999994</v>
      </c>
      <c r="AE176" s="61">
        <f t="shared" si="29"/>
        <v>19.499999999999993</v>
      </c>
      <c r="AF176" s="77" t="str">
        <f>_xlfn.XLOOKUP(AD176,menu!$K$2:$K$9,menu!$J$2:$J$9,"",1)</f>
        <v>淺</v>
      </c>
      <c r="AG176" s="80" t="str">
        <f>_xlfn.XLOOKUP(AH176,menu!$O$2:$O$9,menu!$H$2:$H$9,"")</f>
        <v>Cinamon</v>
      </c>
      <c r="AH176" s="81" t="s">
        <v>78</v>
      </c>
      <c r="AI176" t="str">
        <f>_xlfn.LET(_xlpm.x,_xlfn.CONCAT(_xlfn.XLOOKUP(D176,beans!$A$2:$A$300,beans!$J$2:$J$300,"")," / ",_xlfn.XLOOKUP(D176,beans!$A$2:$A$300,beans!$K$2:$K$300,"")," - ",_xlfn.XLOOKUP(D176,beans!$A$2:$A$300,beans!$L$2:$L$300,"")),IF(_xlpm.x=" /  - ","",_xlpm.x))</f>
        <v>吉瑪 利姆 / 果美村 - 寶貝藝妓</v>
      </c>
      <c r="AJ176" s="23" t="s">
        <v>432</v>
      </c>
    </row>
    <row r="177" spans="1:36" x14ac:dyDescent="0.3">
      <c r="A177">
        <v>160</v>
      </c>
      <c r="B177">
        <v>250</v>
      </c>
      <c r="D177">
        <v>47</v>
      </c>
      <c r="E177" t="str">
        <f>_xlfn.LET(_xlpm.x,_xlfn.XLOOKUP(D177,beans!$A$2:$A$300,beans!$H$2:$H$300,""),IF(_xlpm.x="","",_xlpm.x))</f>
        <v>衣索比亞</v>
      </c>
      <c r="F177" s="22" t="str">
        <f>_xlfn.XLOOKUP(E177,menu!$A$2:$A$37,menu!$B$2:$B$37,"")</f>
        <v>Ethiopia</v>
      </c>
      <c r="G177" t="str">
        <f>_xlfn.XLOOKUP(E177,menu!$A$2:$A$37,menu!$C$2:$C$37,"")</f>
        <v>eth</v>
      </c>
      <c r="H177" t="str">
        <f>_xlfn.LET(_xlpm.x,_xlfn.XLOOKUP(_xlfn.XLOOKUP(D177,beans!$A$2:$A$300,beans!$I$2:$I$300),menu!$E$2:$E$20,menu!$F$2:$F$20),IF(_xlpm.x="","",_xlpm.x))</f>
        <v>washed</v>
      </c>
      <c r="I177">
        <v>190</v>
      </c>
      <c r="J177">
        <v>70</v>
      </c>
      <c r="K177">
        <v>30</v>
      </c>
      <c r="L177">
        <v>75</v>
      </c>
      <c r="M177" s="68" t="s">
        <v>109</v>
      </c>
      <c r="N177">
        <v>86.6</v>
      </c>
      <c r="O177">
        <v>18</v>
      </c>
      <c r="P177" s="67" t="s">
        <v>89</v>
      </c>
      <c r="Q177" s="68">
        <v>199.2</v>
      </c>
      <c r="R177" s="67" t="s">
        <v>433</v>
      </c>
      <c r="S177" s="68">
        <v>212.3</v>
      </c>
      <c r="T177" s="68">
        <f t="shared" si="26"/>
        <v>13.100000000000023</v>
      </c>
      <c r="U177">
        <f t="shared" si="27"/>
        <v>85</v>
      </c>
      <c r="V177">
        <f t="shared" si="25"/>
        <v>9.1999999999999993</v>
      </c>
      <c r="W177">
        <f t="shared" si="28"/>
        <v>12.46</v>
      </c>
      <c r="X177" s="19">
        <v>45340</v>
      </c>
      <c r="Y177" s="26">
        <v>210.8</v>
      </c>
      <c r="Z177" s="61">
        <v>0</v>
      </c>
      <c r="AB177" s="28">
        <f t="shared" si="24"/>
        <v>0.15679999999999997</v>
      </c>
      <c r="AC177" s="110">
        <v>57.8</v>
      </c>
      <c r="AD177" s="26">
        <v>79.900000000000006</v>
      </c>
      <c r="AE177" s="61">
        <f t="shared" si="29"/>
        <v>22.100000000000009</v>
      </c>
      <c r="AF177" s="77" t="str">
        <f>_xlfn.XLOOKUP(AD177,menu!$K$2:$K$9,menu!$J$2:$J$9,"",1)</f>
        <v>淺</v>
      </c>
      <c r="AG177" s="80" t="str">
        <f>_xlfn.XLOOKUP(AH177,menu!$O$2:$O$9,menu!$H$2:$H$9,"")</f>
        <v>Cinamon</v>
      </c>
      <c r="AH177" s="81" t="s">
        <v>78</v>
      </c>
      <c r="AI177" t="str">
        <f>_xlfn.LET(_xlpm.x,_xlfn.CONCAT(_xlfn.XLOOKUP(D177,beans!$A$2:$A$300,beans!$J$2:$J$300,"")," / ",_xlfn.XLOOKUP(D177,beans!$A$2:$A$300,beans!$K$2:$K$300,"")," - ",_xlfn.XLOOKUP(D177,beans!$A$2:$A$300,beans!$L$2:$L$300,"")),IF(_xlpm.x=" /  - ","",_xlpm.x))</f>
        <v>吉馬莉姆 / 果美村 - 寶貝藝妓</v>
      </c>
      <c r="AJ177" s="23" t="s">
        <v>434</v>
      </c>
    </row>
    <row r="178" spans="1:36" x14ac:dyDescent="0.3">
      <c r="A178">
        <v>161</v>
      </c>
      <c r="B178">
        <v>250</v>
      </c>
      <c r="D178">
        <v>6</v>
      </c>
      <c r="E178" t="str">
        <f>_xlfn.LET(_xlpm.x,_xlfn.XLOOKUP(D178,beans!$A$2:$A$300,beans!$H$2:$H$300,""),IF(_xlpm.x="","",_xlpm.x))</f>
        <v>肯亞</v>
      </c>
      <c r="F178" s="22" t="str">
        <f>_xlfn.XLOOKUP(E178,menu!$A$2:$A$37,menu!$B$2:$B$37,"")</f>
        <v>Kenya</v>
      </c>
      <c r="G178" t="str">
        <f>_xlfn.XLOOKUP(E178,menu!$A$2:$A$37,menu!$C$2:$C$37,"")</f>
        <v>ken</v>
      </c>
      <c r="H178" t="str">
        <f>_xlfn.LET(_xlpm.x,_xlfn.XLOOKUP(_xlfn.XLOOKUP(D178,beans!$A$2:$A$300,beans!$I$2:$I$300),menu!$E$2:$E$20,menu!$F$2:$F$20),IF(_xlpm.x="","",_xlpm.x))</f>
        <v>washed</v>
      </c>
      <c r="I178">
        <v>190</v>
      </c>
      <c r="J178">
        <v>70</v>
      </c>
      <c r="K178">
        <v>30</v>
      </c>
      <c r="L178">
        <v>75</v>
      </c>
      <c r="M178" s="68" t="s">
        <v>54</v>
      </c>
      <c r="N178">
        <v>86.7</v>
      </c>
      <c r="O178">
        <v>19</v>
      </c>
      <c r="P178" s="67" t="s">
        <v>435</v>
      </c>
      <c r="Q178" s="68">
        <v>202.3</v>
      </c>
      <c r="R178" s="67" t="s">
        <v>386</v>
      </c>
      <c r="S178" s="68">
        <v>215.9</v>
      </c>
      <c r="T178" s="68">
        <f t="shared" si="26"/>
        <v>13.599999999999994</v>
      </c>
      <c r="U178">
        <f t="shared" si="27"/>
        <v>94</v>
      </c>
      <c r="V178">
        <f t="shared" si="25"/>
        <v>8.6999999999999993</v>
      </c>
      <c r="W178">
        <f t="shared" si="28"/>
        <v>14.16</v>
      </c>
      <c r="X178" s="19">
        <v>45340</v>
      </c>
      <c r="Y178" s="26">
        <v>214.9</v>
      </c>
      <c r="Z178" s="61">
        <v>0</v>
      </c>
      <c r="AB178" s="28">
        <f t="shared" si="24"/>
        <v>0.14039999999999997</v>
      </c>
      <c r="AC178" s="110">
        <v>54.4</v>
      </c>
      <c r="AD178" s="26">
        <v>65.2</v>
      </c>
      <c r="AE178" s="61">
        <f t="shared" si="29"/>
        <v>10.800000000000004</v>
      </c>
      <c r="AF178" s="77" t="str">
        <f>_xlfn.XLOOKUP(AD178,menu!$K$2:$K$9,menu!$J$2:$J$9,"",1)</f>
        <v>中淺</v>
      </c>
      <c r="AG178" s="80" t="str">
        <f>_xlfn.XLOOKUP(AH178,menu!$O$2:$O$9,menu!$H$2:$H$9,"")</f>
        <v>Medium</v>
      </c>
      <c r="AH178" s="81" t="s">
        <v>72</v>
      </c>
      <c r="AI178" t="str">
        <f>_xlfn.LET(_xlpm.x,_xlfn.CONCAT(_xlfn.XLOOKUP(D178,beans!$A$2:$A$300,beans!$J$2:$J$300,"")," / ",_xlfn.XLOOKUP(D178,beans!$A$2:$A$300,beans!$K$2:$K$300,"")," - ",_xlfn.XLOOKUP(D178,beans!$A$2:$A$300,beans!$L$2:$L$300,"")),IF(_xlpm.x=" /  - ","",_xlpm.x))</f>
        <v>東非大裂谷產區 / 烏克栗栗/黑莓皇后 - SL28, SL34, 少許Ruiru以及Batian</v>
      </c>
      <c r="AJ178" s="23" t="s">
        <v>434</v>
      </c>
    </row>
    <row r="179" spans="1:36" x14ac:dyDescent="0.3">
      <c r="A179">
        <v>162</v>
      </c>
      <c r="B179">
        <v>250</v>
      </c>
      <c r="D179">
        <v>47</v>
      </c>
      <c r="E179" t="str">
        <f>_xlfn.LET(_xlpm.x,_xlfn.XLOOKUP(D179,beans!$A$2:$A$300,beans!$H$2:$H$300,""),IF(_xlpm.x="","",_xlpm.x))</f>
        <v>衣索比亞</v>
      </c>
      <c r="F179" s="22" t="str">
        <f>_xlfn.XLOOKUP(E179,menu!$A$2:$A$37,menu!$B$2:$B$37,"")</f>
        <v>Ethiopia</v>
      </c>
      <c r="G179" t="str">
        <f>_xlfn.XLOOKUP(E179,menu!$A$2:$A$37,menu!$C$2:$C$37,"")</f>
        <v>eth</v>
      </c>
      <c r="H179" t="str">
        <f>_xlfn.LET(_xlpm.x,_xlfn.XLOOKUP(_xlfn.XLOOKUP(D179,beans!$A$2:$A$300,beans!$I$2:$I$300),menu!$E$2:$E$20,menu!$F$2:$F$20),IF(_xlpm.x="","",_xlpm.x))</f>
        <v>washed</v>
      </c>
      <c r="I179">
        <v>190</v>
      </c>
      <c r="J179">
        <v>70</v>
      </c>
      <c r="K179">
        <v>30</v>
      </c>
      <c r="L179">
        <v>75</v>
      </c>
      <c r="M179" s="68" t="s">
        <v>188</v>
      </c>
      <c r="N179">
        <v>82.4</v>
      </c>
      <c r="O179">
        <v>17</v>
      </c>
      <c r="P179" s="67" t="s">
        <v>436</v>
      </c>
      <c r="Q179" s="68">
        <v>195.8</v>
      </c>
      <c r="R179" s="67" t="s">
        <v>298</v>
      </c>
      <c r="S179" s="68">
        <v>211.2</v>
      </c>
      <c r="T179" s="68">
        <f t="shared" si="26"/>
        <v>15.399999999999977</v>
      </c>
      <c r="U179">
        <f t="shared" si="27"/>
        <v>96</v>
      </c>
      <c r="V179">
        <f t="shared" si="25"/>
        <v>9.6</v>
      </c>
      <c r="W179">
        <f t="shared" si="28"/>
        <v>13.52</v>
      </c>
      <c r="X179" s="19">
        <v>45341</v>
      </c>
      <c r="Y179" s="26">
        <v>212.9</v>
      </c>
      <c r="Z179" s="61">
        <v>0</v>
      </c>
      <c r="AB179" s="28">
        <f t="shared" si="24"/>
        <v>0.14839999999999998</v>
      </c>
      <c r="AC179" s="110">
        <v>54.9</v>
      </c>
      <c r="AD179" s="26">
        <v>81.099999999999994</v>
      </c>
      <c r="AE179" s="61">
        <f t="shared" si="29"/>
        <v>26.199999999999996</v>
      </c>
      <c r="AF179" s="77" t="str">
        <f>_xlfn.XLOOKUP(AD179,menu!$K$2:$K$9,menu!$J$2:$J$9,"",1)</f>
        <v>極淺</v>
      </c>
      <c r="AG179" s="80" t="str">
        <f>_xlfn.XLOOKUP(AH179,menu!$O$2:$O$9,menu!$H$2:$H$9,"")</f>
        <v>Cinamon</v>
      </c>
      <c r="AH179" s="81" t="s">
        <v>78</v>
      </c>
      <c r="AI179" t="str">
        <f>_xlfn.LET(_xlpm.x,_xlfn.CONCAT(_xlfn.XLOOKUP(D179,beans!$A$2:$A$300,beans!$J$2:$J$300,"")," / ",_xlfn.XLOOKUP(D179,beans!$A$2:$A$300,beans!$K$2:$K$300,"")," - ",_xlfn.XLOOKUP(D179,beans!$A$2:$A$300,beans!$L$2:$L$300,"")),IF(_xlpm.x=" /  - ","",_xlpm.x))</f>
        <v>吉馬莉姆 / 果美村 - 寶貝藝妓</v>
      </c>
      <c r="AJ179" s="23" t="s">
        <v>437</v>
      </c>
    </row>
    <row r="180" spans="1:36" ht="32.4" x14ac:dyDescent="0.3">
      <c r="A180">
        <v>163</v>
      </c>
      <c r="B180">
        <v>250</v>
      </c>
      <c r="C180">
        <v>6</v>
      </c>
      <c r="D180">
        <v>7</v>
      </c>
      <c r="E180" t="str">
        <f>_xlfn.LET(_xlpm.x,_xlfn.XLOOKUP(D180,beans!$A$2:$A$300,beans!$H$2:$H$300,""),IF(_xlpm.x="","",_xlpm.x))</f>
        <v>瓜地馬拉</v>
      </c>
      <c r="F180" s="22" t="str">
        <f>_xlfn.XLOOKUP(E180,menu!$A$2:$A$37,menu!$B$2:$B$37,"")</f>
        <v>Guatemala</v>
      </c>
      <c r="G180" t="str">
        <f>_xlfn.XLOOKUP(E180,menu!$A$2:$A$37,menu!$C$2:$C$37,"")</f>
        <v>gtm</v>
      </c>
      <c r="H180" t="str">
        <f>_xlfn.LET(_xlpm.x,_xlfn.XLOOKUP(_xlfn.XLOOKUP(D180,beans!$A$2:$A$300,beans!$I$2:$I$300),menu!$E$2:$E$20,menu!$F$2:$F$20),IF(_xlpm.x="","",_xlpm.x))</f>
        <v>washed</v>
      </c>
      <c r="I180">
        <v>190</v>
      </c>
      <c r="J180">
        <v>70</v>
      </c>
      <c r="K180">
        <v>30</v>
      </c>
      <c r="L180">
        <v>75</v>
      </c>
      <c r="M180" s="68" t="s">
        <v>146</v>
      </c>
      <c r="N180">
        <v>88.2</v>
      </c>
      <c r="O180">
        <v>18</v>
      </c>
      <c r="P180" s="67" t="s">
        <v>165</v>
      </c>
      <c r="Q180" s="68">
        <v>204.5</v>
      </c>
      <c r="R180" s="67" t="s">
        <v>323</v>
      </c>
      <c r="S180" s="68">
        <v>217.3</v>
      </c>
      <c r="T180" s="68">
        <f t="shared" si="26"/>
        <v>12.800000000000011</v>
      </c>
      <c r="U180">
        <f t="shared" si="27"/>
        <v>87</v>
      </c>
      <c r="V180">
        <f t="shared" si="25"/>
        <v>8.8000000000000007</v>
      </c>
      <c r="W180">
        <f t="shared" si="28"/>
        <v>12.02</v>
      </c>
      <c r="X180" s="19">
        <v>45341</v>
      </c>
      <c r="Y180" s="26">
        <v>214</v>
      </c>
      <c r="Z180" s="61">
        <v>0</v>
      </c>
      <c r="AB180" s="28">
        <f t="shared" si="24"/>
        <v>0.14399999999999999</v>
      </c>
      <c r="AC180" s="110">
        <v>43</v>
      </c>
      <c r="AD180" s="26">
        <v>63.9</v>
      </c>
      <c r="AE180" s="61">
        <f t="shared" si="29"/>
        <v>20.9</v>
      </c>
      <c r="AF180" s="77" t="str">
        <f>_xlfn.XLOOKUP(AD180,menu!$K$2:$K$9,menu!$J$2:$J$9,"",1)</f>
        <v>中淺</v>
      </c>
      <c r="AG180" s="80" t="str">
        <f>_xlfn.XLOOKUP(AH180,menu!$O$2:$O$9,menu!$H$2:$H$9,"")</f>
        <v>Medium</v>
      </c>
      <c r="AH180" s="81" t="s">
        <v>72</v>
      </c>
      <c r="AI180" t="str">
        <f>_xlfn.LET(_xlpm.x,_xlfn.CONCAT(_xlfn.XLOOKUP(D180,beans!$A$2:$A$300,beans!$J$2:$J$300,"")," / ",_xlfn.XLOOKUP(D180,beans!$A$2:$A$300,beans!$K$2:$K$300,"")," - ",_xlfn.XLOOKUP(D180,beans!$A$2:$A$300,beans!$L$2:$L$300,"")),IF(_xlpm.x=" /  - ","",_xlpm.x))</f>
        <v>安提瓜 (Antiqua) / 拉米妮塔 花神 - Peaberry</v>
      </c>
      <c r="AJ180" s="23" t="s">
        <v>438</v>
      </c>
    </row>
    <row r="181" spans="1:36" x14ac:dyDescent="0.3">
      <c r="A181">
        <v>164</v>
      </c>
      <c r="B181">
        <v>250</v>
      </c>
      <c r="C181">
        <v>6</v>
      </c>
      <c r="D181">
        <v>11</v>
      </c>
      <c r="E181" t="str">
        <f>_xlfn.LET(_xlpm.x,_xlfn.XLOOKUP(D181,beans!$A$2:$A$300,beans!$H$2:$H$300,""),IF(_xlpm.x="","",_xlpm.x))</f>
        <v>衣索比亞</v>
      </c>
      <c r="F181" s="22" t="str">
        <f>_xlfn.XLOOKUP(E181,menu!$A$2:$A$37,menu!$B$2:$B$37,"")</f>
        <v>Ethiopia</v>
      </c>
      <c r="G181" t="str">
        <f>_xlfn.XLOOKUP(E181,menu!$A$2:$A$37,menu!$C$2:$C$37,"")</f>
        <v>eth</v>
      </c>
      <c r="H181" t="str">
        <f>_xlfn.LET(_xlpm.x,_xlfn.XLOOKUP(_xlfn.XLOOKUP(D181,beans!$A$2:$A$300,beans!$I$2:$I$300),menu!$E$2:$E$20,menu!$F$2:$F$20),IF(_xlpm.x="","",_xlpm.x))</f>
        <v>natural</v>
      </c>
      <c r="I181">
        <v>190</v>
      </c>
      <c r="J181">
        <v>70</v>
      </c>
      <c r="K181">
        <v>30</v>
      </c>
      <c r="L181">
        <v>75</v>
      </c>
      <c r="M181" s="68" t="s">
        <v>121</v>
      </c>
      <c r="N181">
        <v>87.4</v>
      </c>
      <c r="O181">
        <v>18</v>
      </c>
      <c r="P181" s="67" t="s">
        <v>344</v>
      </c>
      <c r="Q181" s="68">
        <v>208.1</v>
      </c>
      <c r="R181" s="67" t="s">
        <v>298</v>
      </c>
      <c r="S181" s="68">
        <v>213.8</v>
      </c>
      <c r="T181" s="68">
        <f t="shared" si="26"/>
        <v>5.7000000000000171</v>
      </c>
      <c r="U181">
        <f t="shared" si="27"/>
        <v>34</v>
      </c>
      <c r="V181">
        <f t="shared" si="25"/>
        <v>10.1</v>
      </c>
      <c r="W181">
        <f t="shared" si="28"/>
        <v>4.79</v>
      </c>
      <c r="X181" s="19">
        <v>45341</v>
      </c>
      <c r="Y181" s="26">
        <v>217.3</v>
      </c>
      <c r="Z181" s="61">
        <v>0</v>
      </c>
      <c r="AB181" s="28">
        <f t="shared" si="24"/>
        <v>0.13079999999999994</v>
      </c>
      <c r="AC181" s="110">
        <v>67</v>
      </c>
      <c r="AD181" s="26">
        <v>84</v>
      </c>
      <c r="AE181" s="61">
        <f t="shared" si="29"/>
        <v>17</v>
      </c>
      <c r="AF181" s="77" t="str">
        <f>_xlfn.XLOOKUP(AD181,menu!$K$2:$K$9,menu!$J$2:$J$9,"",1)</f>
        <v>極淺</v>
      </c>
      <c r="AG181" s="80" t="str">
        <f>_xlfn.XLOOKUP(AH181,menu!$O$2:$O$9,menu!$H$2:$H$9,"")</f>
        <v>Light</v>
      </c>
      <c r="AH181" s="81" t="s">
        <v>193</v>
      </c>
      <c r="AI181" t="str">
        <f>_xlfn.LET(_xlpm.x,_xlfn.CONCAT(_xlfn.XLOOKUP(D181,beans!$A$2:$A$300,beans!$J$2:$J$300,"")," / ",_xlfn.XLOOKUP(D181,beans!$A$2:$A$300,beans!$K$2:$K$300,"")," - ",_xlfn.XLOOKUP(D181,beans!$A$2:$A$300,beans!$L$2:$L$300,"")),IF(_xlpm.x=" /  - ","",_xlpm.x))</f>
        <v>班奇 馬吉 / 格林藝妓森林 - Gori Geisha Forest</v>
      </c>
      <c r="AJ181" s="23" t="s">
        <v>439</v>
      </c>
    </row>
    <row r="182" spans="1:36" x14ac:dyDescent="0.3">
      <c r="A182">
        <v>165</v>
      </c>
      <c r="B182">
        <v>250</v>
      </c>
      <c r="C182">
        <v>6</v>
      </c>
      <c r="D182">
        <v>2</v>
      </c>
      <c r="E182" t="str">
        <f>_xlfn.LET(_xlpm.x,_xlfn.XLOOKUP(D182,beans!$A$2:$A$300,beans!$H$2:$H$300,""),IF(_xlpm.x="","",_xlpm.x))</f>
        <v>哥斯大黎加</v>
      </c>
      <c r="F182" s="22" t="str">
        <f>_xlfn.XLOOKUP(E182,menu!$A$2:$A$37,menu!$B$2:$B$37,"")</f>
        <v>Costa Rica</v>
      </c>
      <c r="G182" t="str">
        <f>_xlfn.XLOOKUP(E182,menu!$A$2:$A$37,menu!$C$2:$C$37,"")</f>
        <v>cri</v>
      </c>
      <c r="H182" t="str">
        <f>_xlfn.LET(_xlpm.x,_xlfn.XLOOKUP(_xlfn.XLOOKUP(D182,beans!$A$2:$A$300,beans!$I$2:$I$300),menu!$E$2:$E$20,menu!$F$2:$F$20),IF(_xlpm.x="","",_xlpm.x))</f>
        <v>raisin-honey</v>
      </c>
      <c r="I182">
        <v>190</v>
      </c>
      <c r="J182">
        <v>70</v>
      </c>
      <c r="K182">
        <v>30</v>
      </c>
      <c r="L182">
        <v>75</v>
      </c>
      <c r="M182" s="68" t="s">
        <v>157</v>
      </c>
      <c r="N182">
        <v>86.2</v>
      </c>
      <c r="O182">
        <v>19</v>
      </c>
      <c r="P182" s="67" t="s">
        <v>440</v>
      </c>
      <c r="Q182" s="68">
        <v>204.1</v>
      </c>
      <c r="R182" s="67" t="s">
        <v>441</v>
      </c>
      <c r="S182" s="68">
        <v>217.2</v>
      </c>
      <c r="T182" s="68">
        <f t="shared" si="26"/>
        <v>13.099999999999994</v>
      </c>
      <c r="U182">
        <f t="shared" si="27"/>
        <v>80</v>
      </c>
      <c r="V182">
        <f t="shared" si="25"/>
        <v>9.8000000000000007</v>
      </c>
      <c r="W182">
        <f t="shared" si="28"/>
        <v>11.66</v>
      </c>
      <c r="X182" s="19">
        <v>45341</v>
      </c>
      <c r="Y182" s="26">
        <v>218.8</v>
      </c>
      <c r="Z182" s="61">
        <v>0</v>
      </c>
      <c r="AB182" s="28">
        <f t="shared" si="24"/>
        <v>0.12479999999999995</v>
      </c>
      <c r="AC182" s="110">
        <v>51.4</v>
      </c>
      <c r="AD182" s="26">
        <v>74.7</v>
      </c>
      <c r="AE182" s="61">
        <f t="shared" si="29"/>
        <v>23.300000000000004</v>
      </c>
      <c r="AF182" s="77" t="str">
        <f>_xlfn.XLOOKUP(AD182,menu!$K$2:$K$9,menu!$J$2:$J$9,"",1)</f>
        <v>淺</v>
      </c>
      <c r="AG182" s="80" t="str">
        <f>_xlfn.XLOOKUP(AH182,menu!$O$2:$O$9,menu!$H$2:$H$9,"")</f>
        <v>Cinamon</v>
      </c>
      <c r="AH182" s="81" t="s">
        <v>78</v>
      </c>
      <c r="AI182" t="str">
        <f>_xlfn.LET(_xlpm.x,_xlfn.CONCAT(_xlfn.XLOOKUP(D182,beans!$A$2:$A$300,beans!$J$2:$J$300,"")," / ",_xlfn.XLOOKUP(D182,beans!$A$2:$A$300,beans!$K$2:$K$300,"")," - ",_xlfn.XLOOKUP(D182,beans!$A$2:$A$300,beans!$L$2:$L$300,"")),IF(_xlpm.x=" /  - ","",_xlpm.x))</f>
        <v xml:space="preserve">Tarrazu / 卡內特 音樂家系列 莫札特 - </v>
      </c>
      <c r="AJ182" s="23" t="s">
        <v>442</v>
      </c>
    </row>
    <row r="183" spans="1:36" x14ac:dyDescent="0.3">
      <c r="A183">
        <v>166</v>
      </c>
      <c r="B183">
        <v>250</v>
      </c>
      <c r="C183">
        <v>7</v>
      </c>
      <c r="D183">
        <v>46</v>
      </c>
      <c r="E183" t="str">
        <f>_xlfn.LET(_xlpm.x,_xlfn.XLOOKUP(D183,beans!$A$2:$A$300,beans!$H$2:$H$300,""),IF(_xlpm.x="","",_xlpm.x))</f>
        <v>哥倫比亞</v>
      </c>
      <c r="F183" s="22" t="str">
        <f>_xlfn.XLOOKUP(E183,menu!$A$2:$A$37,menu!$B$2:$B$37,"")</f>
        <v>Colombia</v>
      </c>
      <c r="G183" t="str">
        <f>_xlfn.XLOOKUP(E183,menu!$A$2:$A$37,menu!$C$2:$C$37,"")</f>
        <v>col</v>
      </c>
      <c r="H183" t="str">
        <f>_xlfn.LET(_xlpm.x,_xlfn.XLOOKUP(_xlfn.XLOOKUP(D183,beans!$A$2:$A$300,beans!$I$2:$I$300),menu!$E$2:$E$20,menu!$F$2:$F$20),IF(_xlpm.x="","",_xlpm.x))</f>
        <v>natural</v>
      </c>
      <c r="I183">
        <v>190</v>
      </c>
      <c r="J183">
        <v>70</v>
      </c>
      <c r="K183">
        <v>30</v>
      </c>
      <c r="L183">
        <v>75</v>
      </c>
      <c r="M183" s="68" t="s">
        <v>157</v>
      </c>
      <c r="N183">
        <v>87.7</v>
      </c>
      <c r="O183">
        <v>18</v>
      </c>
      <c r="P183" s="67" t="s">
        <v>443</v>
      </c>
      <c r="Q183" s="68">
        <v>199.5</v>
      </c>
      <c r="R183" s="67" t="s">
        <v>301</v>
      </c>
      <c r="S183" s="68">
        <v>211.8</v>
      </c>
      <c r="T183" s="68">
        <f t="shared" ref="T183:T194" si="30">_xlfn.LET(_xlpm.x,S183-Q183,IF(_xlpm.x=0,"",_xlpm.x))</f>
        <v>12.300000000000011</v>
      </c>
      <c r="U183">
        <f t="shared" ref="U183:U193" si="31">_xlfn.LET(_xlpm.x,(TIMEVALUE("0:"&amp;SUBSTITUTE(R183,"'",":"))-TIMEVALUE("0:"&amp;SUBSTITUTE(P183,"'",":")))*86400,IF(_xlpm.x=0,"",ROUND(_xlpm.x,2)))</f>
        <v>59</v>
      </c>
      <c r="V183">
        <f t="shared" si="25"/>
        <v>12.5</v>
      </c>
      <c r="W183">
        <f t="shared" ref="W183:W193" si="32">_xlfn.LET(_xlpm.x,(TIMEVALUE("0:"&amp;SUBSTITUTE(R183,"'",":"))-TIMEVALUE("0:"&amp;SUBSTITUTE(P183,"'",":")))*86400,IF(_xlpm.x=0,"",ROUND(_xlpm.x/((TIMEVALUE("0:"&amp;SUBSTITUTE(R183,"'",":"))-TIMEVALUE("0:0:0"))*864),2)))</f>
        <v>9.0500000000000007</v>
      </c>
      <c r="X183" s="19">
        <v>45341</v>
      </c>
      <c r="Y183" s="26">
        <v>217.7</v>
      </c>
      <c r="Z183" s="61">
        <v>0</v>
      </c>
      <c r="AB183" s="28">
        <f t="shared" si="24"/>
        <v>0.12920000000000004</v>
      </c>
      <c r="AC183" s="110">
        <v>48.8</v>
      </c>
      <c r="AD183" s="26">
        <v>70.2</v>
      </c>
      <c r="AE183" s="61">
        <f t="shared" ref="AE183:AE193" si="33">_xlfn.LET(_xlpm.x,AD183-AC183,IF(_xlpm.x=0,"",_xlpm.x))</f>
        <v>21.400000000000006</v>
      </c>
      <c r="AF183" s="77" t="str">
        <f>_xlfn.XLOOKUP(AD183,menu!$K$2:$K$9,menu!$J$2:$J$9,"",1)</f>
        <v>淺</v>
      </c>
      <c r="AG183" s="80" t="str">
        <f>_xlfn.XLOOKUP(AH183,menu!$O$2:$O$9,menu!$H$2:$H$9,"")</f>
        <v>Cinamon</v>
      </c>
      <c r="AH183" s="81" t="s">
        <v>78</v>
      </c>
      <c r="AI183" t="str">
        <f>_xlfn.LET(_xlpm.x,_xlfn.CONCAT(_xlfn.XLOOKUP(D183,beans!$A$2:$A$300,beans!$J$2:$J$300,"")," / ",_xlfn.XLOOKUP(D183,beans!$A$2:$A$300,beans!$K$2:$K$300,"")," - ",_xlfn.XLOOKUP(D183,beans!$A$2:$A$300,beans!$L$2:$L$300,"")),IF(_xlpm.x=" /  - ","",_xlpm.x))</f>
        <v>昆迪瑪卡 / 緹比莉塔  - 卡斯提優</v>
      </c>
      <c r="AJ183" s="23" t="s">
        <v>444</v>
      </c>
    </row>
    <row r="184" spans="1:36" ht="32.4" x14ac:dyDescent="0.3">
      <c r="A184">
        <v>167</v>
      </c>
      <c r="B184">
        <v>500</v>
      </c>
      <c r="C184">
        <v>7</v>
      </c>
      <c r="D184">
        <v>55</v>
      </c>
      <c r="E184" t="str">
        <f>_xlfn.LET(_xlpm.x,_xlfn.XLOOKUP(D184,beans!$A$2:$A$300,beans!$H$2:$H$300,""),IF(_xlpm.x="","",_xlpm.x))</f>
        <v>衣索比亞</v>
      </c>
      <c r="F184" s="22" t="str">
        <f>_xlfn.XLOOKUP(E184,menu!$A$2:$A$37,menu!$B$2:$B$37,"")</f>
        <v>Ethiopia</v>
      </c>
      <c r="G184" t="str">
        <f>_xlfn.XLOOKUP(E184,menu!$A$2:$A$37,menu!$C$2:$C$37,"")</f>
        <v>eth</v>
      </c>
      <c r="H184" t="str">
        <f>_xlfn.LET(_xlpm.x,_xlfn.XLOOKUP(_xlfn.XLOOKUP(D184,beans!$A$2:$A$300,beans!$I$2:$I$300),menu!$E$2:$E$20,menu!$F$2:$F$20),IF(_xlpm.x="","",_xlpm.x))</f>
        <v>natural</v>
      </c>
      <c r="I184">
        <v>200</v>
      </c>
      <c r="J184">
        <v>70</v>
      </c>
      <c r="K184">
        <v>30</v>
      </c>
      <c r="L184">
        <v>90</v>
      </c>
      <c r="M184" s="68" t="s">
        <v>190</v>
      </c>
      <c r="N184">
        <v>75.8</v>
      </c>
      <c r="O184">
        <v>20</v>
      </c>
      <c r="P184" s="67" t="s">
        <v>443</v>
      </c>
      <c r="Q184" s="68">
        <v>199.3</v>
      </c>
      <c r="R184" s="67" t="s">
        <v>441</v>
      </c>
      <c r="S184" s="68">
        <v>216.1</v>
      </c>
      <c r="T184" s="68">
        <f t="shared" si="30"/>
        <v>16.799999999999983</v>
      </c>
      <c r="U184">
        <f t="shared" si="31"/>
        <v>93</v>
      </c>
      <c r="V184">
        <f t="shared" si="25"/>
        <v>10.8</v>
      </c>
      <c r="W184">
        <f t="shared" si="32"/>
        <v>13.56</v>
      </c>
      <c r="X184" s="19">
        <v>45347</v>
      </c>
      <c r="Y184" s="26">
        <v>417.9</v>
      </c>
      <c r="Z184" s="61">
        <f>400-50-60-190-100</f>
        <v>0</v>
      </c>
      <c r="AB184" s="28">
        <f t="shared" si="24"/>
        <v>0.16420000000000004</v>
      </c>
      <c r="AC184" s="110">
        <v>49.8</v>
      </c>
      <c r="AD184" s="26">
        <v>72.7</v>
      </c>
      <c r="AE184" s="61">
        <f t="shared" si="33"/>
        <v>22.900000000000006</v>
      </c>
      <c r="AF184" s="77" t="str">
        <f>_xlfn.XLOOKUP(AD184,menu!$K$2:$K$9,menu!$J$2:$J$9,"",1)</f>
        <v>淺</v>
      </c>
      <c r="AG184" s="80" t="str">
        <f>_xlfn.XLOOKUP(AH184,menu!$O$2:$O$9,menu!$H$2:$H$9,"")</f>
        <v>Cinamon</v>
      </c>
      <c r="AH184" s="81" t="s">
        <v>78</v>
      </c>
      <c r="AI184" t="str">
        <f>_xlfn.LET(_xlpm.x,_xlfn.CONCAT(_xlfn.XLOOKUP(D184,beans!$A$2:$A$300,beans!$J$2:$J$300,"")," / ",_xlfn.XLOOKUP(D184,beans!$A$2:$A$300,beans!$K$2:$K$300,"")," - ",_xlfn.XLOOKUP(D184,beans!$A$2:$A$300,beans!$L$2:$L$300,"")),IF(_xlpm.x=" /  - ","",_xlpm.x))</f>
        <v>歐若米亞 古吉 / 莎奇恰 - Heirloom</v>
      </c>
      <c r="AJ184" s="23" t="s">
        <v>445</v>
      </c>
    </row>
    <row r="185" spans="1:36" x14ac:dyDescent="0.3">
      <c r="A185">
        <v>168</v>
      </c>
      <c r="B185">
        <v>500</v>
      </c>
      <c r="D185">
        <v>47</v>
      </c>
      <c r="E185" t="str">
        <f>_xlfn.LET(_xlpm.x,_xlfn.XLOOKUP(D185,beans!$A$2:$A$300,beans!$H$2:$H$300,""),IF(_xlpm.x="","",_xlpm.x))</f>
        <v>衣索比亞</v>
      </c>
      <c r="F185" s="22" t="str">
        <f>_xlfn.XLOOKUP(E185,menu!$A$2:$A$37,menu!$B$2:$B$37,"")</f>
        <v>Ethiopia</v>
      </c>
      <c r="G185" t="str">
        <f>_xlfn.XLOOKUP(E185,menu!$A$2:$A$37,menu!$C$2:$C$37,"")</f>
        <v>eth</v>
      </c>
      <c r="H185" t="str">
        <f>_xlfn.LET(_xlpm.x,_xlfn.XLOOKUP(_xlfn.XLOOKUP(D185,beans!$A$2:$A$300,beans!$I$2:$I$300),menu!$E$2:$E$20,menu!$F$2:$F$20),IF(_xlpm.x="","",_xlpm.x))</f>
        <v>washed</v>
      </c>
      <c r="I185">
        <v>200</v>
      </c>
      <c r="J185">
        <v>80</v>
      </c>
      <c r="K185">
        <v>30</v>
      </c>
      <c r="L185">
        <v>90</v>
      </c>
      <c r="M185" s="68" t="s">
        <v>109</v>
      </c>
      <c r="N185">
        <v>79.900000000000006</v>
      </c>
      <c r="O185">
        <v>18</v>
      </c>
      <c r="P185" s="67" t="s">
        <v>292</v>
      </c>
      <c r="Q185" s="68">
        <v>200.3</v>
      </c>
      <c r="R185" s="67" t="s">
        <v>230</v>
      </c>
      <c r="S185" s="68">
        <v>217</v>
      </c>
      <c r="T185" s="68">
        <f t="shared" si="30"/>
        <v>16.699999999999989</v>
      </c>
      <c r="U185">
        <f t="shared" si="31"/>
        <v>108</v>
      </c>
      <c r="V185">
        <f t="shared" si="25"/>
        <v>9.3000000000000007</v>
      </c>
      <c r="W185">
        <f t="shared" si="32"/>
        <v>15.06</v>
      </c>
      <c r="X185" s="19">
        <v>45347</v>
      </c>
      <c r="Y185" s="26">
        <v>416.8</v>
      </c>
      <c r="Z185" s="61">
        <f>200-60-140</f>
        <v>0</v>
      </c>
      <c r="AB185" s="28">
        <f t="shared" si="24"/>
        <v>0.16639999999999996</v>
      </c>
      <c r="AC185" s="110">
        <v>50.1</v>
      </c>
      <c r="AD185" s="26">
        <v>66.400000000000006</v>
      </c>
      <c r="AE185" s="61">
        <f t="shared" si="33"/>
        <v>16.300000000000004</v>
      </c>
      <c r="AF185" s="77" t="str">
        <f>_xlfn.XLOOKUP(AD185,menu!$K$2:$K$9,menu!$J$2:$J$9,"",1)</f>
        <v>中淺</v>
      </c>
      <c r="AG185" s="80" t="str">
        <f>_xlfn.XLOOKUP(AH185,menu!$O$2:$O$9,menu!$H$2:$H$9,"")</f>
        <v>Cinamon</v>
      </c>
      <c r="AH185" s="81" t="s">
        <v>78</v>
      </c>
      <c r="AI185" t="str">
        <f>_xlfn.LET(_xlpm.x,_xlfn.CONCAT(_xlfn.XLOOKUP(D185,beans!$A$2:$A$300,beans!$J$2:$J$300,"")," / ",_xlfn.XLOOKUP(D185,beans!$A$2:$A$300,beans!$K$2:$K$300,"")," - ",_xlfn.XLOOKUP(D185,beans!$A$2:$A$300,beans!$L$2:$L$300,"")),IF(_xlpm.x=" /  - ","",_xlpm.x))</f>
        <v>吉馬莉姆 / 果美村 - 寶貝藝妓</v>
      </c>
      <c r="AJ185" s="23" t="s">
        <v>446</v>
      </c>
    </row>
    <row r="186" spans="1:36" x14ac:dyDescent="0.3">
      <c r="A186">
        <v>169</v>
      </c>
      <c r="B186">
        <v>500</v>
      </c>
      <c r="D186">
        <v>9</v>
      </c>
      <c r="E186" t="str">
        <f>_xlfn.LET(_xlpm.x,_xlfn.XLOOKUP(D186,beans!$A$2:$A$300,beans!$H$2:$H$300,""),IF(_xlpm.x="","",_xlpm.x))</f>
        <v>衣索比亞</v>
      </c>
      <c r="F186" s="22" t="str">
        <f>_xlfn.XLOOKUP(E186,menu!$A$2:$A$37,menu!$B$2:$B$37,"")</f>
        <v>Ethiopia</v>
      </c>
      <c r="G186" t="str">
        <f>_xlfn.XLOOKUP(E186,menu!$A$2:$A$37,menu!$C$2:$C$37,"")</f>
        <v>eth</v>
      </c>
      <c r="H186" t="str">
        <f>_xlfn.LET(_xlpm.x,_xlfn.XLOOKUP(_xlfn.XLOOKUP(D186,beans!$A$2:$A$300,beans!$I$2:$I$300),menu!$E$2:$E$20,menu!$F$2:$F$20),IF(_xlpm.x="","",_xlpm.x))</f>
        <v>natural</v>
      </c>
      <c r="I186">
        <v>200</v>
      </c>
      <c r="J186">
        <v>80</v>
      </c>
      <c r="K186">
        <v>30</v>
      </c>
      <c r="L186">
        <v>90</v>
      </c>
      <c r="M186" s="68" t="s">
        <v>188</v>
      </c>
      <c r="N186">
        <v>79.8</v>
      </c>
      <c r="O186">
        <v>19</v>
      </c>
      <c r="P186" s="67" t="s">
        <v>142</v>
      </c>
      <c r="Q186" s="68">
        <v>205.9</v>
      </c>
      <c r="R186" s="67" t="s">
        <v>154</v>
      </c>
      <c r="S186" s="68">
        <v>214.5</v>
      </c>
      <c r="T186" s="68">
        <f t="shared" si="30"/>
        <v>8.5999999999999943</v>
      </c>
      <c r="U186">
        <f t="shared" si="31"/>
        <v>43</v>
      </c>
      <c r="V186">
        <f t="shared" si="25"/>
        <v>12</v>
      </c>
      <c r="W186">
        <f t="shared" si="32"/>
        <v>6.28</v>
      </c>
      <c r="X186" s="19">
        <v>45347</v>
      </c>
      <c r="Y186" s="26">
        <v>422.5</v>
      </c>
      <c r="Z186" s="61">
        <f>200-200</f>
        <v>0</v>
      </c>
      <c r="AB186" s="28">
        <f t="shared" si="24"/>
        <v>0.155</v>
      </c>
      <c r="AC186" s="110">
        <v>53.5</v>
      </c>
      <c r="AD186" s="26">
        <v>82</v>
      </c>
      <c r="AE186" s="61">
        <f t="shared" si="33"/>
        <v>28.5</v>
      </c>
      <c r="AF186" s="77" t="str">
        <f>_xlfn.XLOOKUP(AD186,menu!$K$2:$K$9,menu!$J$2:$J$9,"",1)</f>
        <v>極淺</v>
      </c>
      <c r="AG186" s="80" t="str">
        <f>_xlfn.XLOOKUP(AH186,menu!$O$2:$O$9,menu!$H$2:$H$9,"")</f>
        <v>Cinamon</v>
      </c>
      <c r="AH186" s="81" t="s">
        <v>78</v>
      </c>
      <c r="AI186" t="str">
        <f>_xlfn.LET(_xlpm.x,_xlfn.CONCAT(_xlfn.XLOOKUP(D186,beans!$A$2:$A$300,beans!$J$2:$J$300,"")," / ",_xlfn.XLOOKUP(D186,beans!$A$2:$A$300,beans!$K$2:$K$300,"")," - ",_xlfn.XLOOKUP(D186,beans!$A$2:$A$300,beans!$L$2:$L$300,"")),IF(_xlpm.x=" /  - ","",_xlpm.x))</f>
        <v>吉瑪 利姆 / 果美村 - 寶貝藝妓</v>
      </c>
      <c r="AJ186" s="23" t="s">
        <v>447</v>
      </c>
    </row>
    <row r="187" spans="1:36" x14ac:dyDescent="0.3">
      <c r="A187">
        <v>170</v>
      </c>
      <c r="B187">
        <v>250</v>
      </c>
      <c r="D187">
        <v>11</v>
      </c>
      <c r="E187" t="str">
        <f>_xlfn.LET(_xlpm.x,_xlfn.XLOOKUP(D187,beans!$A$2:$A$300,beans!$H$2:$H$300,""),IF(_xlpm.x="","",_xlpm.x))</f>
        <v>衣索比亞</v>
      </c>
      <c r="F187" s="22" t="str">
        <f>_xlfn.XLOOKUP(E187,menu!$A$2:$A$37,menu!$B$2:$B$37,"")</f>
        <v>Ethiopia</v>
      </c>
      <c r="G187" t="str">
        <f>_xlfn.XLOOKUP(E187,menu!$A$2:$A$37,menu!$C$2:$C$37,"")</f>
        <v>eth</v>
      </c>
      <c r="H187" t="str">
        <f>_xlfn.LET(_xlpm.x,_xlfn.XLOOKUP(_xlfn.XLOOKUP(D187,beans!$A$2:$A$300,beans!$I$2:$I$300),menu!$E$2:$E$20,menu!$F$2:$F$20),IF(_xlpm.x="","",_xlpm.x))</f>
        <v>natural</v>
      </c>
      <c r="I187">
        <v>190</v>
      </c>
      <c r="J187">
        <v>75</v>
      </c>
      <c r="K187">
        <v>30</v>
      </c>
      <c r="L187">
        <v>75</v>
      </c>
      <c r="M187" s="68" t="s">
        <v>75</v>
      </c>
      <c r="N187">
        <v>85.7</v>
      </c>
      <c r="O187">
        <v>20</v>
      </c>
      <c r="P187" s="67" t="s">
        <v>420</v>
      </c>
      <c r="Q187" s="68">
        <v>207.1</v>
      </c>
      <c r="R187" s="67" t="s">
        <v>41</v>
      </c>
      <c r="S187" s="68">
        <v>215.2</v>
      </c>
      <c r="T187" s="68">
        <f t="shared" si="30"/>
        <v>8.0999999999999943</v>
      </c>
      <c r="U187">
        <f t="shared" si="31"/>
        <v>56</v>
      </c>
      <c r="V187">
        <f t="shared" si="25"/>
        <v>8.6999999999999993</v>
      </c>
      <c r="W187">
        <f t="shared" si="32"/>
        <v>8.24</v>
      </c>
      <c r="X187" s="19">
        <v>45347</v>
      </c>
      <c r="Y187" s="26">
        <v>216.7</v>
      </c>
      <c r="Z187" s="61">
        <v>0</v>
      </c>
      <c r="AB187" s="28">
        <f t="shared" si="24"/>
        <v>0.13320000000000004</v>
      </c>
      <c r="AC187" s="110">
        <v>46.9</v>
      </c>
      <c r="AD187" s="26">
        <v>74.2</v>
      </c>
      <c r="AE187" s="61">
        <f t="shared" si="33"/>
        <v>27.300000000000004</v>
      </c>
      <c r="AF187" s="77" t="str">
        <f>_xlfn.XLOOKUP(AD187,menu!$K$2:$K$9,menu!$J$2:$J$9,"",1)</f>
        <v>淺</v>
      </c>
      <c r="AG187" s="80" t="str">
        <f>_xlfn.XLOOKUP(AH187,menu!$O$2:$O$9,menu!$H$2:$H$9,"")</f>
        <v>Cinamon</v>
      </c>
      <c r="AH187" s="81" t="s">
        <v>78</v>
      </c>
      <c r="AI187" t="str">
        <f>_xlfn.LET(_xlpm.x,_xlfn.CONCAT(_xlfn.XLOOKUP(D187,beans!$A$2:$A$300,beans!$J$2:$J$300,"")," / ",_xlfn.XLOOKUP(D187,beans!$A$2:$A$300,beans!$K$2:$K$300,"")," - ",_xlfn.XLOOKUP(D187,beans!$A$2:$A$300,beans!$L$2:$L$300,"")),IF(_xlpm.x=" /  - ","",_xlpm.x))</f>
        <v>班奇 馬吉 / 格林藝妓森林 - Gori Geisha Forest</v>
      </c>
      <c r="AJ187" s="23" t="s">
        <v>448</v>
      </c>
    </row>
    <row r="188" spans="1:36" x14ac:dyDescent="0.3">
      <c r="A188">
        <v>171</v>
      </c>
      <c r="B188">
        <v>250</v>
      </c>
      <c r="D188">
        <v>3</v>
      </c>
      <c r="E188" t="str">
        <f>_xlfn.LET(_xlpm.x,_xlfn.XLOOKUP(D188,beans!$A$2:$A$300,beans!$H$2:$H$300,""),IF(_xlpm.x="","",_xlpm.x))</f>
        <v>衣索比亞</v>
      </c>
      <c r="F188" s="22" t="str">
        <f>_xlfn.XLOOKUP(E188,menu!$A$2:$A$37,menu!$B$2:$B$37,"")</f>
        <v>Ethiopia</v>
      </c>
      <c r="G188" t="str">
        <f>_xlfn.XLOOKUP(E188,menu!$A$2:$A$37,menu!$C$2:$C$37,"")</f>
        <v>eth</v>
      </c>
      <c r="H188" t="str">
        <f>_xlfn.LET(_xlpm.x,_xlfn.XLOOKUP(_xlfn.XLOOKUP(D188,beans!$A$2:$A$300,beans!$I$2:$I$300),menu!$E$2:$E$20,menu!$F$2:$F$20),IF(_xlpm.x="","",_xlpm.x))</f>
        <v>washed</v>
      </c>
      <c r="I188">
        <v>190</v>
      </c>
      <c r="J188">
        <v>75</v>
      </c>
      <c r="K188">
        <v>30</v>
      </c>
      <c r="L188">
        <v>75</v>
      </c>
      <c r="M188" s="68" t="s">
        <v>160</v>
      </c>
      <c r="N188">
        <v>85.4</v>
      </c>
      <c r="O188">
        <v>20</v>
      </c>
      <c r="P188" s="67" t="s">
        <v>449</v>
      </c>
      <c r="Q188" s="68">
        <v>204.3</v>
      </c>
      <c r="R188" s="67" t="s">
        <v>450</v>
      </c>
      <c r="S188" s="68">
        <v>214.9</v>
      </c>
      <c r="T188" s="68">
        <f t="shared" si="30"/>
        <v>10.599999999999994</v>
      </c>
      <c r="U188">
        <f t="shared" si="31"/>
        <v>88</v>
      </c>
      <c r="V188">
        <f t="shared" si="25"/>
        <v>7.2</v>
      </c>
      <c r="W188">
        <f t="shared" si="32"/>
        <v>12.59</v>
      </c>
      <c r="X188" s="19">
        <v>45347</v>
      </c>
      <c r="Y188" s="26">
        <v>213.2</v>
      </c>
      <c r="Z188" s="61">
        <v>0</v>
      </c>
      <c r="AB188" s="28">
        <f t="shared" si="24"/>
        <v>0.14720000000000005</v>
      </c>
      <c r="AC188" s="110">
        <v>49.5</v>
      </c>
      <c r="AD188" s="26">
        <v>76.2</v>
      </c>
      <c r="AE188" s="61">
        <f t="shared" si="33"/>
        <v>26.700000000000003</v>
      </c>
      <c r="AF188" s="77" t="str">
        <f>_xlfn.XLOOKUP(AD188,menu!$K$2:$K$9,menu!$J$2:$J$9,"",1)</f>
        <v>淺</v>
      </c>
      <c r="AG188" s="80" t="str">
        <f>_xlfn.XLOOKUP(AH188,menu!$O$2:$O$9,menu!$H$2:$H$9,"")</f>
        <v>Cinamon</v>
      </c>
      <c r="AH188" s="81" t="s">
        <v>78</v>
      </c>
      <c r="AI188" t="str">
        <f>_xlfn.LET(_xlpm.x,_xlfn.CONCAT(_xlfn.XLOOKUP(D188,beans!$A$2:$A$300,beans!$J$2:$J$300,"")," / ",_xlfn.XLOOKUP(D188,beans!$A$2:$A$300,beans!$K$2:$K$300,"")," - ",_xlfn.XLOOKUP(D188,beans!$A$2:$A$300,beans!$L$2:$L$300,"")),IF(_xlpm.x=" /  - ","",_xlpm.x))</f>
        <v>西達摩/西達馬 / 茉莉雅 - Heirloom</v>
      </c>
      <c r="AJ188" s="23" t="s">
        <v>448</v>
      </c>
    </row>
    <row r="189" spans="1:36" x14ac:dyDescent="0.3">
      <c r="A189">
        <v>172</v>
      </c>
      <c r="B189">
        <v>250</v>
      </c>
      <c r="D189">
        <v>9</v>
      </c>
      <c r="E189" t="str">
        <f>_xlfn.LET(_xlpm.x,_xlfn.XLOOKUP(D189,beans!$A$2:$A$300,beans!$H$2:$H$300,""),IF(_xlpm.x="","",_xlpm.x))</f>
        <v>衣索比亞</v>
      </c>
      <c r="F189" s="22" t="str">
        <f>_xlfn.XLOOKUP(E189,menu!$A$2:$A$37,menu!$B$2:$B$37,"")</f>
        <v>Ethiopia</v>
      </c>
      <c r="G189" t="str">
        <f>_xlfn.XLOOKUP(E189,menu!$A$2:$A$37,menu!$C$2:$C$37,"")</f>
        <v>eth</v>
      </c>
      <c r="H189" t="str">
        <f>_xlfn.LET(_xlpm.x,_xlfn.XLOOKUP(_xlfn.XLOOKUP(D189,beans!$A$2:$A$300,beans!$I$2:$I$300),menu!$E$2:$E$20,menu!$F$2:$F$20),IF(_xlpm.x="","",_xlpm.x))</f>
        <v>natural</v>
      </c>
      <c r="I189">
        <v>210</v>
      </c>
      <c r="J189">
        <v>80</v>
      </c>
      <c r="K189">
        <v>30</v>
      </c>
      <c r="L189">
        <v>80</v>
      </c>
      <c r="M189" s="68" t="s">
        <v>207</v>
      </c>
      <c r="N189">
        <v>88.8</v>
      </c>
      <c r="P189" s="67" t="s">
        <v>451</v>
      </c>
      <c r="Q189" s="68">
        <v>201.5</v>
      </c>
      <c r="R189" s="67" t="s">
        <v>452</v>
      </c>
      <c r="S189" s="68">
        <v>210.4</v>
      </c>
      <c r="T189" s="68">
        <f t="shared" si="30"/>
        <v>8.9000000000000057</v>
      </c>
      <c r="U189">
        <f t="shared" si="31"/>
        <v>42</v>
      </c>
      <c r="V189">
        <f t="shared" si="25"/>
        <v>12.7</v>
      </c>
      <c r="W189">
        <f t="shared" si="32"/>
        <v>8.27</v>
      </c>
      <c r="X189" s="19">
        <v>45349</v>
      </c>
      <c r="Y189" s="26">
        <v>214.3</v>
      </c>
      <c r="Z189" s="61">
        <v>0</v>
      </c>
      <c r="AB189" s="28">
        <f t="shared" si="24"/>
        <v>0.14279999999999995</v>
      </c>
      <c r="AC189" s="110">
        <v>51.9</v>
      </c>
      <c r="AD189" s="26">
        <v>82.6</v>
      </c>
      <c r="AE189" s="61">
        <f t="shared" si="33"/>
        <v>30.699999999999996</v>
      </c>
      <c r="AF189" s="77" t="str">
        <f>_xlfn.XLOOKUP(AD189,menu!$K$2:$K$9,menu!$J$2:$J$9,"",1)</f>
        <v>極淺</v>
      </c>
      <c r="AG189" s="80" t="str">
        <f>_xlfn.XLOOKUP(AH189,menu!$O$2:$O$9,menu!$H$2:$H$9,"")</f>
        <v>Cinamon</v>
      </c>
      <c r="AH189" s="81" t="s">
        <v>78</v>
      </c>
      <c r="AI189" t="str">
        <f>_xlfn.LET(_xlpm.x,_xlfn.CONCAT(_xlfn.XLOOKUP(D189,beans!$A$2:$A$300,beans!$J$2:$J$300,"")," / ",_xlfn.XLOOKUP(D189,beans!$A$2:$A$300,beans!$K$2:$K$300,"")," - ",_xlfn.XLOOKUP(D189,beans!$A$2:$A$300,beans!$L$2:$L$300,"")),IF(_xlpm.x=" /  - ","",_xlpm.x))</f>
        <v>吉瑪 利姆 / 果美村 - 寶貝藝妓</v>
      </c>
      <c r="AJ189" s="23" t="s">
        <v>453</v>
      </c>
    </row>
    <row r="190" spans="1:36" x14ac:dyDescent="0.3">
      <c r="A190">
        <v>173</v>
      </c>
      <c r="B190">
        <v>250</v>
      </c>
      <c r="D190">
        <v>47</v>
      </c>
      <c r="E190" t="str">
        <f>_xlfn.LET(_xlpm.x,_xlfn.XLOOKUP(D190,beans!$A$2:$A$300,beans!$H$2:$H$300,""),IF(_xlpm.x="","",_xlpm.x))</f>
        <v>衣索比亞</v>
      </c>
      <c r="F190" s="22" t="str">
        <f>_xlfn.XLOOKUP(E190,menu!$A$2:$A$37,menu!$B$2:$B$37,"")</f>
        <v>Ethiopia</v>
      </c>
      <c r="G190" t="str">
        <f>_xlfn.XLOOKUP(E190,menu!$A$2:$A$37,menu!$C$2:$C$37,"")</f>
        <v>eth</v>
      </c>
      <c r="H190" t="str">
        <f>_xlfn.LET(_xlpm.x,_xlfn.XLOOKUP(_xlfn.XLOOKUP(D190,beans!$A$2:$A$300,beans!$I$2:$I$300),menu!$E$2:$E$20,menu!$F$2:$F$20),IF(_xlpm.x="","",_xlpm.x))</f>
        <v>washed</v>
      </c>
      <c r="I190">
        <v>180</v>
      </c>
      <c r="J190">
        <v>60</v>
      </c>
      <c r="K190">
        <v>30</v>
      </c>
      <c r="L190">
        <v>70</v>
      </c>
      <c r="M190" s="68" t="s">
        <v>54</v>
      </c>
      <c r="N190">
        <v>77.400000000000006</v>
      </c>
      <c r="P190" s="67" t="s">
        <v>362</v>
      </c>
      <c r="Q190" s="68">
        <v>198.6</v>
      </c>
      <c r="R190" s="67" t="s">
        <v>454</v>
      </c>
      <c r="S190" s="68">
        <v>210.7</v>
      </c>
      <c r="T190" s="68">
        <f t="shared" si="30"/>
        <v>12.099999999999994</v>
      </c>
      <c r="U190">
        <f t="shared" si="31"/>
        <v>87</v>
      </c>
      <c r="V190">
        <f t="shared" si="25"/>
        <v>8.3000000000000007</v>
      </c>
      <c r="W190">
        <f t="shared" si="32"/>
        <v>11</v>
      </c>
      <c r="X190" s="19">
        <v>45349</v>
      </c>
      <c r="Y190" s="26">
        <v>213.2</v>
      </c>
      <c r="Z190" s="61">
        <v>0</v>
      </c>
      <c r="AB190" s="28">
        <f t="shared" si="24"/>
        <v>0.14720000000000005</v>
      </c>
      <c r="AC190" s="110">
        <v>57.2</v>
      </c>
      <c r="AD190" s="26">
        <v>77.400000000000006</v>
      </c>
      <c r="AE190" s="61">
        <f t="shared" si="33"/>
        <v>20.200000000000003</v>
      </c>
      <c r="AF190" s="77" t="str">
        <f>_xlfn.XLOOKUP(AD190,menu!$K$2:$K$9,menu!$J$2:$J$9,"",1)</f>
        <v>淺</v>
      </c>
      <c r="AG190" s="80" t="str">
        <f>_xlfn.XLOOKUP(AH190,menu!$O$2:$O$9,menu!$H$2:$H$9,"")</f>
        <v>Cinamon</v>
      </c>
      <c r="AH190" s="81" t="s">
        <v>78</v>
      </c>
      <c r="AI190" t="str">
        <f>_xlfn.LET(_xlpm.x,_xlfn.CONCAT(_xlfn.XLOOKUP(D190,beans!$A$2:$A$300,beans!$J$2:$J$300,"")," / ",_xlfn.XLOOKUP(D190,beans!$A$2:$A$300,beans!$K$2:$K$300,"")," - ",_xlfn.XLOOKUP(D190,beans!$A$2:$A$300,beans!$L$2:$L$300,"")),IF(_xlpm.x=" /  - ","",_xlpm.x))</f>
        <v>吉馬莉姆 / 果美村 - 寶貝藝妓</v>
      </c>
      <c r="AJ190" s="23" t="s">
        <v>453</v>
      </c>
    </row>
    <row r="191" spans="1:36" x14ac:dyDescent="0.3">
      <c r="A191">
        <v>174</v>
      </c>
      <c r="B191">
        <v>250</v>
      </c>
      <c r="D191">
        <v>11</v>
      </c>
      <c r="E191" t="str">
        <f>_xlfn.LET(_xlpm.x,_xlfn.XLOOKUP(D191,beans!$A$2:$A$300,beans!$H$2:$H$300,""),IF(_xlpm.x="","",_xlpm.x))</f>
        <v>衣索比亞</v>
      </c>
      <c r="F191" s="22" t="str">
        <f>_xlfn.XLOOKUP(E191,menu!$A$2:$A$37,menu!$B$2:$B$37,"")</f>
        <v>Ethiopia</v>
      </c>
      <c r="G191" t="str">
        <f>_xlfn.XLOOKUP(E191,menu!$A$2:$A$37,menu!$C$2:$C$37,"")</f>
        <v>eth</v>
      </c>
      <c r="H191" t="str">
        <f>_xlfn.LET(_xlpm.x,_xlfn.XLOOKUP(_xlfn.XLOOKUP(D191,beans!$A$2:$A$300,beans!$I$2:$I$300),menu!$E$2:$E$20,menu!$F$2:$F$20),IF(_xlpm.x="","",_xlpm.x))</f>
        <v>natural</v>
      </c>
      <c r="I191">
        <v>190</v>
      </c>
      <c r="J191">
        <v>75</v>
      </c>
      <c r="K191">
        <v>30</v>
      </c>
      <c r="L191">
        <v>75</v>
      </c>
      <c r="M191" s="68" t="s">
        <v>67</v>
      </c>
      <c r="N191">
        <v>85.6</v>
      </c>
      <c r="P191" s="67" t="s">
        <v>243</v>
      </c>
      <c r="Q191" s="68">
        <v>204.1</v>
      </c>
      <c r="R191" s="67" t="s">
        <v>147</v>
      </c>
      <c r="S191" s="68">
        <v>215.2</v>
      </c>
      <c r="T191" s="68">
        <f t="shared" si="30"/>
        <v>11.099999999999994</v>
      </c>
      <c r="U191">
        <f t="shared" si="31"/>
        <v>70</v>
      </c>
      <c r="V191">
        <f t="shared" si="25"/>
        <v>9.5</v>
      </c>
      <c r="W191">
        <f t="shared" si="32"/>
        <v>10.32</v>
      </c>
      <c r="X191" s="19">
        <v>45349</v>
      </c>
      <c r="Y191" s="26">
        <v>213.8</v>
      </c>
      <c r="Z191" s="61">
        <v>0</v>
      </c>
      <c r="AB191" s="28">
        <f t="shared" si="24"/>
        <v>0.14479999999999996</v>
      </c>
      <c r="AC191" s="110">
        <v>51.1</v>
      </c>
      <c r="AD191" s="26">
        <v>72.8</v>
      </c>
      <c r="AE191" s="61">
        <f t="shared" si="33"/>
        <v>21.699999999999996</v>
      </c>
      <c r="AF191" s="77" t="str">
        <f>_xlfn.XLOOKUP(AD191,menu!$K$2:$K$9,menu!$J$2:$J$9,"",1)</f>
        <v>淺</v>
      </c>
      <c r="AG191" s="80" t="str">
        <f>_xlfn.XLOOKUP(AH191,menu!$O$2:$O$9,menu!$H$2:$H$9,"")</f>
        <v>Cinamon</v>
      </c>
      <c r="AH191" s="81" t="s">
        <v>78</v>
      </c>
      <c r="AI191" t="str">
        <f>_xlfn.LET(_xlpm.x,_xlfn.CONCAT(_xlfn.XLOOKUP(D191,beans!$A$2:$A$300,beans!$J$2:$J$300,"")," / ",_xlfn.XLOOKUP(D191,beans!$A$2:$A$300,beans!$K$2:$K$300,"")," - ",_xlfn.XLOOKUP(D191,beans!$A$2:$A$300,beans!$L$2:$L$300,"")),IF(_xlpm.x=" /  - ","",_xlpm.x))</f>
        <v>班奇 馬吉 / 格林藝妓森林 - Gori Geisha Forest</v>
      </c>
      <c r="AJ191" s="23" t="s">
        <v>453</v>
      </c>
    </row>
    <row r="192" spans="1:36" x14ac:dyDescent="0.3">
      <c r="A192">
        <v>175</v>
      </c>
      <c r="B192">
        <v>250</v>
      </c>
      <c r="D192">
        <v>3</v>
      </c>
      <c r="E192" t="str">
        <f>_xlfn.LET(_xlpm.x,_xlfn.XLOOKUP(D192,beans!$A$2:$A$300,beans!$H$2:$H$300,""),IF(_xlpm.x="","",_xlpm.x))</f>
        <v>衣索比亞</v>
      </c>
      <c r="F192" s="22" t="str">
        <f>_xlfn.XLOOKUP(E192,menu!$A$2:$A$37,menu!$B$2:$B$37,"")</f>
        <v>Ethiopia</v>
      </c>
      <c r="G192" t="str">
        <f>_xlfn.XLOOKUP(E192,menu!$A$2:$A$37,menu!$C$2:$C$37,"")</f>
        <v>eth</v>
      </c>
      <c r="H192" t="str">
        <f>_xlfn.LET(_xlpm.x,_xlfn.XLOOKUP(_xlfn.XLOOKUP(D192,beans!$A$2:$A$300,beans!$I$2:$I$300),menu!$E$2:$E$20,menu!$F$2:$F$20),IF(_xlpm.x="","",_xlpm.x))</f>
        <v>washed</v>
      </c>
      <c r="I192">
        <v>210</v>
      </c>
      <c r="J192">
        <v>80</v>
      </c>
      <c r="K192">
        <v>40</v>
      </c>
      <c r="L192">
        <v>80</v>
      </c>
      <c r="M192" s="68" t="s">
        <v>160</v>
      </c>
      <c r="N192">
        <v>91.1</v>
      </c>
      <c r="P192" s="67" t="s">
        <v>455</v>
      </c>
      <c r="Q192" s="68">
        <v>203.5</v>
      </c>
      <c r="R192" s="67" t="s">
        <v>76</v>
      </c>
      <c r="S192" s="68">
        <v>213.3</v>
      </c>
      <c r="T192" s="68">
        <f t="shared" si="30"/>
        <v>9.8000000000000114</v>
      </c>
      <c r="U192">
        <f t="shared" si="31"/>
        <v>64</v>
      </c>
      <c r="V192">
        <f t="shared" si="25"/>
        <v>9.1999999999999993</v>
      </c>
      <c r="W192">
        <f t="shared" si="32"/>
        <v>11.45</v>
      </c>
      <c r="X192" s="19">
        <v>45349</v>
      </c>
      <c r="Y192" s="26">
        <v>214.9</v>
      </c>
      <c r="Z192" s="61">
        <v>0</v>
      </c>
      <c r="AB192" s="28">
        <f t="shared" si="24"/>
        <v>0.14039999999999997</v>
      </c>
      <c r="AC192" s="110">
        <v>56.1</v>
      </c>
      <c r="AD192" s="26">
        <v>74.7</v>
      </c>
      <c r="AE192" s="61">
        <f t="shared" si="33"/>
        <v>18.600000000000001</v>
      </c>
      <c r="AF192" s="77" t="str">
        <f>_xlfn.XLOOKUP(AD192,menu!$K$2:$K$9,menu!$J$2:$J$9,"",1)</f>
        <v>淺</v>
      </c>
      <c r="AG192" s="80" t="str">
        <f>_xlfn.XLOOKUP(AH192,menu!$O$2:$O$9,menu!$H$2:$H$9,"")</f>
        <v>Medium</v>
      </c>
      <c r="AH192" s="81" t="s">
        <v>72</v>
      </c>
      <c r="AI192" t="str">
        <f>_xlfn.LET(_xlpm.x,_xlfn.CONCAT(_xlfn.XLOOKUP(D192,beans!$A$2:$A$300,beans!$J$2:$J$300,"")," / ",_xlfn.XLOOKUP(D192,beans!$A$2:$A$300,beans!$K$2:$K$300,"")," - ",_xlfn.XLOOKUP(D192,beans!$A$2:$A$300,beans!$L$2:$L$300,"")),IF(_xlpm.x=" /  - ","",_xlpm.x))</f>
        <v>西達摩/西達馬 / 茉莉雅 - Heirloom</v>
      </c>
      <c r="AJ192" s="23" t="s">
        <v>453</v>
      </c>
    </row>
    <row r="193" spans="1:36" x14ac:dyDescent="0.3">
      <c r="A193">
        <v>176</v>
      </c>
      <c r="B193">
        <v>500</v>
      </c>
      <c r="C193">
        <v>6</v>
      </c>
      <c r="D193">
        <v>12</v>
      </c>
      <c r="E193" t="str">
        <f>_xlfn.LET(_xlpm.x,_xlfn.XLOOKUP(D193,beans!$A$2:$A$300,beans!$H$2:$H$300,""),IF(_xlpm.x="","",_xlpm.x))</f>
        <v>尼加拉瓜</v>
      </c>
      <c r="F193" s="22" t="str">
        <f>_xlfn.XLOOKUP(E193,menu!$A$2:$A$37,menu!$B$2:$B$37,"")</f>
        <v>Nicaragua</v>
      </c>
      <c r="G193" t="str">
        <f>_xlfn.XLOOKUP(E193,menu!$A$2:$A$37,menu!$C$2:$C$37,"")</f>
        <v>nic</v>
      </c>
      <c r="H193" t="str">
        <f>_xlfn.LET(_xlpm.x,_xlfn.XLOOKUP(_xlfn.XLOOKUP(D193,beans!$A$2:$A$300,beans!$I$2:$I$300),menu!$E$2:$E$20,menu!$F$2:$F$20),IF(_xlpm.x="","",_xlpm.x))</f>
        <v>natural</v>
      </c>
      <c r="I193">
        <v>210</v>
      </c>
      <c r="J193">
        <v>85</v>
      </c>
      <c r="K193">
        <v>35</v>
      </c>
      <c r="L193">
        <v>90</v>
      </c>
      <c r="M193" s="68" t="s">
        <v>54</v>
      </c>
      <c r="N193">
        <v>82.4</v>
      </c>
      <c r="O193">
        <v>19</v>
      </c>
      <c r="P193" s="67" t="s">
        <v>243</v>
      </c>
      <c r="Q193" s="68">
        <v>202.6</v>
      </c>
      <c r="R193" s="67" t="s">
        <v>280</v>
      </c>
      <c r="S193" s="68">
        <v>213.1</v>
      </c>
      <c r="T193" s="68">
        <f t="shared" si="30"/>
        <v>10.5</v>
      </c>
      <c r="U193">
        <f t="shared" si="31"/>
        <v>88</v>
      </c>
      <c r="V193">
        <f t="shared" si="25"/>
        <v>7.2</v>
      </c>
      <c r="W193">
        <f t="shared" si="32"/>
        <v>12.64</v>
      </c>
      <c r="X193" s="19">
        <v>45351</v>
      </c>
      <c r="Y193" s="26">
        <v>433.5</v>
      </c>
      <c r="Z193" s="61">
        <v>0</v>
      </c>
      <c r="AA193" s="61">
        <v>0</v>
      </c>
      <c r="AB193" s="28">
        <f t="shared" si="24"/>
        <v>0.13300000000000001</v>
      </c>
      <c r="AC193" s="110">
        <v>44.3</v>
      </c>
      <c r="AD193" s="26">
        <v>70.7</v>
      </c>
      <c r="AE193" s="61">
        <f t="shared" si="33"/>
        <v>26.400000000000006</v>
      </c>
      <c r="AF193" s="77" t="str">
        <f>_xlfn.XLOOKUP(AD193,menu!$K$2:$K$9,menu!$J$2:$J$9,"",1)</f>
        <v>淺</v>
      </c>
      <c r="AG193" s="80" t="str">
        <f>_xlfn.XLOOKUP(AH193,menu!$O$2:$O$9,menu!$H$2:$H$9,"")</f>
        <v>Cinamon</v>
      </c>
      <c r="AH193" s="81" t="s">
        <v>78</v>
      </c>
      <c r="AI193" t="str">
        <f>_xlfn.LET(_xlpm.x,_xlfn.CONCAT(_xlfn.XLOOKUP(D193,beans!$A$2:$A$300,beans!$J$2:$J$300,"")," / ",_xlfn.XLOOKUP(D193,beans!$A$2:$A$300,beans!$K$2:$K$300,"")," - ",_xlfn.XLOOKUP(D193,beans!$A$2:$A$300,beans!$L$2:$L$300,"")),IF(_xlpm.x=" /  - ","",_xlpm.x))</f>
        <v>希諾特加 / 暮光女神 - 卡杜拉</v>
      </c>
      <c r="AJ193" s="23" t="s">
        <v>456</v>
      </c>
    </row>
    <row r="194" spans="1:36" x14ac:dyDescent="0.3">
      <c r="A194">
        <v>177</v>
      </c>
      <c r="B194">
        <v>250</v>
      </c>
      <c r="C194">
        <v>8</v>
      </c>
      <c r="D194">
        <v>23</v>
      </c>
      <c r="E194" t="str">
        <f>_xlfn.LET(_xlpm.x,_xlfn.XLOOKUP(D194,beans!$A$2:$A$300,beans!$H$2:$H$300,""),IF(_xlpm.x="","",_xlpm.x))</f>
        <v>衣索比亞</v>
      </c>
      <c r="F194" s="22" t="str">
        <f>_xlfn.XLOOKUP(E194,menu!$A$2:$A$37,menu!$B$2:$B$37,"")</f>
        <v>Ethiopia</v>
      </c>
      <c r="G194" t="str">
        <f>_xlfn.XLOOKUP(E194,menu!$A$2:$A$37,menu!$C$2:$C$37,"")</f>
        <v>eth</v>
      </c>
      <c r="H194" t="str">
        <f>_xlfn.LET(_xlpm.x,_xlfn.XLOOKUP(_xlfn.XLOOKUP(D194,beans!$A$2:$A$300,beans!$I$2:$I$300),menu!$E$2:$E$20,menu!$F$2:$F$20),IF(_xlpm.x="","",_xlpm.x))</f>
        <v>natural</v>
      </c>
      <c r="I194">
        <v>210</v>
      </c>
      <c r="J194">
        <v>75</v>
      </c>
      <c r="K194">
        <v>35</v>
      </c>
      <c r="L194">
        <v>70</v>
      </c>
      <c r="M194" s="68" t="s">
        <v>109</v>
      </c>
      <c r="N194">
        <v>91.8</v>
      </c>
      <c r="O194">
        <v>20</v>
      </c>
      <c r="P194" s="67" t="s">
        <v>164</v>
      </c>
      <c r="Q194" s="68">
        <v>202.3</v>
      </c>
      <c r="R194" s="67" t="s">
        <v>457</v>
      </c>
      <c r="S194" s="68">
        <v>214.3</v>
      </c>
      <c r="T194" s="68">
        <f t="shared" si="30"/>
        <v>12</v>
      </c>
      <c r="U194">
        <f t="shared" ref="U194:U257" si="34">_xlfn.LET(_xlpm.x,(TIMEVALUE("0:"&amp;SUBSTITUTE(R194,"'",":"))-TIMEVALUE("0:"&amp;SUBSTITUTE(P194,"'",":")))*86400,IF(_xlpm.x=0,"",ROUND(_xlpm.x,2)))</f>
        <v>75</v>
      </c>
      <c r="V194">
        <f t="shared" si="25"/>
        <v>9.6</v>
      </c>
      <c r="W194">
        <f t="shared" ref="W194:W257" si="35">_xlfn.LET(_xlpm.x,(TIMEVALUE("0:"&amp;SUBSTITUTE(R194,"'",":"))-TIMEVALUE("0:"&amp;SUBSTITUTE(P194,"'",":")))*86400,IF(_xlpm.x=0,"",ROUND(_xlpm.x/((TIMEVALUE("0:"&amp;SUBSTITUTE(R194,"'",":"))-TIMEVALUE("0:0:0"))*864),2)))</f>
        <v>11.24</v>
      </c>
      <c r="X194" s="19">
        <v>45351</v>
      </c>
      <c r="Y194" s="26">
        <v>215.9</v>
      </c>
      <c r="Z194" s="61">
        <v>0</v>
      </c>
      <c r="AA194" s="61">
        <v>0</v>
      </c>
      <c r="AB194" s="28">
        <f t="shared" ref="AB194:AB257" si="36">IF(Y194 &gt; 0,(B194-Y194)/B194," ")</f>
        <v>0.13639999999999997</v>
      </c>
      <c r="AC194" s="110">
        <v>60.8</v>
      </c>
      <c r="AD194" s="26">
        <v>74.5</v>
      </c>
      <c r="AE194" s="61">
        <f t="shared" ref="AE194:AE257" si="37">_xlfn.LET(_xlpm.x,AD194-AC194,IF(_xlpm.x=0,"",_xlpm.x))</f>
        <v>13.700000000000003</v>
      </c>
      <c r="AF194" s="77" t="str">
        <f>_xlfn.XLOOKUP(AD194,menu!$K$2:$K$9,menu!$J$2:$J$9,"",1)</f>
        <v>淺</v>
      </c>
      <c r="AG194" s="80" t="str">
        <f>_xlfn.XLOOKUP(AH194,menu!$O$2:$O$9,menu!$H$2:$H$9,"")</f>
        <v>Cinamon</v>
      </c>
      <c r="AH194" s="81" t="s">
        <v>78</v>
      </c>
      <c r="AI194" t="str">
        <f>_xlfn.LET(_xlpm.x,_xlfn.CONCAT(_xlfn.XLOOKUP(D194,beans!$A$2:$A$300,beans!$J$2:$J$300,"")," / ",_xlfn.XLOOKUP(D194,beans!$A$2:$A$300,beans!$K$2:$K$300,"")," - ",_xlfn.XLOOKUP(D194,beans!$A$2:$A$300,beans!$L$2:$L$300,"")),IF(_xlpm.x=" /  - ","",_xlpm.x))</f>
        <v>古吉 / 安朵拉 - Heirloom</v>
      </c>
      <c r="AJ194" s="23" t="s">
        <v>458</v>
      </c>
    </row>
    <row r="195" spans="1:36" x14ac:dyDescent="0.3">
      <c r="A195">
        <v>178</v>
      </c>
      <c r="B195">
        <v>250</v>
      </c>
      <c r="C195">
        <v>8</v>
      </c>
      <c r="D195">
        <v>11</v>
      </c>
      <c r="E195" t="str">
        <f>_xlfn.LET(_xlpm.x,_xlfn.XLOOKUP(D195,beans!$A$2:$A$300,beans!$H$2:$H$300,""),IF(_xlpm.x="","",_xlpm.x))</f>
        <v>衣索比亞</v>
      </c>
      <c r="F195" s="22" t="str">
        <f>_xlfn.XLOOKUP(E195,menu!$A$2:$A$37,menu!$B$2:$B$37,"")</f>
        <v>Ethiopia</v>
      </c>
      <c r="G195" t="str">
        <f>_xlfn.XLOOKUP(E195,menu!$A$2:$A$37,menu!$C$2:$C$37,"")</f>
        <v>eth</v>
      </c>
      <c r="H195" t="str">
        <f>_xlfn.LET(_xlpm.x,_xlfn.XLOOKUP(_xlfn.XLOOKUP(D195,beans!$A$2:$A$300,beans!$I$2:$I$300),menu!$E$2:$E$20,menu!$F$2:$F$20),IF(_xlpm.x="","",_xlpm.x))</f>
        <v>natural</v>
      </c>
      <c r="I195">
        <v>210</v>
      </c>
      <c r="J195">
        <v>75</v>
      </c>
      <c r="K195">
        <v>35</v>
      </c>
      <c r="L195">
        <v>70</v>
      </c>
      <c r="M195" s="68" t="s">
        <v>121</v>
      </c>
      <c r="N195">
        <v>91</v>
      </c>
      <c r="O195">
        <v>20</v>
      </c>
      <c r="P195" s="67" t="s">
        <v>243</v>
      </c>
      <c r="Q195" s="68">
        <v>207.1</v>
      </c>
      <c r="R195" s="67" t="s">
        <v>161</v>
      </c>
      <c r="S195" s="68">
        <v>218.9</v>
      </c>
      <c r="T195" s="68">
        <f t="shared" ref="T195:T258" si="38">_xlfn.LET(_xlpm.x,S195-Q195,IF(_xlpm.x=0,"",_xlpm.x))</f>
        <v>11.800000000000011</v>
      </c>
      <c r="U195">
        <f t="shared" si="34"/>
        <v>69</v>
      </c>
      <c r="V195">
        <f t="shared" ref="V195:V258" si="39">IFERROR(ROUND(T195*60/U195,1), )</f>
        <v>10.3</v>
      </c>
      <c r="W195">
        <f t="shared" si="35"/>
        <v>10.19</v>
      </c>
      <c r="X195" s="19">
        <v>45351</v>
      </c>
      <c r="Y195" s="26">
        <v>213.5</v>
      </c>
      <c r="Z195" s="61">
        <f>205-120-85</f>
        <v>0</v>
      </c>
      <c r="AA195" s="61">
        <v>0</v>
      </c>
      <c r="AB195" s="28">
        <f t="shared" si="36"/>
        <v>0.14599999999999999</v>
      </c>
      <c r="AC195" s="110">
        <v>50.9</v>
      </c>
      <c r="AD195" s="26">
        <v>66.099999999999994</v>
      </c>
      <c r="AE195" s="61">
        <f t="shared" si="37"/>
        <v>15.199999999999996</v>
      </c>
      <c r="AF195" s="77" t="str">
        <f>_xlfn.XLOOKUP(AD195,menu!$K$2:$K$9,menu!$J$2:$J$9,"",1)</f>
        <v>中淺</v>
      </c>
      <c r="AG195" s="80" t="str">
        <f>_xlfn.XLOOKUP(AH195,menu!$O$2:$O$9,menu!$H$2:$H$9,"")</f>
        <v>Medium</v>
      </c>
      <c r="AH195" s="81" t="s">
        <v>72</v>
      </c>
      <c r="AI195" t="str">
        <f>_xlfn.LET(_xlpm.x,_xlfn.CONCAT(_xlfn.XLOOKUP(D195,beans!$A$2:$A$300,beans!$J$2:$J$300,"")," / ",_xlfn.XLOOKUP(D195,beans!$A$2:$A$300,beans!$K$2:$K$300,"")," - ",_xlfn.XLOOKUP(D195,beans!$A$2:$A$300,beans!$L$2:$L$300,"")),IF(_xlpm.x=" /  - ","",_xlpm.x))</f>
        <v>班奇 馬吉 / 格林藝妓森林 - Gori Geisha Forest</v>
      </c>
      <c r="AJ195" s="23" t="s">
        <v>459</v>
      </c>
    </row>
    <row r="196" spans="1:36" x14ac:dyDescent="0.3">
      <c r="A196">
        <v>179</v>
      </c>
      <c r="B196">
        <v>250</v>
      </c>
      <c r="D196">
        <v>9</v>
      </c>
      <c r="E196" t="str">
        <f>_xlfn.LET(_xlpm.x,_xlfn.XLOOKUP(D196,beans!$A$2:$A$300,beans!$H$2:$H$300,""),IF(_xlpm.x="","",_xlpm.x))</f>
        <v>衣索比亞</v>
      </c>
      <c r="F196" s="22" t="str">
        <f>_xlfn.XLOOKUP(E196,menu!$A$2:$A$37,menu!$B$2:$B$37,"")</f>
        <v>Ethiopia</v>
      </c>
      <c r="G196" t="str">
        <f>_xlfn.XLOOKUP(E196,menu!$A$2:$A$37,menu!$C$2:$C$37,"")</f>
        <v>eth</v>
      </c>
      <c r="H196" t="str">
        <f>_xlfn.LET(_xlpm.x,_xlfn.XLOOKUP(_xlfn.XLOOKUP(D196,beans!$A$2:$A$300,beans!$I$2:$I$300),menu!$E$2:$E$20,menu!$F$2:$F$20),IF(_xlpm.x="","",_xlpm.x))</f>
        <v>natural</v>
      </c>
      <c r="I196">
        <v>210</v>
      </c>
      <c r="J196">
        <v>75</v>
      </c>
      <c r="K196">
        <v>35</v>
      </c>
      <c r="L196">
        <v>70</v>
      </c>
      <c r="M196" s="68" t="s">
        <v>157</v>
      </c>
      <c r="N196">
        <v>88.7</v>
      </c>
      <c r="O196">
        <v>19</v>
      </c>
      <c r="P196" s="67" t="s">
        <v>376</v>
      </c>
      <c r="Q196" s="68">
        <v>210.1</v>
      </c>
      <c r="R196" s="67" t="s">
        <v>460</v>
      </c>
      <c r="S196" s="68">
        <v>220.1</v>
      </c>
      <c r="T196" s="68">
        <f t="shared" si="38"/>
        <v>10</v>
      </c>
      <c r="U196">
        <f t="shared" si="34"/>
        <v>53</v>
      </c>
      <c r="V196">
        <f t="shared" si="39"/>
        <v>11.3</v>
      </c>
      <c r="W196">
        <f t="shared" si="35"/>
        <v>7.55</v>
      </c>
      <c r="X196" s="19">
        <v>45351</v>
      </c>
      <c r="Y196" s="26">
        <v>209.2</v>
      </c>
      <c r="Z196" s="61">
        <f>200-120-80</f>
        <v>0</v>
      </c>
      <c r="AA196" s="61">
        <v>0</v>
      </c>
      <c r="AB196" s="28">
        <f t="shared" si="36"/>
        <v>0.16320000000000004</v>
      </c>
      <c r="AC196" s="110">
        <v>46.7</v>
      </c>
      <c r="AD196" s="26">
        <v>69.900000000000006</v>
      </c>
      <c r="AE196" s="61">
        <f t="shared" si="37"/>
        <v>23.200000000000003</v>
      </c>
      <c r="AF196" s="77" t="str">
        <f>_xlfn.XLOOKUP(AD196,menu!$K$2:$K$9,menu!$J$2:$J$9,"",1)</f>
        <v>中淺</v>
      </c>
      <c r="AG196" s="80" t="str">
        <f>_xlfn.XLOOKUP(AH196,menu!$O$2:$O$9,menu!$H$2:$H$9,"")</f>
        <v>Cinamon</v>
      </c>
      <c r="AH196" s="81" t="s">
        <v>78</v>
      </c>
      <c r="AI196" t="str">
        <f>_xlfn.LET(_xlpm.x,_xlfn.CONCAT(_xlfn.XLOOKUP(D196,beans!$A$2:$A$300,beans!$J$2:$J$300,"")," / ",_xlfn.XLOOKUP(D196,beans!$A$2:$A$300,beans!$K$2:$K$300,"")," - ",_xlfn.XLOOKUP(D196,beans!$A$2:$A$300,beans!$L$2:$L$300,"")),IF(_xlpm.x=" /  - ","",_xlpm.x))</f>
        <v>吉瑪 利姆 / 果美村 - 寶貝藝妓</v>
      </c>
      <c r="AJ196" s="23" t="s">
        <v>461</v>
      </c>
    </row>
    <row r="197" spans="1:36" x14ac:dyDescent="0.3">
      <c r="A197">
        <v>180</v>
      </c>
      <c r="B197">
        <v>250</v>
      </c>
      <c r="D197">
        <v>29</v>
      </c>
      <c r="E197" t="str">
        <f>_xlfn.LET(_xlpm.x,_xlfn.XLOOKUP(D197,beans!$A$2:$A$300,beans!$H$2:$H$300,""),IF(_xlpm.x="","",_xlpm.x))</f>
        <v>肯亞</v>
      </c>
      <c r="F197" s="22" t="str">
        <f>_xlfn.XLOOKUP(E197,menu!$A$2:$A$37,menu!$B$2:$B$37,"")</f>
        <v>Kenya</v>
      </c>
      <c r="G197" t="str">
        <f>_xlfn.XLOOKUP(E197,menu!$A$2:$A$37,menu!$C$2:$C$37,"")</f>
        <v>ken</v>
      </c>
      <c r="H197" t="str">
        <f>_xlfn.LET(_xlpm.x,_xlfn.XLOOKUP(_xlfn.XLOOKUP(D197,beans!$A$2:$A$300,beans!$I$2:$I$300),menu!$E$2:$E$20,menu!$F$2:$F$20),IF(_xlpm.x="","",_xlpm.x))</f>
        <v>washed</v>
      </c>
      <c r="I197">
        <v>210</v>
      </c>
      <c r="J197">
        <v>75</v>
      </c>
      <c r="K197">
        <v>30</v>
      </c>
      <c r="L197">
        <v>70</v>
      </c>
      <c r="M197" s="68" t="s">
        <v>188</v>
      </c>
      <c r="N197">
        <v>90</v>
      </c>
      <c r="O197">
        <v>21</v>
      </c>
      <c r="P197" s="67" t="s">
        <v>462</v>
      </c>
      <c r="Q197" s="68">
        <v>201.4</v>
      </c>
      <c r="R197" s="67" t="s">
        <v>386</v>
      </c>
      <c r="S197" s="68">
        <v>214.2</v>
      </c>
      <c r="T197" s="68">
        <f t="shared" si="38"/>
        <v>12.799999999999983</v>
      </c>
      <c r="U197">
        <f t="shared" si="34"/>
        <v>113</v>
      </c>
      <c r="V197">
        <f t="shared" si="39"/>
        <v>6.8</v>
      </c>
      <c r="W197">
        <f t="shared" si="35"/>
        <v>17.02</v>
      </c>
      <c r="X197" s="19">
        <v>45351</v>
      </c>
      <c r="Y197" s="26">
        <v>216.6</v>
      </c>
      <c r="Z197" s="61">
        <v>0</v>
      </c>
      <c r="AA197" s="61">
        <v>0</v>
      </c>
      <c r="AB197" s="28">
        <f t="shared" si="36"/>
        <v>0.13360000000000002</v>
      </c>
      <c r="AC197" s="110">
        <v>52.8</v>
      </c>
      <c r="AD197" s="26">
        <v>66.400000000000006</v>
      </c>
      <c r="AE197" s="61">
        <f t="shared" si="37"/>
        <v>13.600000000000009</v>
      </c>
      <c r="AF197" s="77" t="str">
        <f>_xlfn.XLOOKUP(AD197,menu!$K$2:$K$9,menu!$J$2:$J$9,"",1)</f>
        <v>中淺</v>
      </c>
      <c r="AG197" s="80" t="str">
        <f>_xlfn.XLOOKUP(AH197,menu!$O$2:$O$9,menu!$H$2:$H$9,"")</f>
        <v>Medium</v>
      </c>
      <c r="AH197" s="81" t="s">
        <v>72</v>
      </c>
      <c r="AI197" t="str">
        <f>_xlfn.LET(_xlpm.x,_xlfn.CONCAT(_xlfn.XLOOKUP(D197,beans!$A$2:$A$300,beans!$J$2:$J$300,"")," / ",_xlfn.XLOOKUP(D197,beans!$A$2:$A$300,beans!$K$2:$K$300,"")," - ",_xlfn.XLOOKUP(D197,beans!$A$2:$A$300,beans!$L$2:$L$300,"")),IF(_xlpm.x=" /  - ","",_xlpm.x))</f>
        <v>麒麟雅加 / 卡娜沐伊 - Ruiru 11 / SL-28 / Batian</v>
      </c>
      <c r="AJ197" s="23" t="s">
        <v>463</v>
      </c>
    </row>
    <row r="198" spans="1:36" x14ac:dyDescent="0.3">
      <c r="A198">
        <v>181</v>
      </c>
      <c r="B198">
        <v>250</v>
      </c>
      <c r="D198">
        <v>40</v>
      </c>
      <c r="E198" t="str">
        <f>_xlfn.LET(_xlpm.x,_xlfn.XLOOKUP(D198,beans!$A$2:$A$300,beans!$H$2:$H$300,""),IF(_xlpm.x="","",_xlpm.x))</f>
        <v>巴西</v>
      </c>
      <c r="F198" s="22" t="str">
        <f>_xlfn.XLOOKUP(E198,menu!$A$2:$A$37,menu!$B$2:$B$37,"")</f>
        <v>Brazli</v>
      </c>
      <c r="G198" t="str">
        <f>_xlfn.XLOOKUP(E198,menu!$A$2:$A$37,menu!$C$2:$C$37,"")</f>
        <v>bra</v>
      </c>
      <c r="H198" t="str">
        <f>_xlfn.LET(_xlpm.x,_xlfn.XLOOKUP(_xlfn.XLOOKUP(D198,beans!$A$2:$A$300,beans!$I$2:$I$300),menu!$E$2:$E$20,menu!$F$2:$F$20),IF(_xlpm.x="","",_xlpm.x))</f>
        <v>natural</v>
      </c>
      <c r="I198">
        <v>210</v>
      </c>
      <c r="J198">
        <v>75</v>
      </c>
      <c r="K198">
        <v>35</v>
      </c>
      <c r="L198">
        <v>70</v>
      </c>
      <c r="M198" s="68" t="s">
        <v>207</v>
      </c>
      <c r="N198">
        <v>91.3</v>
      </c>
      <c r="O198">
        <v>21</v>
      </c>
      <c r="P198" s="67" t="s">
        <v>97</v>
      </c>
      <c r="Q198" s="68">
        <v>205.4</v>
      </c>
      <c r="R198" s="67" t="s">
        <v>211</v>
      </c>
      <c r="S198" s="68">
        <v>225.6</v>
      </c>
      <c r="T198" s="68">
        <f t="shared" si="38"/>
        <v>20.199999999999989</v>
      </c>
      <c r="U198">
        <f t="shared" si="34"/>
        <v>107</v>
      </c>
      <c r="V198">
        <f t="shared" si="39"/>
        <v>11.3</v>
      </c>
      <c r="W198">
        <f t="shared" si="35"/>
        <v>15.67</v>
      </c>
      <c r="X198" s="19">
        <v>45351</v>
      </c>
      <c r="Y198" s="26">
        <v>206.9</v>
      </c>
      <c r="Z198" s="61">
        <v>0</v>
      </c>
      <c r="AA198" s="61">
        <v>0</v>
      </c>
      <c r="AB198" s="28">
        <f t="shared" si="36"/>
        <v>0.17239999999999997</v>
      </c>
      <c r="AC198" s="110">
        <v>39.700000000000003</v>
      </c>
      <c r="AD198" s="26">
        <v>56.6</v>
      </c>
      <c r="AE198" s="61">
        <f t="shared" si="37"/>
        <v>16.899999999999999</v>
      </c>
      <c r="AF198" s="77" t="str">
        <f>_xlfn.XLOOKUP(AD198,menu!$K$2:$K$9,menu!$J$2:$J$9,"",1)</f>
        <v>中</v>
      </c>
      <c r="AG198" s="80" t="str">
        <f>_xlfn.XLOOKUP(AH198,menu!$O$2:$O$9,menu!$H$2:$H$9,"")</f>
        <v>High</v>
      </c>
      <c r="AH198" s="81" t="s">
        <v>93</v>
      </c>
      <c r="AI198" t="str">
        <f>_xlfn.LET(_xlpm.x,_xlfn.CONCAT(_xlfn.XLOOKUP(D198,beans!$A$2:$A$300,beans!$J$2:$J$300,"")," / ",_xlfn.XLOOKUP(D198,beans!$A$2:$A$300,beans!$K$2:$K$300,"")," - ",_xlfn.XLOOKUP(D198,beans!$A$2:$A$300,beans!$L$2:$L$300,"")),IF(_xlpm.x=" /  - ","",_xlpm.x))</f>
        <v xml:space="preserve"> / 巴烏莊園 維多莉亞農場 - Red Catuai</v>
      </c>
      <c r="AJ198" s="23" t="s">
        <v>464</v>
      </c>
    </row>
    <row r="199" spans="1:36" x14ac:dyDescent="0.3">
      <c r="A199">
        <v>182</v>
      </c>
      <c r="B199">
        <v>500</v>
      </c>
      <c r="C199">
        <v>7</v>
      </c>
      <c r="D199">
        <v>2</v>
      </c>
      <c r="E199" t="str">
        <f>_xlfn.LET(_xlpm.x,_xlfn.XLOOKUP(D199,beans!$A$2:$A$300,beans!$H$2:$H$300,""),IF(_xlpm.x="","",_xlpm.x))</f>
        <v>哥斯大黎加</v>
      </c>
      <c r="F199" s="22" t="str">
        <f>_xlfn.XLOOKUP(E199,menu!$A$2:$A$37,menu!$B$2:$B$37,"")</f>
        <v>Costa Rica</v>
      </c>
      <c r="G199" t="str">
        <f>_xlfn.XLOOKUP(E199,menu!$A$2:$A$37,menu!$C$2:$C$37,"")</f>
        <v>cri</v>
      </c>
      <c r="H199" t="str">
        <f>_xlfn.LET(_xlpm.x,_xlfn.XLOOKUP(_xlfn.XLOOKUP(D199,beans!$A$2:$A$300,beans!$I$2:$I$300),menu!$E$2:$E$20,menu!$F$2:$F$20),IF(_xlpm.x="","",_xlpm.x))</f>
        <v>raisin-honey</v>
      </c>
      <c r="I199">
        <v>210</v>
      </c>
      <c r="J199">
        <v>85</v>
      </c>
      <c r="K199">
        <v>40</v>
      </c>
      <c r="L199">
        <v>90</v>
      </c>
      <c r="M199" s="68" t="s">
        <v>157</v>
      </c>
      <c r="N199">
        <v>84.7</v>
      </c>
      <c r="O199">
        <v>21</v>
      </c>
      <c r="P199" s="67" t="s">
        <v>465</v>
      </c>
      <c r="Q199" s="68">
        <v>200</v>
      </c>
      <c r="R199" s="67" t="s">
        <v>147</v>
      </c>
      <c r="S199" s="68">
        <v>220.3</v>
      </c>
      <c r="T199" s="68">
        <f t="shared" si="38"/>
        <v>20.300000000000011</v>
      </c>
      <c r="U199">
        <f t="shared" si="34"/>
        <v>115</v>
      </c>
      <c r="V199">
        <f t="shared" si="39"/>
        <v>10.6</v>
      </c>
      <c r="W199">
        <f t="shared" si="35"/>
        <v>16.96</v>
      </c>
      <c r="X199" s="19">
        <v>45351</v>
      </c>
      <c r="Y199" s="26">
        <v>424.7</v>
      </c>
      <c r="Z199" s="61">
        <v>0</v>
      </c>
      <c r="AA199" s="61">
        <v>0</v>
      </c>
      <c r="AB199" s="28">
        <f t="shared" si="36"/>
        <v>0.15060000000000001</v>
      </c>
      <c r="AC199" s="110">
        <v>38</v>
      </c>
      <c r="AD199" s="26">
        <v>59.8</v>
      </c>
      <c r="AE199" s="61">
        <f t="shared" si="37"/>
        <v>21.799999999999997</v>
      </c>
      <c r="AF199" s="77" t="str">
        <f>_xlfn.XLOOKUP(AD199,menu!$K$2:$K$9,menu!$J$2:$J$9,"",1)</f>
        <v>中</v>
      </c>
      <c r="AG199" s="80" t="str">
        <f>_xlfn.XLOOKUP(AH199,menu!$O$2:$O$9,menu!$H$2:$H$9,"")</f>
        <v>High</v>
      </c>
      <c r="AH199" s="81" t="s">
        <v>93</v>
      </c>
      <c r="AI199" t="str">
        <f>_xlfn.LET(_xlpm.x,_xlfn.CONCAT(_xlfn.XLOOKUP(D199,beans!$A$2:$A$300,beans!$J$2:$J$300,"")," / ",_xlfn.XLOOKUP(D199,beans!$A$2:$A$300,beans!$K$2:$K$300,"")," - ",_xlfn.XLOOKUP(D199,beans!$A$2:$A$300,beans!$L$2:$L$300,"")),IF(_xlpm.x=" /  - ","",_xlpm.x))</f>
        <v xml:space="preserve">Tarrazu / 卡內特 音樂家系列 莫札特 - </v>
      </c>
      <c r="AJ199" s="23" t="s">
        <v>466</v>
      </c>
    </row>
    <row r="200" spans="1:36" x14ac:dyDescent="0.3">
      <c r="A200">
        <v>183</v>
      </c>
      <c r="B200">
        <v>300</v>
      </c>
      <c r="D200">
        <v>9</v>
      </c>
      <c r="E200" t="str">
        <f>_xlfn.LET(_xlpm.x,_xlfn.XLOOKUP(D200,beans!$A$2:$A$300,beans!$H$2:$H$300,""),IF(_xlpm.x="","",_xlpm.x))</f>
        <v>衣索比亞</v>
      </c>
      <c r="F200" s="22" t="str">
        <f>_xlfn.XLOOKUP(E200,menu!$A$2:$A$37,menu!$B$2:$B$37,"")</f>
        <v>Ethiopia</v>
      </c>
      <c r="G200" t="str">
        <f>_xlfn.XLOOKUP(E200,menu!$A$2:$A$37,menu!$C$2:$C$37,"")</f>
        <v>eth</v>
      </c>
      <c r="H200" t="str">
        <f>_xlfn.LET(_xlpm.x,_xlfn.XLOOKUP(_xlfn.XLOOKUP(D200,beans!$A$2:$A$300,beans!$I$2:$I$300),menu!$E$2:$E$20,menu!$F$2:$F$20),IF(_xlpm.x="","",_xlpm.x))</f>
        <v>natural</v>
      </c>
      <c r="T200" s="68" t="str">
        <f t="shared" si="38"/>
        <v/>
      </c>
      <c r="U200" t="str">
        <f t="shared" si="34"/>
        <v/>
      </c>
      <c r="V200">
        <f t="shared" si="39"/>
        <v>0</v>
      </c>
      <c r="W200" t="str">
        <f t="shared" si="35"/>
        <v/>
      </c>
      <c r="X200" s="19">
        <v>45361</v>
      </c>
      <c r="Z200" s="61">
        <v>0</v>
      </c>
      <c r="AB200" s="28" t="str">
        <f t="shared" si="36"/>
        <v xml:space="preserve"> </v>
      </c>
      <c r="AE200" s="61" t="str">
        <f t="shared" si="37"/>
        <v/>
      </c>
      <c r="AF200" s="77" t="str">
        <f>_xlfn.XLOOKUP(AD200,menu!$K$2:$K$9,menu!$J$2:$J$9,"",1)</f>
        <v/>
      </c>
      <c r="AG200" s="80" t="str">
        <f>_xlfn.XLOOKUP(AH200,menu!$O$2:$O$9,menu!$H$2:$H$9,"")</f>
        <v/>
      </c>
      <c r="AI200" t="str">
        <f>_xlfn.LET(_xlpm.x,_xlfn.CONCAT(_xlfn.XLOOKUP(D200,beans!$A$2:$A$300,beans!$J$2:$J$300,"")," / ",_xlfn.XLOOKUP(D200,beans!$A$2:$A$300,beans!$K$2:$K$300,"")," - ",_xlfn.XLOOKUP(D200,beans!$A$2:$A$300,beans!$L$2:$L$300,"")),IF(_xlpm.x=" /  - ","",_xlpm.x))</f>
        <v>吉瑪 利姆 / 果美村 - 寶貝藝妓</v>
      </c>
      <c r="AJ200" s="23" t="s">
        <v>467</v>
      </c>
    </row>
    <row r="201" spans="1:36" x14ac:dyDescent="0.3">
      <c r="A201">
        <v>184</v>
      </c>
      <c r="B201">
        <v>300</v>
      </c>
      <c r="D201">
        <v>9</v>
      </c>
      <c r="E201" t="str">
        <f>_xlfn.LET(_xlpm.x,_xlfn.XLOOKUP(D201,beans!$A$2:$A$300,beans!$H$2:$H$300,""),IF(_xlpm.x="","",_xlpm.x))</f>
        <v>衣索比亞</v>
      </c>
      <c r="F201" s="22" t="str">
        <f>_xlfn.XLOOKUP(E201,menu!$A$2:$A$37,menu!$B$2:$B$37,"")</f>
        <v>Ethiopia</v>
      </c>
      <c r="G201" t="str">
        <f>_xlfn.XLOOKUP(E201,menu!$A$2:$A$37,menu!$C$2:$C$37,"")</f>
        <v>eth</v>
      </c>
      <c r="H201" t="str">
        <f>_xlfn.LET(_xlpm.x,_xlfn.XLOOKUP(_xlfn.XLOOKUP(D201,beans!$A$2:$A$300,beans!$I$2:$I$300),menu!$E$2:$E$20,menu!$F$2:$F$20),IF(_xlpm.x="","",_xlpm.x))</f>
        <v>natural</v>
      </c>
      <c r="T201" s="68" t="str">
        <f t="shared" si="38"/>
        <v/>
      </c>
      <c r="U201" t="str">
        <f t="shared" si="34"/>
        <v/>
      </c>
      <c r="V201">
        <f t="shared" si="39"/>
        <v>0</v>
      </c>
      <c r="W201" t="str">
        <f t="shared" si="35"/>
        <v/>
      </c>
      <c r="X201" s="19">
        <v>45361</v>
      </c>
      <c r="Z201" s="61">
        <v>0</v>
      </c>
      <c r="AB201" s="28" t="str">
        <f t="shared" si="36"/>
        <v xml:space="preserve"> </v>
      </c>
      <c r="AE201" s="61" t="str">
        <f t="shared" si="37"/>
        <v/>
      </c>
      <c r="AF201" s="77" t="str">
        <f>_xlfn.XLOOKUP(AD201,menu!$K$2:$K$9,menu!$J$2:$J$9,"",1)</f>
        <v/>
      </c>
      <c r="AG201" s="80" t="str">
        <f>_xlfn.XLOOKUP(AH201,menu!$O$2:$O$9,menu!$H$2:$H$9,"")</f>
        <v/>
      </c>
      <c r="AI201" t="str">
        <f>_xlfn.LET(_xlpm.x,_xlfn.CONCAT(_xlfn.XLOOKUP(D201,beans!$A$2:$A$300,beans!$J$2:$J$300,"")," / ",_xlfn.XLOOKUP(D201,beans!$A$2:$A$300,beans!$K$2:$K$300,"")," - ",_xlfn.XLOOKUP(D201,beans!$A$2:$A$300,beans!$L$2:$L$300,"")),IF(_xlpm.x=" /  - ","",_xlpm.x))</f>
        <v>吉瑪 利姆 / 果美村 - 寶貝藝妓</v>
      </c>
      <c r="AJ201" s="23" t="s">
        <v>467</v>
      </c>
    </row>
    <row r="202" spans="1:36" x14ac:dyDescent="0.3">
      <c r="A202">
        <v>185</v>
      </c>
      <c r="B202">
        <v>400</v>
      </c>
      <c r="D202">
        <v>9</v>
      </c>
      <c r="E202" t="str">
        <f>_xlfn.LET(_xlpm.x,_xlfn.XLOOKUP(D202,beans!$A$2:$A$300,beans!$H$2:$H$300,""),IF(_xlpm.x="","",_xlpm.x))</f>
        <v>衣索比亞</v>
      </c>
      <c r="F202" s="22" t="str">
        <f>_xlfn.XLOOKUP(E202,menu!$A$2:$A$37,menu!$B$2:$B$37,"")</f>
        <v>Ethiopia</v>
      </c>
      <c r="G202" t="str">
        <f>_xlfn.XLOOKUP(E202,menu!$A$2:$A$37,menu!$C$2:$C$37,"")</f>
        <v>eth</v>
      </c>
      <c r="H202" t="str">
        <f>_xlfn.LET(_xlpm.x,_xlfn.XLOOKUP(_xlfn.XLOOKUP(D202,beans!$A$2:$A$300,beans!$I$2:$I$300),menu!$E$2:$E$20,menu!$F$2:$F$20),IF(_xlpm.x="","",_xlpm.x))</f>
        <v>natural</v>
      </c>
      <c r="T202" s="68" t="str">
        <f t="shared" si="38"/>
        <v/>
      </c>
      <c r="U202" t="str">
        <f t="shared" si="34"/>
        <v/>
      </c>
      <c r="V202">
        <f t="shared" si="39"/>
        <v>0</v>
      </c>
      <c r="W202" t="str">
        <f t="shared" si="35"/>
        <v/>
      </c>
      <c r="X202" s="19">
        <v>45361</v>
      </c>
      <c r="Z202" s="61">
        <v>0</v>
      </c>
      <c r="AB202" s="28" t="str">
        <f t="shared" si="36"/>
        <v xml:space="preserve"> </v>
      </c>
      <c r="AE202" s="61" t="str">
        <f t="shared" si="37"/>
        <v/>
      </c>
      <c r="AF202" s="77" t="str">
        <f>_xlfn.XLOOKUP(AD202,menu!$K$2:$K$9,menu!$J$2:$J$9,"",1)</f>
        <v/>
      </c>
      <c r="AG202" s="80" t="str">
        <f>_xlfn.XLOOKUP(AH202,menu!$O$2:$O$9,menu!$H$2:$H$9,"")</f>
        <v/>
      </c>
      <c r="AI202" t="str">
        <f>_xlfn.LET(_xlpm.x,_xlfn.CONCAT(_xlfn.XLOOKUP(D202,beans!$A$2:$A$300,beans!$J$2:$J$300,"")," / ",_xlfn.XLOOKUP(D202,beans!$A$2:$A$300,beans!$K$2:$K$300,"")," - ",_xlfn.XLOOKUP(D202,beans!$A$2:$A$300,beans!$L$2:$L$300,"")),IF(_xlpm.x=" /  - ","",_xlpm.x))</f>
        <v>吉瑪 利姆 / 果美村 - 寶貝藝妓</v>
      </c>
      <c r="AJ202" s="23" t="s">
        <v>467</v>
      </c>
    </row>
    <row r="203" spans="1:36" x14ac:dyDescent="0.3">
      <c r="A203">
        <v>186</v>
      </c>
      <c r="B203">
        <v>500</v>
      </c>
      <c r="E203" t="str">
        <f>_xlfn.LET(_xlpm.x,_xlfn.XLOOKUP(D203,beans!$A$2:$A$300,beans!$H$2:$H$300,""),IF(_xlpm.x="","",_xlpm.x))</f>
        <v/>
      </c>
      <c r="F203" s="22" t="str">
        <f>_xlfn.XLOOKUP(E203,menu!$A$2:$A$37,menu!$B$2:$B$37,"")</f>
        <v/>
      </c>
      <c r="G203" t="str">
        <f>_xlfn.XLOOKUP(E203,menu!$A$2:$A$37,menu!$C$2:$C$37,"")</f>
        <v/>
      </c>
      <c r="H203" t="str">
        <f>_xlfn.LET(_xlpm.x,_xlfn.XLOOKUP(_xlfn.XLOOKUP(D203,beans!$A$2:$A$300,beans!$I$2:$I$300),menu!$E$2:$E$20,menu!$F$2:$F$20),IF(_xlpm.x="","",_xlpm.x))</f>
        <v/>
      </c>
      <c r="T203" s="68" t="str">
        <f t="shared" si="38"/>
        <v/>
      </c>
      <c r="U203" t="str">
        <f t="shared" si="34"/>
        <v/>
      </c>
      <c r="V203">
        <f t="shared" si="39"/>
        <v>0</v>
      </c>
      <c r="W203" t="str">
        <f t="shared" si="35"/>
        <v/>
      </c>
      <c r="X203" s="19">
        <v>45361</v>
      </c>
      <c r="Z203" s="61">
        <v>0</v>
      </c>
      <c r="AB203" s="28" t="str">
        <f t="shared" si="36"/>
        <v xml:space="preserve"> </v>
      </c>
      <c r="AE203" s="61" t="str">
        <f t="shared" si="37"/>
        <v/>
      </c>
      <c r="AF203" s="77" t="str">
        <f>_xlfn.XLOOKUP(AD203,menu!$K$2:$K$9,menu!$J$2:$J$9,"",1)</f>
        <v/>
      </c>
      <c r="AG203" s="80" t="str">
        <f>_xlfn.XLOOKUP(AH203,menu!$O$2:$O$9,menu!$H$2:$H$9,"")</f>
        <v/>
      </c>
      <c r="AI203" t="str">
        <f>_xlfn.LET(_xlpm.x,_xlfn.CONCAT(_xlfn.XLOOKUP(D203,beans!$A$2:$A$300,beans!$J$2:$J$300,"")," / ",_xlfn.XLOOKUP(D203,beans!$A$2:$A$300,beans!$K$2:$K$300,"")," - ",_xlfn.XLOOKUP(D203,beans!$A$2:$A$300,beans!$L$2:$L$300,"")),IF(_xlpm.x=" /  - ","",_xlpm.x))</f>
        <v/>
      </c>
      <c r="AJ203" s="23" t="s">
        <v>468</v>
      </c>
    </row>
    <row r="204" spans="1:36" x14ac:dyDescent="0.3">
      <c r="A204">
        <v>187</v>
      </c>
      <c r="B204">
        <v>500</v>
      </c>
      <c r="E204" t="str">
        <f>_xlfn.LET(_xlpm.x,_xlfn.XLOOKUP(D204,beans!$A$2:$A$300,beans!$H$2:$H$300,""),IF(_xlpm.x="","",_xlpm.x))</f>
        <v/>
      </c>
      <c r="F204" s="22" t="str">
        <f>_xlfn.XLOOKUP(E204,menu!$A$2:$A$37,menu!$B$2:$B$37,"")</f>
        <v/>
      </c>
      <c r="G204" t="str">
        <f>_xlfn.XLOOKUP(E204,menu!$A$2:$A$37,menu!$C$2:$C$37,"")</f>
        <v/>
      </c>
      <c r="H204" t="str">
        <f>_xlfn.LET(_xlpm.x,_xlfn.XLOOKUP(_xlfn.XLOOKUP(D204,beans!$A$2:$A$300,beans!$I$2:$I$300),menu!$E$2:$E$20,menu!$F$2:$F$20),IF(_xlpm.x="","",_xlpm.x))</f>
        <v/>
      </c>
      <c r="T204" s="68" t="str">
        <f t="shared" si="38"/>
        <v/>
      </c>
      <c r="U204" t="str">
        <f t="shared" si="34"/>
        <v/>
      </c>
      <c r="V204">
        <f t="shared" si="39"/>
        <v>0</v>
      </c>
      <c r="W204" t="str">
        <f t="shared" si="35"/>
        <v/>
      </c>
      <c r="X204" s="19">
        <v>45361</v>
      </c>
      <c r="Z204" s="61">
        <v>0</v>
      </c>
      <c r="AB204" s="28" t="str">
        <f t="shared" si="36"/>
        <v xml:space="preserve"> </v>
      </c>
      <c r="AE204" s="61" t="str">
        <f t="shared" si="37"/>
        <v/>
      </c>
      <c r="AF204" s="77" t="str">
        <f>_xlfn.XLOOKUP(AD204,menu!$K$2:$K$9,menu!$J$2:$J$9,"",1)</f>
        <v/>
      </c>
      <c r="AG204" s="80" t="str">
        <f>_xlfn.XLOOKUP(AH204,menu!$O$2:$O$9,menu!$H$2:$H$9,"")</f>
        <v/>
      </c>
      <c r="AI204" t="str">
        <f>_xlfn.LET(_xlpm.x,_xlfn.CONCAT(_xlfn.XLOOKUP(D204,beans!$A$2:$A$300,beans!$J$2:$J$300,"")," / ",_xlfn.XLOOKUP(D204,beans!$A$2:$A$300,beans!$K$2:$K$300,"")," - ",_xlfn.XLOOKUP(D204,beans!$A$2:$A$300,beans!$L$2:$L$300,"")),IF(_xlpm.x=" /  - ","",_xlpm.x))</f>
        <v/>
      </c>
      <c r="AJ204" s="23" t="s">
        <v>469</v>
      </c>
    </row>
    <row r="205" spans="1:36" x14ac:dyDescent="0.3">
      <c r="A205">
        <v>188</v>
      </c>
      <c r="B205">
        <v>500</v>
      </c>
      <c r="E205" t="str">
        <f>_xlfn.LET(_xlpm.x,_xlfn.XLOOKUP(D205,beans!$A$2:$A$300,beans!$H$2:$H$300,""),IF(_xlpm.x="","",_xlpm.x))</f>
        <v/>
      </c>
      <c r="F205" s="22" t="str">
        <f>_xlfn.XLOOKUP(E205,menu!$A$2:$A$37,menu!$B$2:$B$37,"")</f>
        <v/>
      </c>
      <c r="G205" t="str">
        <f>_xlfn.XLOOKUP(E205,menu!$A$2:$A$37,menu!$C$2:$C$37,"")</f>
        <v/>
      </c>
      <c r="H205" t="str">
        <f>_xlfn.LET(_xlpm.x,_xlfn.XLOOKUP(_xlfn.XLOOKUP(D205,beans!$A$2:$A$300,beans!$I$2:$I$300),menu!$E$2:$E$20,menu!$F$2:$F$20),IF(_xlpm.x="","",_xlpm.x))</f>
        <v/>
      </c>
      <c r="T205" s="68" t="str">
        <f t="shared" si="38"/>
        <v/>
      </c>
      <c r="U205" t="str">
        <f t="shared" si="34"/>
        <v/>
      </c>
      <c r="V205">
        <f t="shared" si="39"/>
        <v>0</v>
      </c>
      <c r="W205" t="str">
        <f t="shared" si="35"/>
        <v/>
      </c>
      <c r="X205" s="19">
        <v>45361</v>
      </c>
      <c r="Z205" s="61">
        <v>0</v>
      </c>
      <c r="AB205" s="28" t="str">
        <f t="shared" si="36"/>
        <v xml:space="preserve"> </v>
      </c>
      <c r="AE205" s="61" t="str">
        <f t="shared" si="37"/>
        <v/>
      </c>
      <c r="AF205" s="77" t="str">
        <f>_xlfn.XLOOKUP(AD205,menu!$K$2:$K$9,menu!$J$2:$J$9,"",1)</f>
        <v/>
      </c>
      <c r="AG205" s="80" t="str">
        <f>_xlfn.XLOOKUP(AH205,menu!$O$2:$O$9,menu!$H$2:$H$9,"")</f>
        <v/>
      </c>
      <c r="AI205" t="str">
        <f>_xlfn.LET(_xlpm.x,_xlfn.CONCAT(_xlfn.XLOOKUP(D205,beans!$A$2:$A$300,beans!$J$2:$J$300,"")," / ",_xlfn.XLOOKUP(D205,beans!$A$2:$A$300,beans!$K$2:$K$300,"")," - ",_xlfn.XLOOKUP(D205,beans!$A$2:$A$300,beans!$L$2:$L$300,"")),IF(_xlpm.x=" /  - ","",_xlpm.x))</f>
        <v/>
      </c>
      <c r="AJ205" s="23" t="s">
        <v>470</v>
      </c>
    </row>
    <row r="206" spans="1:36" x14ac:dyDescent="0.3">
      <c r="A206">
        <v>189</v>
      </c>
      <c r="B206">
        <v>500</v>
      </c>
      <c r="E206" t="str">
        <f>_xlfn.LET(_xlpm.x,_xlfn.XLOOKUP(D206,beans!$A$2:$A$300,beans!$H$2:$H$300,""),IF(_xlpm.x="","",_xlpm.x))</f>
        <v/>
      </c>
      <c r="F206" s="22" t="str">
        <f>_xlfn.XLOOKUP(E206,menu!$A$2:$A$37,menu!$B$2:$B$37,"")</f>
        <v/>
      </c>
      <c r="G206" t="str">
        <f>_xlfn.XLOOKUP(E206,menu!$A$2:$A$37,menu!$C$2:$C$37,"")</f>
        <v/>
      </c>
      <c r="H206" t="str">
        <f>_xlfn.LET(_xlpm.x,_xlfn.XLOOKUP(_xlfn.XLOOKUP(D206,beans!$A$2:$A$300,beans!$I$2:$I$300),menu!$E$2:$E$20,menu!$F$2:$F$20),IF(_xlpm.x="","",_xlpm.x))</f>
        <v/>
      </c>
      <c r="T206" s="68" t="str">
        <f t="shared" si="38"/>
        <v/>
      </c>
      <c r="U206" t="str">
        <f t="shared" si="34"/>
        <v/>
      </c>
      <c r="V206">
        <f t="shared" si="39"/>
        <v>0</v>
      </c>
      <c r="W206" t="str">
        <f t="shared" si="35"/>
        <v/>
      </c>
      <c r="X206" s="19">
        <v>45361</v>
      </c>
      <c r="Z206" s="61">
        <v>0</v>
      </c>
      <c r="AB206" s="28" t="str">
        <f t="shared" si="36"/>
        <v xml:space="preserve"> </v>
      </c>
      <c r="AE206" s="61" t="str">
        <f t="shared" si="37"/>
        <v/>
      </c>
      <c r="AF206" s="77" t="str">
        <f>_xlfn.XLOOKUP(AD206,menu!$K$2:$K$9,menu!$J$2:$J$9,"",1)</f>
        <v/>
      </c>
      <c r="AG206" s="80" t="str">
        <f>_xlfn.XLOOKUP(AH206,menu!$O$2:$O$9,menu!$H$2:$H$9,"")</f>
        <v/>
      </c>
      <c r="AI206" t="str">
        <f>_xlfn.LET(_xlpm.x,_xlfn.CONCAT(_xlfn.XLOOKUP(D206,beans!$A$2:$A$300,beans!$J$2:$J$300,"")," / ",_xlfn.XLOOKUP(D206,beans!$A$2:$A$300,beans!$K$2:$K$300,"")," - ",_xlfn.XLOOKUP(D206,beans!$A$2:$A$300,beans!$L$2:$L$300,"")),IF(_xlpm.x=" /  - ","",_xlpm.x))</f>
        <v/>
      </c>
      <c r="AJ206" s="23" t="s">
        <v>471</v>
      </c>
    </row>
    <row r="207" spans="1:36" x14ac:dyDescent="0.3">
      <c r="A207">
        <v>190</v>
      </c>
      <c r="B207">
        <v>500</v>
      </c>
      <c r="E207" t="str">
        <f>_xlfn.LET(_xlpm.x,_xlfn.XLOOKUP(D207,beans!$A$2:$A$300,beans!$H$2:$H$300,""),IF(_xlpm.x="","",_xlpm.x))</f>
        <v/>
      </c>
      <c r="F207" s="22" t="str">
        <f>_xlfn.XLOOKUP(E207,menu!$A$2:$A$37,menu!$B$2:$B$37,"")</f>
        <v/>
      </c>
      <c r="G207" t="str">
        <f>_xlfn.XLOOKUP(E207,menu!$A$2:$A$37,menu!$C$2:$C$37,"")</f>
        <v/>
      </c>
      <c r="H207" t="str">
        <f>_xlfn.LET(_xlpm.x,_xlfn.XLOOKUP(_xlfn.XLOOKUP(D207,beans!$A$2:$A$300,beans!$I$2:$I$300),menu!$E$2:$E$20,menu!$F$2:$F$20),IF(_xlpm.x="","",_xlpm.x))</f>
        <v/>
      </c>
      <c r="T207" s="68" t="str">
        <f t="shared" si="38"/>
        <v/>
      </c>
      <c r="U207" t="str">
        <f t="shared" si="34"/>
        <v/>
      </c>
      <c r="V207">
        <f t="shared" si="39"/>
        <v>0</v>
      </c>
      <c r="W207" t="str">
        <f t="shared" si="35"/>
        <v/>
      </c>
      <c r="X207" s="19">
        <v>45361</v>
      </c>
      <c r="Z207" s="61">
        <v>0</v>
      </c>
      <c r="AB207" s="28" t="str">
        <f t="shared" si="36"/>
        <v xml:space="preserve"> </v>
      </c>
      <c r="AE207" s="61" t="str">
        <f t="shared" si="37"/>
        <v/>
      </c>
      <c r="AF207" s="77" t="str">
        <f>_xlfn.XLOOKUP(AD207,menu!$K$2:$K$9,menu!$J$2:$J$9,"",1)</f>
        <v/>
      </c>
      <c r="AG207" s="80" t="str">
        <f>_xlfn.XLOOKUP(AH207,menu!$O$2:$O$9,menu!$H$2:$H$9,"")</f>
        <v/>
      </c>
      <c r="AI207" t="str">
        <f>_xlfn.LET(_xlpm.x,_xlfn.CONCAT(_xlfn.XLOOKUP(D207,beans!$A$2:$A$300,beans!$J$2:$J$300,"")," / ",_xlfn.XLOOKUP(D207,beans!$A$2:$A$300,beans!$K$2:$K$300,"")," - ",_xlfn.XLOOKUP(D207,beans!$A$2:$A$300,beans!$L$2:$L$300,"")),IF(_xlpm.x=" /  - ","",_xlpm.x))</f>
        <v/>
      </c>
      <c r="AJ207" s="23" t="s">
        <v>472</v>
      </c>
    </row>
    <row r="208" spans="1:36" x14ac:dyDescent="0.3">
      <c r="A208">
        <v>191</v>
      </c>
      <c r="B208">
        <v>500</v>
      </c>
      <c r="E208" t="str">
        <f>_xlfn.LET(_xlpm.x,_xlfn.XLOOKUP(D208,beans!$A$2:$A$300,beans!$H$2:$H$300,""),IF(_xlpm.x="","",_xlpm.x))</f>
        <v/>
      </c>
      <c r="F208" s="22" t="str">
        <f>_xlfn.XLOOKUP(E208,menu!$A$2:$A$37,menu!$B$2:$B$37,"")</f>
        <v/>
      </c>
      <c r="G208" t="str">
        <f>_xlfn.XLOOKUP(E208,menu!$A$2:$A$37,menu!$C$2:$C$37,"")</f>
        <v/>
      </c>
      <c r="H208" t="str">
        <f>_xlfn.LET(_xlpm.x,_xlfn.XLOOKUP(_xlfn.XLOOKUP(D208,beans!$A$2:$A$300,beans!$I$2:$I$300),menu!$E$2:$E$20,menu!$F$2:$F$20),IF(_xlpm.x="","",_xlpm.x))</f>
        <v/>
      </c>
      <c r="T208" s="68" t="str">
        <f t="shared" si="38"/>
        <v/>
      </c>
      <c r="U208" t="str">
        <f t="shared" si="34"/>
        <v/>
      </c>
      <c r="V208">
        <f t="shared" si="39"/>
        <v>0</v>
      </c>
      <c r="W208" t="str">
        <f t="shared" si="35"/>
        <v/>
      </c>
      <c r="X208" s="19">
        <v>45361</v>
      </c>
      <c r="Z208" s="61">
        <v>0</v>
      </c>
      <c r="AB208" s="28" t="str">
        <f t="shared" si="36"/>
        <v xml:space="preserve"> </v>
      </c>
      <c r="AE208" s="61" t="str">
        <f t="shared" si="37"/>
        <v/>
      </c>
      <c r="AF208" s="77" t="str">
        <f>_xlfn.XLOOKUP(AD208,menu!$K$2:$K$9,menu!$J$2:$J$9,"",1)</f>
        <v/>
      </c>
      <c r="AG208" s="80" t="str">
        <f>_xlfn.XLOOKUP(AH208,menu!$O$2:$O$9,menu!$H$2:$H$9,"")</f>
        <v/>
      </c>
      <c r="AI208" t="str">
        <f>_xlfn.LET(_xlpm.x,_xlfn.CONCAT(_xlfn.XLOOKUP(D208,beans!$A$2:$A$300,beans!$J$2:$J$300,"")," / ",_xlfn.XLOOKUP(D208,beans!$A$2:$A$300,beans!$K$2:$K$300,"")," - ",_xlfn.XLOOKUP(D208,beans!$A$2:$A$300,beans!$L$2:$L$300,"")),IF(_xlpm.x=" /  - ","",_xlpm.x))</f>
        <v/>
      </c>
      <c r="AJ208" s="23" t="s">
        <v>473</v>
      </c>
    </row>
    <row r="209" spans="1:36" x14ac:dyDescent="0.3">
      <c r="A209">
        <v>192</v>
      </c>
      <c r="B209">
        <v>500</v>
      </c>
      <c r="E209" t="str">
        <f>_xlfn.LET(_xlpm.x,_xlfn.XLOOKUP(D209,beans!$A$2:$A$300,beans!$H$2:$H$300,""),IF(_xlpm.x="","",_xlpm.x))</f>
        <v/>
      </c>
      <c r="F209" s="22" t="str">
        <f>_xlfn.XLOOKUP(E209,menu!$A$2:$A$37,menu!$B$2:$B$37,"")</f>
        <v/>
      </c>
      <c r="G209" t="str">
        <f>_xlfn.XLOOKUP(E209,menu!$A$2:$A$37,menu!$C$2:$C$37,"")</f>
        <v/>
      </c>
      <c r="H209" t="str">
        <f>_xlfn.LET(_xlpm.x,_xlfn.XLOOKUP(_xlfn.XLOOKUP(D209,beans!$A$2:$A$300,beans!$I$2:$I$300),menu!$E$2:$E$20,menu!$F$2:$F$20),IF(_xlpm.x="","",_xlpm.x))</f>
        <v/>
      </c>
      <c r="T209" s="68" t="str">
        <f t="shared" si="38"/>
        <v/>
      </c>
      <c r="U209" t="str">
        <f t="shared" si="34"/>
        <v/>
      </c>
      <c r="V209">
        <f t="shared" si="39"/>
        <v>0</v>
      </c>
      <c r="W209" t="str">
        <f t="shared" si="35"/>
        <v/>
      </c>
      <c r="X209" s="19">
        <v>45361</v>
      </c>
      <c r="Z209" s="61">
        <v>0</v>
      </c>
      <c r="AB209" s="28" t="str">
        <f t="shared" si="36"/>
        <v xml:space="preserve"> </v>
      </c>
      <c r="AE209" s="61" t="str">
        <f t="shared" si="37"/>
        <v/>
      </c>
      <c r="AF209" s="77" t="str">
        <f>_xlfn.XLOOKUP(AD209,menu!$K$2:$K$9,menu!$J$2:$J$9,"",1)</f>
        <v/>
      </c>
      <c r="AG209" s="80" t="str">
        <f>_xlfn.XLOOKUP(AH209,menu!$O$2:$O$9,menu!$H$2:$H$9,"")</f>
        <v/>
      </c>
      <c r="AI209" t="str">
        <f>_xlfn.LET(_xlpm.x,_xlfn.CONCAT(_xlfn.XLOOKUP(D209,beans!$A$2:$A$300,beans!$J$2:$J$300,"")," / ",_xlfn.XLOOKUP(D209,beans!$A$2:$A$300,beans!$K$2:$K$300,"")," - ",_xlfn.XLOOKUP(D209,beans!$A$2:$A$300,beans!$L$2:$L$300,"")),IF(_xlpm.x=" /  - ","",_xlpm.x))</f>
        <v/>
      </c>
      <c r="AJ209" s="23" t="s">
        <v>474</v>
      </c>
    </row>
    <row r="210" spans="1:36" x14ac:dyDescent="0.3">
      <c r="A210">
        <v>193</v>
      </c>
      <c r="B210">
        <v>500</v>
      </c>
      <c r="E210" t="str">
        <f>_xlfn.LET(_xlpm.x,_xlfn.XLOOKUP(D210,beans!$A$2:$A$300,beans!$H$2:$H$300,""),IF(_xlpm.x="","",_xlpm.x))</f>
        <v/>
      </c>
      <c r="F210" s="22" t="str">
        <f>_xlfn.XLOOKUP(E210,menu!$A$2:$A$37,menu!$B$2:$B$37,"")</f>
        <v/>
      </c>
      <c r="G210" t="str">
        <f>_xlfn.XLOOKUP(E210,menu!$A$2:$A$37,menu!$C$2:$C$37,"")</f>
        <v/>
      </c>
      <c r="H210" t="str">
        <f>_xlfn.LET(_xlpm.x,_xlfn.XLOOKUP(_xlfn.XLOOKUP(D210,beans!$A$2:$A$300,beans!$I$2:$I$300),menu!$E$2:$E$20,menu!$F$2:$F$20),IF(_xlpm.x="","",_xlpm.x))</f>
        <v/>
      </c>
      <c r="T210" s="68" t="str">
        <f t="shared" si="38"/>
        <v/>
      </c>
      <c r="U210" t="str">
        <f t="shared" si="34"/>
        <v/>
      </c>
      <c r="V210">
        <f t="shared" si="39"/>
        <v>0</v>
      </c>
      <c r="W210" t="str">
        <f t="shared" si="35"/>
        <v/>
      </c>
      <c r="X210" s="19">
        <v>45361</v>
      </c>
      <c r="Z210" s="61">
        <v>0</v>
      </c>
      <c r="AB210" s="28" t="str">
        <f t="shared" si="36"/>
        <v xml:space="preserve"> </v>
      </c>
      <c r="AE210" s="61" t="str">
        <f t="shared" si="37"/>
        <v/>
      </c>
      <c r="AF210" s="77" t="str">
        <f>_xlfn.XLOOKUP(AD210,menu!$K$2:$K$9,menu!$J$2:$J$9,"",1)</f>
        <v/>
      </c>
      <c r="AG210" s="80" t="str">
        <f>_xlfn.XLOOKUP(AH210,menu!$O$2:$O$9,menu!$H$2:$H$9,"")</f>
        <v/>
      </c>
      <c r="AI210" t="str">
        <f>_xlfn.LET(_xlpm.x,_xlfn.CONCAT(_xlfn.XLOOKUP(D210,beans!$A$2:$A$300,beans!$J$2:$J$300,"")," / ",_xlfn.XLOOKUP(D210,beans!$A$2:$A$300,beans!$K$2:$K$300,"")," - ",_xlfn.XLOOKUP(D210,beans!$A$2:$A$300,beans!$L$2:$L$300,"")),IF(_xlpm.x=" /  - ","",_xlpm.x))</f>
        <v/>
      </c>
      <c r="AJ210" s="23" t="s">
        <v>475</v>
      </c>
    </row>
    <row r="211" spans="1:36" x14ac:dyDescent="0.3">
      <c r="A211">
        <v>194</v>
      </c>
      <c r="B211">
        <v>500</v>
      </c>
      <c r="E211" t="str">
        <f>_xlfn.LET(_xlpm.x,_xlfn.XLOOKUP(D211,beans!$A$2:$A$300,beans!$H$2:$H$300,""),IF(_xlpm.x="","",_xlpm.x))</f>
        <v/>
      </c>
      <c r="F211" s="22" t="str">
        <f>_xlfn.XLOOKUP(E211,menu!$A$2:$A$37,menu!$B$2:$B$37,"")</f>
        <v/>
      </c>
      <c r="G211" t="str">
        <f>_xlfn.XLOOKUP(E211,menu!$A$2:$A$37,menu!$C$2:$C$37,"")</f>
        <v/>
      </c>
      <c r="H211" t="str">
        <f>_xlfn.LET(_xlpm.x,_xlfn.XLOOKUP(_xlfn.XLOOKUP(D211,beans!$A$2:$A$300,beans!$I$2:$I$300),menu!$E$2:$E$20,menu!$F$2:$F$20),IF(_xlpm.x="","",_xlpm.x))</f>
        <v/>
      </c>
      <c r="T211" s="68" t="str">
        <f t="shared" si="38"/>
        <v/>
      </c>
      <c r="U211" t="str">
        <f t="shared" si="34"/>
        <v/>
      </c>
      <c r="V211">
        <f t="shared" si="39"/>
        <v>0</v>
      </c>
      <c r="W211" t="str">
        <f t="shared" si="35"/>
        <v/>
      </c>
      <c r="X211" s="19">
        <v>45361</v>
      </c>
      <c r="Z211" s="61">
        <v>0</v>
      </c>
      <c r="AB211" s="28" t="str">
        <f t="shared" si="36"/>
        <v xml:space="preserve"> </v>
      </c>
      <c r="AE211" s="61" t="str">
        <f t="shared" si="37"/>
        <v/>
      </c>
      <c r="AF211" s="77" t="str">
        <f>_xlfn.XLOOKUP(AD211,menu!$K$2:$K$9,menu!$J$2:$J$9,"",1)</f>
        <v/>
      </c>
      <c r="AG211" s="80" t="str">
        <f>_xlfn.XLOOKUP(AH211,menu!$O$2:$O$9,menu!$H$2:$H$9,"")</f>
        <v/>
      </c>
      <c r="AI211" t="str">
        <f>_xlfn.LET(_xlpm.x,_xlfn.CONCAT(_xlfn.XLOOKUP(D211,beans!$A$2:$A$300,beans!$J$2:$J$300,"")," / ",_xlfn.XLOOKUP(D211,beans!$A$2:$A$300,beans!$K$2:$K$300,"")," - ",_xlfn.XLOOKUP(D211,beans!$A$2:$A$300,beans!$L$2:$L$300,"")),IF(_xlpm.x=" /  - ","",_xlpm.x))</f>
        <v/>
      </c>
      <c r="AJ211" s="23" t="s">
        <v>476</v>
      </c>
    </row>
    <row r="212" spans="1:36" x14ac:dyDescent="0.3">
      <c r="A212">
        <v>195</v>
      </c>
      <c r="B212">
        <v>500</v>
      </c>
      <c r="E212" t="str">
        <f>_xlfn.LET(_xlpm.x,_xlfn.XLOOKUP(D212,beans!$A$2:$A$300,beans!$H$2:$H$300,""),IF(_xlpm.x="","",_xlpm.x))</f>
        <v/>
      </c>
      <c r="F212" s="22" t="str">
        <f>_xlfn.XLOOKUP(E212,menu!$A$2:$A$37,menu!$B$2:$B$37,"")</f>
        <v/>
      </c>
      <c r="G212" t="str">
        <f>_xlfn.XLOOKUP(E212,menu!$A$2:$A$37,menu!$C$2:$C$37,"")</f>
        <v/>
      </c>
      <c r="H212" t="str">
        <f>_xlfn.LET(_xlpm.x,_xlfn.XLOOKUP(_xlfn.XLOOKUP(D212,beans!$A$2:$A$300,beans!$I$2:$I$300),menu!$E$2:$E$20,menu!$F$2:$F$20),IF(_xlpm.x="","",_xlpm.x))</f>
        <v/>
      </c>
      <c r="T212" s="68" t="str">
        <f t="shared" si="38"/>
        <v/>
      </c>
      <c r="U212" t="str">
        <f t="shared" si="34"/>
        <v/>
      </c>
      <c r="V212">
        <f t="shared" si="39"/>
        <v>0</v>
      </c>
      <c r="W212" t="str">
        <f t="shared" si="35"/>
        <v/>
      </c>
      <c r="X212" s="19">
        <v>45361</v>
      </c>
      <c r="Z212" s="61">
        <v>0</v>
      </c>
      <c r="AB212" s="28" t="str">
        <f t="shared" si="36"/>
        <v xml:space="preserve"> </v>
      </c>
      <c r="AE212" s="61" t="str">
        <f t="shared" si="37"/>
        <v/>
      </c>
      <c r="AF212" s="77" t="str">
        <f>_xlfn.XLOOKUP(AD212,menu!$K$2:$K$9,menu!$J$2:$J$9,"",1)</f>
        <v/>
      </c>
      <c r="AG212" s="80" t="str">
        <f>_xlfn.XLOOKUP(AH212,menu!$O$2:$O$9,menu!$H$2:$H$9,"")</f>
        <v/>
      </c>
      <c r="AI212" t="str">
        <f>_xlfn.LET(_xlpm.x,_xlfn.CONCAT(_xlfn.XLOOKUP(D212,beans!$A$2:$A$300,beans!$J$2:$J$300,"")," / ",_xlfn.XLOOKUP(D212,beans!$A$2:$A$300,beans!$K$2:$K$300,"")," - ",_xlfn.XLOOKUP(D212,beans!$A$2:$A$300,beans!$L$2:$L$300,"")),IF(_xlpm.x=" /  - ","",_xlpm.x))</f>
        <v/>
      </c>
      <c r="AJ212" s="23" t="s">
        <v>477</v>
      </c>
    </row>
    <row r="213" spans="1:36" x14ac:dyDescent="0.3">
      <c r="A213">
        <v>196</v>
      </c>
      <c r="B213">
        <v>500</v>
      </c>
      <c r="D213">
        <v>6</v>
      </c>
      <c r="E213" t="str">
        <f>_xlfn.LET(_xlpm.x,_xlfn.XLOOKUP(D213,beans!$A$2:$A$300,beans!$H$2:$H$300,""),IF(_xlpm.x="","",_xlpm.x))</f>
        <v>肯亞</v>
      </c>
      <c r="F213" s="22" t="str">
        <f>_xlfn.XLOOKUP(E213,menu!$A$2:$A$37,menu!$B$2:$B$37,"")</f>
        <v>Kenya</v>
      </c>
      <c r="G213" t="str">
        <f>_xlfn.XLOOKUP(E213,menu!$A$2:$A$37,menu!$C$2:$C$37,"")</f>
        <v>ken</v>
      </c>
      <c r="H213" t="str">
        <f>_xlfn.LET(_xlpm.x,_xlfn.XLOOKUP(_xlfn.XLOOKUP(D213,beans!$A$2:$A$300,beans!$I$2:$I$300),menu!$E$2:$E$20,menu!$F$2:$F$20),IF(_xlpm.x="","",_xlpm.x))</f>
        <v>washed</v>
      </c>
      <c r="I213">
        <v>210</v>
      </c>
      <c r="J213">
        <v>90</v>
      </c>
      <c r="K213">
        <v>40</v>
      </c>
      <c r="L213">
        <v>90</v>
      </c>
      <c r="M213" s="68" t="s">
        <v>146</v>
      </c>
      <c r="N213">
        <v>85.2</v>
      </c>
      <c r="P213" s="67" t="s">
        <v>478</v>
      </c>
      <c r="Q213" s="68">
        <v>202</v>
      </c>
      <c r="R213" s="67" t="s">
        <v>479</v>
      </c>
      <c r="S213" s="68">
        <v>228.4</v>
      </c>
      <c r="T213" s="68">
        <f t="shared" si="38"/>
        <v>26.400000000000006</v>
      </c>
      <c r="U213">
        <f t="shared" si="34"/>
        <v>193</v>
      </c>
      <c r="V213">
        <f t="shared" si="39"/>
        <v>8.1999999999999993</v>
      </c>
      <c r="W213">
        <f t="shared" si="35"/>
        <v>31.48</v>
      </c>
      <c r="X213" s="19">
        <v>45368</v>
      </c>
      <c r="Y213" s="26">
        <v>415</v>
      </c>
      <c r="Z213" s="61">
        <v>0</v>
      </c>
      <c r="AB213" s="28">
        <f t="shared" si="36"/>
        <v>0.17</v>
      </c>
      <c r="AC213" s="110">
        <v>46.6</v>
      </c>
      <c r="AD213" s="26">
        <v>47.7</v>
      </c>
      <c r="AE213" s="61">
        <f t="shared" si="37"/>
        <v>1.1000000000000014</v>
      </c>
      <c r="AF213" s="77" t="str">
        <f>_xlfn.XLOOKUP(AD213,menu!$K$2:$K$9,menu!$J$2:$J$9,"",1)</f>
        <v>中深</v>
      </c>
      <c r="AG213" s="80" t="str">
        <f>_xlfn.XLOOKUP(AH213,menu!$O$2:$O$9,menu!$H$2:$H$9,"")</f>
        <v>City</v>
      </c>
      <c r="AH213" s="81" t="s">
        <v>480</v>
      </c>
      <c r="AI213" t="str">
        <f>_xlfn.LET(_xlpm.x,_xlfn.CONCAT(_xlfn.XLOOKUP(D213,beans!$A$2:$A$300,beans!$J$2:$J$300,"")," / ",_xlfn.XLOOKUP(D213,beans!$A$2:$A$300,beans!$K$2:$K$300,"")," - ",_xlfn.XLOOKUP(D213,beans!$A$2:$A$300,beans!$L$2:$L$300,"")),IF(_xlpm.x=" /  - ","",_xlpm.x))</f>
        <v>東非大裂谷產區 / 烏克栗栗/黑莓皇后 - SL28, SL34, 少許Ruiru以及Batian</v>
      </c>
      <c r="AJ213" s="23" t="s">
        <v>481</v>
      </c>
    </row>
    <row r="214" spans="1:36" x14ac:dyDescent="0.3">
      <c r="A214">
        <v>197</v>
      </c>
      <c r="B214">
        <v>500</v>
      </c>
      <c r="C214">
        <v>7</v>
      </c>
      <c r="D214">
        <v>55</v>
      </c>
      <c r="E214" t="str">
        <f>_xlfn.LET(_xlpm.x,_xlfn.XLOOKUP(D214,beans!$A$2:$A$300,beans!$H$2:$H$300,""),IF(_xlpm.x="","",_xlpm.x))</f>
        <v>衣索比亞</v>
      </c>
      <c r="F214" s="22" t="str">
        <f>_xlfn.XLOOKUP(E214,menu!$A$2:$A$37,menu!$B$2:$B$37,"")</f>
        <v>Ethiopia</v>
      </c>
      <c r="G214" t="str">
        <f>_xlfn.XLOOKUP(E214,menu!$A$2:$A$37,menu!$C$2:$C$37,"")</f>
        <v>eth</v>
      </c>
      <c r="H214" t="str">
        <f>_xlfn.LET(_xlpm.x,_xlfn.XLOOKUP(_xlfn.XLOOKUP(D214,beans!$A$2:$A$300,beans!$I$2:$I$300),menu!$E$2:$E$20,menu!$F$2:$F$20),IF(_xlpm.x="","",_xlpm.x))</f>
        <v>natural</v>
      </c>
      <c r="I214">
        <v>210</v>
      </c>
      <c r="J214">
        <v>85</v>
      </c>
      <c r="K214">
        <v>40</v>
      </c>
      <c r="L214">
        <v>90</v>
      </c>
      <c r="M214" s="68" t="s">
        <v>75</v>
      </c>
      <c r="N214">
        <v>81.5</v>
      </c>
      <c r="P214" s="67" t="s">
        <v>482</v>
      </c>
      <c r="Q214" s="68">
        <v>203.9</v>
      </c>
      <c r="R214" s="67" t="s">
        <v>204</v>
      </c>
      <c r="S214" s="68">
        <v>234</v>
      </c>
      <c r="T214" s="68">
        <f t="shared" si="38"/>
        <v>30.099999999999994</v>
      </c>
      <c r="U214">
        <f t="shared" si="34"/>
        <v>180</v>
      </c>
      <c r="V214">
        <f t="shared" si="39"/>
        <v>10</v>
      </c>
      <c r="W214">
        <f t="shared" si="35"/>
        <v>24.69</v>
      </c>
      <c r="X214" s="19">
        <v>45368</v>
      </c>
      <c r="Y214" s="26">
        <v>208.5</v>
      </c>
      <c r="Z214" s="61">
        <v>0</v>
      </c>
      <c r="AB214" s="28">
        <f t="shared" si="36"/>
        <v>0.58299999999999996</v>
      </c>
      <c r="AC214" s="110">
        <v>32.799999999999997</v>
      </c>
      <c r="AD214" s="26">
        <v>44.4</v>
      </c>
      <c r="AE214" s="61">
        <f t="shared" si="37"/>
        <v>11.600000000000001</v>
      </c>
      <c r="AF214" s="77" t="str">
        <f>_xlfn.XLOOKUP(AD214,menu!$K$2:$K$9,menu!$J$2:$J$9,"",1)</f>
        <v>中深</v>
      </c>
      <c r="AG214" s="80" t="str">
        <f>_xlfn.XLOOKUP(AH214,menu!$O$2:$O$9,menu!$H$2:$H$9,"")</f>
        <v>City</v>
      </c>
      <c r="AH214" s="81" t="s">
        <v>480</v>
      </c>
      <c r="AI214" t="str">
        <f>_xlfn.LET(_xlpm.x,_xlfn.CONCAT(_xlfn.XLOOKUP(D214,beans!$A$2:$A$300,beans!$J$2:$J$300,"")," / ",_xlfn.XLOOKUP(D214,beans!$A$2:$A$300,beans!$K$2:$K$300,"")," - ",_xlfn.XLOOKUP(D214,beans!$A$2:$A$300,beans!$L$2:$L$300,"")),IF(_xlpm.x=" /  - ","",_xlpm.x))</f>
        <v>歐若米亞 古吉 / 莎奇恰 - Heirloom</v>
      </c>
      <c r="AJ214" s="23" t="s">
        <v>483</v>
      </c>
    </row>
    <row r="215" spans="1:36" x14ac:dyDescent="0.3">
      <c r="A215">
        <v>198</v>
      </c>
      <c r="B215">
        <v>500</v>
      </c>
      <c r="C215">
        <v>5</v>
      </c>
      <c r="D215">
        <v>56</v>
      </c>
      <c r="E215" t="str">
        <f>_xlfn.LET(_xlpm.x,_xlfn.XLOOKUP(D215,beans!$A$2:$A$300,beans!$H$2:$H$300,""),IF(_xlpm.x="","",_xlpm.x))</f>
        <v>肯亞</v>
      </c>
      <c r="F215" s="22" t="str">
        <f>_xlfn.XLOOKUP(E215,menu!$A$2:$A$37,menu!$B$2:$B$37,"")</f>
        <v>Kenya</v>
      </c>
      <c r="G215" t="str">
        <f>_xlfn.XLOOKUP(E215,menu!$A$2:$A$37,menu!$C$2:$C$37,"")</f>
        <v>ken</v>
      </c>
      <c r="H215" t="str">
        <f>_xlfn.LET(_xlpm.x,_xlfn.XLOOKUP(_xlfn.XLOOKUP(D215,beans!$A$2:$A$300,beans!$I$2:$I$300),menu!$E$2:$E$20,menu!$F$2:$F$20),IF(_xlpm.x="","",_xlpm.x))</f>
        <v>washed</v>
      </c>
      <c r="I215">
        <v>200</v>
      </c>
      <c r="J215">
        <v>70</v>
      </c>
      <c r="K215">
        <v>40</v>
      </c>
      <c r="L215">
        <v>90</v>
      </c>
      <c r="M215" s="68" t="s">
        <v>213</v>
      </c>
      <c r="N215">
        <v>82.4</v>
      </c>
      <c r="P215" s="67" t="s">
        <v>484</v>
      </c>
      <c r="Q215" s="68">
        <v>197.5</v>
      </c>
      <c r="R215" s="67" t="s">
        <v>485</v>
      </c>
      <c r="S215" s="68">
        <v>231.6</v>
      </c>
      <c r="T215" s="68">
        <f t="shared" si="38"/>
        <v>34.099999999999994</v>
      </c>
      <c r="U215">
        <f t="shared" si="34"/>
        <v>172</v>
      </c>
      <c r="V215">
        <f t="shared" si="39"/>
        <v>11.9</v>
      </c>
      <c r="W215">
        <f t="shared" si="35"/>
        <v>21.1</v>
      </c>
      <c r="X215" s="19">
        <v>45368</v>
      </c>
      <c r="Y215" s="26">
        <v>416.4</v>
      </c>
      <c r="Z215" s="61">
        <v>0</v>
      </c>
      <c r="AB215" s="28">
        <f t="shared" si="36"/>
        <v>0.16720000000000004</v>
      </c>
      <c r="AC215" s="110">
        <v>45.8</v>
      </c>
      <c r="AD215" s="26">
        <v>43.7</v>
      </c>
      <c r="AE215" s="61">
        <f t="shared" si="37"/>
        <v>-2.0999999999999943</v>
      </c>
      <c r="AF215" s="77" t="str">
        <f>_xlfn.XLOOKUP(AD215,menu!$K$2:$K$9,menu!$J$2:$J$9,"",1)</f>
        <v>中深</v>
      </c>
      <c r="AG215" s="80" t="str">
        <f>_xlfn.XLOOKUP(AH215,menu!$O$2:$O$9,menu!$H$2:$H$9,"")</f>
        <v>Full City</v>
      </c>
      <c r="AH215" s="81" t="s">
        <v>486</v>
      </c>
      <c r="AI215" t="str">
        <f>_xlfn.LET(_xlpm.x,_xlfn.CONCAT(_xlfn.XLOOKUP(D215,beans!$A$2:$A$300,beans!$J$2:$J$300,"")," / ",_xlfn.XLOOKUP(D215,beans!$A$2:$A$300,beans!$K$2:$K$300,"")," - ",_xlfn.XLOOKUP(D215,beans!$A$2:$A$300,beans!$L$2:$L$300,"")),IF(_xlpm.x=" /  - ","",_xlpm.x))</f>
        <v xml:space="preserve">祁安布 / FAQ - </v>
      </c>
      <c r="AJ215" s="23" t="s">
        <v>487</v>
      </c>
    </row>
    <row r="216" spans="1:36" x14ac:dyDescent="0.3">
      <c r="A216">
        <v>199</v>
      </c>
      <c r="B216">
        <v>500</v>
      </c>
      <c r="D216">
        <v>40</v>
      </c>
      <c r="E216" t="str">
        <f>_xlfn.LET(_xlpm.x,_xlfn.XLOOKUP(D216,beans!$A$2:$A$300,beans!$H$2:$H$300,""),IF(_xlpm.x="","",_xlpm.x))</f>
        <v>巴西</v>
      </c>
      <c r="F216" s="22" t="str">
        <f>_xlfn.XLOOKUP(E216,menu!$A$2:$A$37,menu!$B$2:$B$37,"")</f>
        <v>Brazli</v>
      </c>
      <c r="G216" t="str">
        <f>_xlfn.XLOOKUP(E216,menu!$A$2:$A$37,menu!$C$2:$C$37,"")</f>
        <v>bra</v>
      </c>
      <c r="H216" t="str">
        <f>_xlfn.LET(_xlpm.x,_xlfn.XLOOKUP(_xlfn.XLOOKUP(D216,beans!$A$2:$A$300,beans!$I$2:$I$300),menu!$E$2:$E$20,menu!$F$2:$F$20),IF(_xlpm.x="","",_xlpm.x))</f>
        <v>natural</v>
      </c>
      <c r="I216">
        <v>200</v>
      </c>
      <c r="J216">
        <v>70</v>
      </c>
      <c r="K216">
        <v>40</v>
      </c>
      <c r="L216">
        <v>90</v>
      </c>
      <c r="M216" s="68" t="s">
        <v>229</v>
      </c>
      <c r="N216">
        <v>83.6</v>
      </c>
      <c r="P216" s="67" t="s">
        <v>488</v>
      </c>
      <c r="Q216" s="68">
        <v>201.7</v>
      </c>
      <c r="R216" s="67" t="s">
        <v>489</v>
      </c>
      <c r="S216" s="68">
        <v>240.9</v>
      </c>
      <c r="T216" s="68">
        <f t="shared" si="38"/>
        <v>39.200000000000017</v>
      </c>
      <c r="U216">
        <f t="shared" si="34"/>
        <v>232</v>
      </c>
      <c r="V216">
        <f t="shared" si="39"/>
        <v>10.1</v>
      </c>
      <c r="W216">
        <f t="shared" si="35"/>
        <v>26.98</v>
      </c>
      <c r="X216" s="19">
        <v>45368</v>
      </c>
      <c r="Y216" s="26">
        <v>398.7</v>
      </c>
      <c r="Z216" s="61">
        <v>0</v>
      </c>
      <c r="AB216" s="28">
        <f t="shared" si="36"/>
        <v>0.20260000000000003</v>
      </c>
      <c r="AC216" s="110">
        <v>24.5</v>
      </c>
      <c r="AD216" s="26">
        <v>45.8</v>
      </c>
      <c r="AE216" s="61">
        <f t="shared" si="37"/>
        <v>21.299999999999997</v>
      </c>
      <c r="AF216" s="77" t="str">
        <f>_xlfn.XLOOKUP(AD216,menu!$K$2:$K$9,menu!$J$2:$J$9,"",1)</f>
        <v>中深</v>
      </c>
      <c r="AG216" s="80" t="str">
        <f>_xlfn.XLOOKUP(AH216,menu!$O$2:$O$9,menu!$H$2:$H$9,"")</f>
        <v>French</v>
      </c>
      <c r="AH216" s="81" t="s">
        <v>490</v>
      </c>
      <c r="AI216" t="str">
        <f>_xlfn.LET(_xlpm.x,_xlfn.CONCAT(_xlfn.XLOOKUP(D216,beans!$A$2:$A$300,beans!$J$2:$J$300,"")," / ",_xlfn.XLOOKUP(D216,beans!$A$2:$A$300,beans!$K$2:$K$300,"")," - ",_xlfn.XLOOKUP(D216,beans!$A$2:$A$300,beans!$L$2:$L$300,"")),IF(_xlpm.x=" /  - ","",_xlpm.x))</f>
        <v xml:space="preserve"> / 巴烏莊園 維多莉亞農場 - Red Catuai</v>
      </c>
      <c r="AJ216" s="23" t="s">
        <v>483</v>
      </c>
    </row>
    <row r="217" spans="1:36" x14ac:dyDescent="0.3">
      <c r="A217">
        <v>200</v>
      </c>
      <c r="B217">
        <v>500</v>
      </c>
      <c r="D217">
        <v>47</v>
      </c>
      <c r="E217" t="str">
        <f>_xlfn.LET(_xlpm.x,_xlfn.XLOOKUP(D217,beans!$A$2:$A$300,beans!$H$2:$H$300,""),IF(_xlpm.x="","",_xlpm.x))</f>
        <v>衣索比亞</v>
      </c>
      <c r="F217" s="22" t="str">
        <f>_xlfn.XLOOKUP(E217,menu!$A$2:$A$37,menu!$B$2:$B$37,"")</f>
        <v>Ethiopia</v>
      </c>
      <c r="G217" t="str">
        <f>_xlfn.XLOOKUP(E217,menu!$A$2:$A$37,menu!$C$2:$C$37,"")</f>
        <v>eth</v>
      </c>
      <c r="H217" t="str">
        <f>_xlfn.LET(_xlpm.x,_xlfn.XLOOKUP(_xlfn.XLOOKUP(D217,beans!$A$2:$A$300,beans!$I$2:$I$300),menu!$E$2:$E$20,menu!$F$2:$F$20),IF(_xlpm.x="","",_xlpm.x))</f>
        <v>washed</v>
      </c>
      <c r="I217">
        <v>200</v>
      </c>
      <c r="J217">
        <v>70</v>
      </c>
      <c r="K217">
        <v>40</v>
      </c>
      <c r="L217">
        <v>90</v>
      </c>
      <c r="M217" s="68" t="s">
        <v>190</v>
      </c>
      <c r="N217">
        <v>76.3</v>
      </c>
      <c r="P217" s="67" t="s">
        <v>376</v>
      </c>
      <c r="Q217" s="68">
        <v>199.8</v>
      </c>
      <c r="R217" s="67" t="s">
        <v>491</v>
      </c>
      <c r="S217" s="68">
        <v>237</v>
      </c>
      <c r="T217" s="68">
        <f t="shared" si="38"/>
        <v>37.199999999999989</v>
      </c>
      <c r="U217">
        <f t="shared" si="34"/>
        <v>244</v>
      </c>
      <c r="V217">
        <f t="shared" si="39"/>
        <v>9.1</v>
      </c>
      <c r="W217">
        <f t="shared" si="35"/>
        <v>27.32</v>
      </c>
      <c r="X217" s="19">
        <v>45368</v>
      </c>
      <c r="Y217" s="26">
        <v>401.3</v>
      </c>
      <c r="Z217" s="61">
        <f>400-20-30-20-20-200-50-60</f>
        <v>0</v>
      </c>
      <c r="AB217" s="28">
        <f t="shared" si="36"/>
        <v>0.19739999999999996</v>
      </c>
      <c r="AE217" s="61" t="str">
        <f t="shared" si="37"/>
        <v/>
      </c>
      <c r="AF217" s="77" t="str">
        <f>_xlfn.XLOOKUP(AD217,menu!$K$2:$K$9,menu!$J$2:$J$9,"",1)</f>
        <v/>
      </c>
      <c r="AG217" s="80" t="str">
        <f>_xlfn.XLOOKUP(AH217,menu!$O$2:$O$9,menu!$H$2:$H$9,"")</f>
        <v>Full City</v>
      </c>
      <c r="AH217" s="81" t="s">
        <v>486</v>
      </c>
      <c r="AI217" t="str">
        <f>_xlfn.LET(_xlpm.x,_xlfn.CONCAT(_xlfn.XLOOKUP(D217,beans!$A$2:$A$300,beans!$J$2:$J$300,"")," / ",_xlfn.XLOOKUP(D217,beans!$A$2:$A$300,beans!$K$2:$K$300,"")," - ",_xlfn.XLOOKUP(D217,beans!$A$2:$A$300,beans!$L$2:$L$300,"")),IF(_xlpm.x=" /  - ","",_xlpm.x))</f>
        <v>吉馬莉姆 / 果美村 - 寶貝藝妓</v>
      </c>
      <c r="AJ217" s="23" t="s">
        <v>492</v>
      </c>
    </row>
    <row r="218" spans="1:36" x14ac:dyDescent="0.3">
      <c r="A218">
        <v>201</v>
      </c>
      <c r="B218">
        <v>250</v>
      </c>
      <c r="C218">
        <v>8</v>
      </c>
      <c r="D218">
        <v>54</v>
      </c>
      <c r="E218" t="str">
        <f>_xlfn.LET(_xlpm.x,_xlfn.XLOOKUP(D218,beans!$A$2:$A$300,beans!$H$2:$H$300,""),IF(_xlpm.x="","",_xlpm.x))</f>
        <v>哥斯大黎加</v>
      </c>
      <c r="F218" s="22" t="str">
        <f>_xlfn.XLOOKUP(E218,menu!$A$2:$A$37,menu!$B$2:$B$37,"")</f>
        <v>Costa Rica</v>
      </c>
      <c r="G218" t="str">
        <f>_xlfn.XLOOKUP(E218,menu!$A$2:$A$37,menu!$C$2:$C$37,"")</f>
        <v>cri</v>
      </c>
      <c r="H218" t="str">
        <f>_xlfn.LET(_xlpm.x,_xlfn.XLOOKUP(_xlfn.XLOOKUP(D218,beans!$A$2:$A$300,beans!$I$2:$I$300),menu!$E$2:$E$20,menu!$F$2:$F$20),IF(_xlpm.x="","",_xlpm.x))</f>
        <v>Anaerobic Washed</v>
      </c>
      <c r="I218">
        <v>200</v>
      </c>
      <c r="J218">
        <v>70</v>
      </c>
      <c r="K218">
        <v>40</v>
      </c>
      <c r="L218">
        <v>60</v>
      </c>
      <c r="M218" s="68" t="s">
        <v>190</v>
      </c>
      <c r="N218">
        <v>79.3</v>
      </c>
      <c r="P218" s="67" t="s">
        <v>274</v>
      </c>
      <c r="Q218" s="68">
        <v>200</v>
      </c>
      <c r="R218" s="67" t="s">
        <v>165</v>
      </c>
      <c r="S218" s="68">
        <v>208.3</v>
      </c>
      <c r="T218" s="68">
        <f t="shared" si="38"/>
        <v>8.3000000000000114</v>
      </c>
      <c r="U218">
        <f t="shared" si="34"/>
        <v>55</v>
      </c>
      <c r="V218">
        <f t="shared" si="39"/>
        <v>9.1</v>
      </c>
      <c r="W218">
        <f t="shared" si="35"/>
        <v>8.6300000000000008</v>
      </c>
      <c r="X218" s="19">
        <v>45368</v>
      </c>
      <c r="Y218" s="26">
        <v>221</v>
      </c>
      <c r="Z218" s="61">
        <v>0</v>
      </c>
      <c r="AB218" s="28">
        <f t="shared" si="36"/>
        <v>0.11600000000000001</v>
      </c>
      <c r="AC218" s="110">
        <v>62.1</v>
      </c>
      <c r="AD218" s="26">
        <v>82.4</v>
      </c>
      <c r="AE218" s="61">
        <f t="shared" si="37"/>
        <v>20.300000000000004</v>
      </c>
      <c r="AF218" s="77" t="str">
        <f>_xlfn.XLOOKUP(AD218,menu!$K$2:$K$9,menu!$J$2:$J$9,"",1)</f>
        <v>極淺</v>
      </c>
      <c r="AG218" s="80" t="str">
        <f>_xlfn.XLOOKUP(AH218,menu!$O$2:$O$9,menu!$H$2:$H$9,"")</f>
        <v>Cinamon</v>
      </c>
      <c r="AH218" s="81" t="s">
        <v>78</v>
      </c>
      <c r="AI218" t="str">
        <f>_xlfn.LET(_xlpm.x,_xlfn.CONCAT(_xlfn.XLOOKUP(D218,beans!$A$2:$A$300,beans!$J$2:$J$300,"")," / ",_xlfn.XLOOKUP(D218,beans!$A$2:$A$300,beans!$K$2:$K$300,"")," - ",_xlfn.XLOOKUP(D218,beans!$A$2:$A$300,beans!$L$2:$L$300,"")),IF(_xlpm.x=" /  - ","",_xlpm.x))</f>
        <v>塔拉珠 / 十里桃花 - Caturra</v>
      </c>
      <c r="AJ218" s="23" t="s">
        <v>493</v>
      </c>
    </row>
    <row r="219" spans="1:36" ht="32.4" x14ac:dyDescent="0.3">
      <c r="A219">
        <v>202</v>
      </c>
      <c r="B219">
        <v>250</v>
      </c>
      <c r="C219">
        <v>8</v>
      </c>
      <c r="D219">
        <v>3</v>
      </c>
      <c r="E219" t="str">
        <f>_xlfn.LET(_xlpm.x,_xlfn.XLOOKUP(D219,beans!$A$2:$A$300,beans!$H$2:$H$300,""),IF(_xlpm.x="","",_xlpm.x))</f>
        <v>衣索比亞</v>
      </c>
      <c r="F219" s="22" t="str">
        <f>_xlfn.XLOOKUP(E219,menu!$A$2:$A$37,menu!$B$2:$B$37,"")</f>
        <v>Ethiopia</v>
      </c>
      <c r="G219" t="str">
        <f>_xlfn.XLOOKUP(E219,menu!$A$2:$A$37,menu!$C$2:$C$37,"")</f>
        <v>eth</v>
      </c>
      <c r="H219" t="str">
        <f>_xlfn.LET(_xlpm.x,_xlfn.XLOOKUP(_xlfn.XLOOKUP(D219,beans!$A$2:$A$300,beans!$I$2:$I$300),menu!$E$2:$E$20,menu!$F$2:$F$20),IF(_xlpm.x="","",_xlpm.x))</f>
        <v>washed</v>
      </c>
      <c r="I219">
        <v>200</v>
      </c>
      <c r="J219">
        <v>70</v>
      </c>
      <c r="K219">
        <v>40</v>
      </c>
      <c r="L219">
        <v>60</v>
      </c>
      <c r="M219" s="68" t="s">
        <v>109</v>
      </c>
      <c r="N219">
        <v>83.5</v>
      </c>
      <c r="P219" s="67" t="s">
        <v>369</v>
      </c>
      <c r="Q219" s="68">
        <v>201.9</v>
      </c>
      <c r="R219" s="67" t="s">
        <v>441</v>
      </c>
      <c r="S219" s="68">
        <v>212.6</v>
      </c>
      <c r="T219" s="68">
        <f t="shared" si="38"/>
        <v>10.699999999999989</v>
      </c>
      <c r="U219">
        <f t="shared" si="34"/>
        <v>56</v>
      </c>
      <c r="V219">
        <f t="shared" si="39"/>
        <v>11.5</v>
      </c>
      <c r="W219">
        <f t="shared" si="35"/>
        <v>8.16</v>
      </c>
      <c r="X219" s="19">
        <v>45368</v>
      </c>
      <c r="Y219" s="26">
        <v>216</v>
      </c>
      <c r="Z219" s="61">
        <f>200-20-180</f>
        <v>0</v>
      </c>
      <c r="AB219" s="28">
        <f t="shared" si="36"/>
        <v>0.13600000000000001</v>
      </c>
      <c r="AC219" s="110">
        <v>65.5</v>
      </c>
      <c r="AD219" s="26">
        <v>76.099999999999994</v>
      </c>
      <c r="AE219" s="61">
        <f t="shared" si="37"/>
        <v>10.599999999999994</v>
      </c>
      <c r="AF219" s="77" t="str">
        <f>_xlfn.XLOOKUP(AD219,menu!$K$2:$K$9,menu!$J$2:$J$9,"",1)</f>
        <v>淺</v>
      </c>
      <c r="AG219" s="80" t="str">
        <f>_xlfn.XLOOKUP(AH219,menu!$O$2:$O$9,menu!$H$2:$H$9,"")</f>
        <v>Cinamon</v>
      </c>
      <c r="AH219" s="81" t="s">
        <v>78</v>
      </c>
      <c r="AI219" t="str">
        <f>_xlfn.LET(_xlpm.x,_xlfn.CONCAT(_xlfn.XLOOKUP(D219,beans!$A$2:$A$300,beans!$J$2:$J$300,"")," / ",_xlfn.XLOOKUP(D219,beans!$A$2:$A$300,beans!$K$2:$K$300,"")," - ",_xlfn.XLOOKUP(D219,beans!$A$2:$A$300,beans!$L$2:$L$300,"")),IF(_xlpm.x=" /  - ","",_xlpm.x))</f>
        <v>西達摩/西達馬 / 茉莉雅 - Heirloom</v>
      </c>
      <c r="AJ219" s="23" t="s">
        <v>494</v>
      </c>
    </row>
    <row r="220" spans="1:36" x14ac:dyDescent="0.3">
      <c r="A220">
        <v>203</v>
      </c>
      <c r="B220">
        <v>250</v>
      </c>
      <c r="C220">
        <v>6</v>
      </c>
      <c r="D220">
        <v>35</v>
      </c>
      <c r="E220" t="str">
        <f>_xlfn.LET(_xlpm.x,_xlfn.XLOOKUP(D220,beans!$A$2:$A$300,beans!$H$2:$H$300,""),IF(_xlpm.x="","",_xlpm.x))</f>
        <v>哥倫比亞</v>
      </c>
      <c r="F220" s="22" t="str">
        <f>_xlfn.XLOOKUP(E220,menu!$A$2:$A$37,menu!$B$2:$B$37,"")</f>
        <v>Colombia</v>
      </c>
      <c r="G220" t="str">
        <f>_xlfn.XLOOKUP(E220,menu!$A$2:$A$37,menu!$C$2:$C$37,"")</f>
        <v>col</v>
      </c>
      <c r="H220" t="str">
        <f>_xlfn.LET(_xlpm.x,_xlfn.XLOOKUP(_xlfn.XLOOKUP(D220,beans!$A$2:$A$300,beans!$I$2:$I$300),menu!$E$2:$E$20,menu!$F$2:$F$20),IF(_xlpm.x="","",_xlpm.x))</f>
        <v>Ice Fermentation Natural</v>
      </c>
      <c r="I220">
        <v>220</v>
      </c>
      <c r="J220">
        <v>85</v>
      </c>
      <c r="K220">
        <v>45</v>
      </c>
      <c r="L220">
        <v>70</v>
      </c>
      <c r="M220" s="68" t="s">
        <v>125</v>
      </c>
      <c r="N220">
        <v>95.5</v>
      </c>
      <c r="P220" s="67" t="s">
        <v>495</v>
      </c>
      <c r="Q220" s="68">
        <v>201.6</v>
      </c>
      <c r="R220" s="67" t="s">
        <v>496</v>
      </c>
      <c r="S220" s="68">
        <v>212.3</v>
      </c>
      <c r="T220" s="68">
        <f t="shared" si="38"/>
        <v>10.700000000000017</v>
      </c>
      <c r="U220">
        <f t="shared" si="34"/>
        <v>54</v>
      </c>
      <c r="V220">
        <f t="shared" si="39"/>
        <v>11.9</v>
      </c>
      <c r="W220">
        <f t="shared" si="35"/>
        <v>10.51</v>
      </c>
      <c r="X220" s="19">
        <v>45368</v>
      </c>
      <c r="Y220" s="26">
        <v>216</v>
      </c>
      <c r="Z220" s="61">
        <f>200-20-10-10-30-130</f>
        <v>0</v>
      </c>
      <c r="AB220" s="28">
        <f t="shared" si="36"/>
        <v>0.13600000000000001</v>
      </c>
      <c r="AC220" s="110">
        <v>34.6</v>
      </c>
      <c r="AD220" s="26">
        <v>56.7</v>
      </c>
      <c r="AE220" s="61">
        <f t="shared" si="37"/>
        <v>22.1</v>
      </c>
      <c r="AF220" s="77" t="str">
        <f>_xlfn.XLOOKUP(AD220,menu!$K$2:$K$9,menu!$J$2:$J$9,"",1)</f>
        <v>中</v>
      </c>
      <c r="AG220" s="80" t="str">
        <f>_xlfn.XLOOKUP(AH220,menu!$O$2:$O$9,menu!$H$2:$H$9,"")</f>
        <v>Cinamon</v>
      </c>
      <c r="AH220" s="81" t="s">
        <v>78</v>
      </c>
      <c r="AI220" t="str">
        <f>_xlfn.LET(_xlpm.x,_xlfn.CONCAT(_xlfn.XLOOKUP(D220,beans!$A$2:$A$300,beans!$J$2:$J$300,"")," / ",_xlfn.XLOOKUP(D220,beans!$A$2:$A$300,beans!$K$2:$K$300,"")," - ",_xlfn.XLOOKUP(D220,beans!$A$2:$A$300,beans!$L$2:$L$300,"")),IF(_xlpm.x=" /  - ","",_xlpm.x))</f>
        <v>San Agustin, Huila / 納維斯塔莊園 - 卡杜拉</v>
      </c>
      <c r="AJ220" s="23" t="s">
        <v>497</v>
      </c>
    </row>
    <row r="221" spans="1:36" x14ac:dyDescent="0.3">
      <c r="A221">
        <v>204</v>
      </c>
      <c r="B221">
        <v>500</v>
      </c>
      <c r="D221">
        <v>48</v>
      </c>
      <c r="E221" t="str">
        <f>_xlfn.LET(_xlpm.x,_xlfn.XLOOKUP(D221,beans!$A$2:$A$300,beans!$H$2:$H$300,""),IF(_xlpm.x="","",_xlpm.x))</f>
        <v>墨西哥</v>
      </c>
      <c r="F221" s="22" t="str">
        <f>_xlfn.XLOOKUP(E221,menu!$A$2:$A$37,menu!$B$2:$B$37,"")</f>
        <v>Mexico</v>
      </c>
      <c r="G221" t="str">
        <f>_xlfn.XLOOKUP(E221,menu!$A$2:$A$37,menu!$C$2:$C$37,"")</f>
        <v>mex</v>
      </c>
      <c r="H221" t="str">
        <f>_xlfn.LET(_xlpm.x,_xlfn.XLOOKUP(_xlfn.XLOOKUP(D221,beans!$A$2:$A$300,beans!$I$2:$I$300),menu!$E$2:$E$20,menu!$F$2:$F$20),IF(_xlpm.x="","",_xlpm.x))</f>
        <v>natural</v>
      </c>
      <c r="I221">
        <v>200</v>
      </c>
      <c r="J221">
        <v>85</v>
      </c>
      <c r="K221">
        <v>35</v>
      </c>
      <c r="L221">
        <v>90</v>
      </c>
      <c r="M221" s="68" t="s">
        <v>54</v>
      </c>
      <c r="N221">
        <v>81.900000000000006</v>
      </c>
      <c r="P221" s="67" t="s">
        <v>327</v>
      </c>
      <c r="Q221" s="68">
        <v>207.3</v>
      </c>
      <c r="R221" s="67" t="s">
        <v>123</v>
      </c>
      <c r="S221" s="68">
        <v>216</v>
      </c>
      <c r="T221" s="68">
        <f t="shared" si="38"/>
        <v>8.6999999999999886</v>
      </c>
      <c r="U221">
        <f t="shared" si="34"/>
        <v>51</v>
      </c>
      <c r="V221">
        <f t="shared" si="39"/>
        <v>10.199999999999999</v>
      </c>
      <c r="W221">
        <f t="shared" si="35"/>
        <v>7.8</v>
      </c>
      <c r="X221" s="19">
        <v>45378</v>
      </c>
      <c r="Y221" s="26">
        <v>417</v>
      </c>
      <c r="Z221" s="61">
        <v>0</v>
      </c>
      <c r="AB221" s="28">
        <f t="shared" si="36"/>
        <v>0.16600000000000001</v>
      </c>
      <c r="AC221" s="110">
        <v>47</v>
      </c>
      <c r="AD221" s="26">
        <v>62</v>
      </c>
      <c r="AE221" s="61">
        <f t="shared" si="37"/>
        <v>15</v>
      </c>
      <c r="AF221" s="77" t="str">
        <f>_xlfn.XLOOKUP(AD221,menu!$K$2:$K$9,menu!$J$2:$J$9,"",1)</f>
        <v>中淺</v>
      </c>
      <c r="AG221" s="80" t="str">
        <f>_xlfn.XLOOKUP(AH221,menu!$O$2:$O$9,menu!$H$2:$H$9,"")</f>
        <v>Cinamon</v>
      </c>
      <c r="AH221" s="81" t="s">
        <v>78</v>
      </c>
      <c r="AI221" t="str">
        <f>_xlfn.LET(_xlpm.x,_xlfn.CONCAT(_xlfn.XLOOKUP(D221,beans!$A$2:$A$300,beans!$J$2:$J$300,"")," / ",_xlfn.XLOOKUP(D221,beans!$A$2:$A$300,beans!$K$2:$K$300,"")," - ",_xlfn.XLOOKUP(D221,beans!$A$2:$A$300,beans!$L$2:$L$300,"")),IF(_xlpm.x=" /  - ","",_xlpm.x))</f>
        <v>拉斯瑪格麗塔斯 /  - Pache</v>
      </c>
      <c r="AJ221" s="23" t="s">
        <v>498</v>
      </c>
    </row>
    <row r="222" spans="1:36" x14ac:dyDescent="0.3">
      <c r="A222">
        <v>205</v>
      </c>
      <c r="B222">
        <v>500</v>
      </c>
      <c r="C222">
        <v>9</v>
      </c>
      <c r="D222">
        <v>54</v>
      </c>
      <c r="E222" t="str">
        <f>_xlfn.LET(_xlpm.x,_xlfn.XLOOKUP(D222,beans!$A$2:$A$300,beans!$H$2:$H$300,""),IF(_xlpm.x="","",_xlpm.x))</f>
        <v>哥斯大黎加</v>
      </c>
      <c r="F222" s="22" t="str">
        <f>_xlfn.XLOOKUP(E222,menu!$A$2:$A$37,menu!$B$2:$B$37,"")</f>
        <v>Costa Rica</v>
      </c>
      <c r="G222" t="str">
        <f>_xlfn.XLOOKUP(E222,menu!$A$2:$A$37,menu!$C$2:$C$37,"")</f>
        <v>cri</v>
      </c>
      <c r="H222" t="str">
        <f>_xlfn.LET(_xlpm.x,_xlfn.XLOOKUP(_xlfn.XLOOKUP(D222,beans!$A$2:$A$300,beans!$I$2:$I$300),menu!$E$2:$E$20,menu!$F$2:$F$20),IF(_xlpm.x="","",_xlpm.x))</f>
        <v>Anaerobic Washed</v>
      </c>
      <c r="I222">
        <v>200</v>
      </c>
      <c r="J222">
        <v>70</v>
      </c>
      <c r="K222">
        <v>35</v>
      </c>
      <c r="L222">
        <v>90</v>
      </c>
      <c r="M222" s="68" t="s">
        <v>190</v>
      </c>
      <c r="N222">
        <v>81.2</v>
      </c>
      <c r="P222" s="67" t="s">
        <v>376</v>
      </c>
      <c r="Q222" s="68">
        <v>201.4</v>
      </c>
      <c r="R222" s="67" t="s">
        <v>263</v>
      </c>
      <c r="S222" s="68">
        <v>209</v>
      </c>
      <c r="T222" s="68">
        <f t="shared" si="38"/>
        <v>7.5999999999999943</v>
      </c>
      <c r="U222">
        <f t="shared" si="34"/>
        <v>45</v>
      </c>
      <c r="V222">
        <f t="shared" si="39"/>
        <v>10.1</v>
      </c>
      <c r="W222">
        <f t="shared" si="35"/>
        <v>6.48</v>
      </c>
      <c r="X222" s="19">
        <v>45382</v>
      </c>
      <c r="Y222" s="26">
        <v>431.1</v>
      </c>
      <c r="Z222" s="61">
        <f>400-50-350</f>
        <v>0</v>
      </c>
      <c r="AB222" s="28">
        <f t="shared" si="36"/>
        <v>0.13779999999999995</v>
      </c>
      <c r="AC222" s="110">
        <v>55.4</v>
      </c>
      <c r="AD222" s="26">
        <v>81.5</v>
      </c>
      <c r="AE222" s="61">
        <f t="shared" si="37"/>
        <v>26.1</v>
      </c>
      <c r="AF222" s="77" t="str">
        <f>_xlfn.XLOOKUP(AD222,menu!$K$2:$K$9,menu!$J$2:$J$9,"",1)</f>
        <v>極淺</v>
      </c>
      <c r="AG222" s="80" t="str">
        <f>_xlfn.XLOOKUP(AH222,menu!$O$2:$O$9,menu!$H$2:$H$9,"")</f>
        <v>Cinamon</v>
      </c>
      <c r="AH222" s="81" t="s">
        <v>78</v>
      </c>
      <c r="AI222" t="str">
        <f>_xlfn.LET(_xlpm.x,_xlfn.CONCAT(_xlfn.XLOOKUP(D222,beans!$A$2:$A$300,beans!$J$2:$J$300,"")," / ",_xlfn.XLOOKUP(D222,beans!$A$2:$A$300,beans!$K$2:$K$300,"")," - ",_xlfn.XLOOKUP(D222,beans!$A$2:$A$300,beans!$L$2:$L$300,"")),IF(_xlpm.x=" /  - ","",_xlpm.x))</f>
        <v>塔拉珠 / 十里桃花 - Caturra</v>
      </c>
      <c r="AJ222" s="23" t="s">
        <v>499</v>
      </c>
    </row>
    <row r="223" spans="1:36" x14ac:dyDescent="0.3">
      <c r="A223">
        <v>206</v>
      </c>
      <c r="B223">
        <v>500</v>
      </c>
      <c r="C223">
        <v>7</v>
      </c>
      <c r="D223">
        <v>45</v>
      </c>
      <c r="E223" t="str">
        <f>_xlfn.LET(_xlpm.x,_xlfn.XLOOKUP(D223,beans!$A$2:$A$300,beans!$H$2:$H$300,""),IF(_xlpm.x="","",_xlpm.x))</f>
        <v>哥倫比亞</v>
      </c>
      <c r="F223" s="22" t="str">
        <f>_xlfn.XLOOKUP(E223,menu!$A$2:$A$37,menu!$B$2:$B$37,"")</f>
        <v>Colombia</v>
      </c>
      <c r="G223" t="str">
        <f>_xlfn.XLOOKUP(E223,menu!$A$2:$A$37,menu!$C$2:$C$37,"")</f>
        <v>col</v>
      </c>
      <c r="H223" t="str">
        <f>_xlfn.LET(_xlpm.x,_xlfn.XLOOKUP(_xlfn.XLOOKUP(D223,beans!$A$2:$A$300,beans!$I$2:$I$300),menu!$E$2:$E$20,menu!$F$2:$F$20),IF(_xlpm.x="","",_xlpm.x))</f>
        <v>Special</v>
      </c>
      <c r="I223">
        <v>200</v>
      </c>
      <c r="J223">
        <v>80</v>
      </c>
      <c r="K223">
        <v>35</v>
      </c>
      <c r="L223">
        <v>90</v>
      </c>
      <c r="M223" s="68" t="s">
        <v>217</v>
      </c>
      <c r="N223">
        <v>82.4</v>
      </c>
      <c r="P223" s="67" t="s">
        <v>412</v>
      </c>
      <c r="Q223" s="68">
        <v>206.6</v>
      </c>
      <c r="R223" s="67" t="s">
        <v>339</v>
      </c>
      <c r="S223" s="68">
        <v>219.2</v>
      </c>
      <c r="T223" s="68">
        <f t="shared" si="38"/>
        <v>12.599999999999994</v>
      </c>
      <c r="U223">
        <f t="shared" si="34"/>
        <v>81</v>
      </c>
      <c r="V223">
        <f t="shared" si="39"/>
        <v>9.3000000000000007</v>
      </c>
      <c r="W223">
        <f t="shared" si="35"/>
        <v>10.71</v>
      </c>
      <c r="X223" s="19">
        <v>45382</v>
      </c>
      <c r="Y223" s="26">
        <v>422.8</v>
      </c>
      <c r="Z223" s="61">
        <f>400-150-50-200</f>
        <v>0</v>
      </c>
      <c r="AB223" s="28">
        <f t="shared" si="36"/>
        <v>0.15439999999999998</v>
      </c>
      <c r="AC223" s="110">
        <v>48.6</v>
      </c>
      <c r="AD223" s="26">
        <v>64</v>
      </c>
      <c r="AE223" s="61">
        <f t="shared" si="37"/>
        <v>15.399999999999999</v>
      </c>
      <c r="AF223" s="77" t="str">
        <f>_xlfn.XLOOKUP(AD223,menu!$K$2:$K$9,menu!$J$2:$J$9,"",1)</f>
        <v>中淺</v>
      </c>
      <c r="AG223" s="80" t="str">
        <f>_xlfn.XLOOKUP(AH223,menu!$O$2:$O$9,menu!$H$2:$H$9,"")</f>
        <v>Cinamon</v>
      </c>
      <c r="AH223" s="81" t="s">
        <v>78</v>
      </c>
      <c r="AI223" t="str">
        <f>_xlfn.LET(_xlpm.x,_xlfn.CONCAT(_xlfn.XLOOKUP(D223,beans!$A$2:$A$300,beans!$J$2:$J$300,"")," / ",_xlfn.XLOOKUP(D223,beans!$A$2:$A$300,beans!$K$2:$K$300,"")," - ",_xlfn.XLOOKUP(D223,beans!$A$2:$A$300,beans!$L$2:$L$300,"")),IF(_xlpm.x=" /  - ","",_xlpm.x))</f>
        <v>薇拉省 / 蒙大布蘭蔻莊園 - 紫卡杜拉</v>
      </c>
      <c r="AJ223" s="23" t="s">
        <v>500</v>
      </c>
    </row>
    <row r="224" spans="1:36" x14ac:dyDescent="0.3">
      <c r="A224">
        <v>207</v>
      </c>
      <c r="B224">
        <v>500</v>
      </c>
      <c r="C224">
        <v>8</v>
      </c>
      <c r="D224">
        <v>15</v>
      </c>
      <c r="E224" t="str">
        <f>_xlfn.LET(_xlpm.x,_xlfn.XLOOKUP(D224,beans!$A$2:$A$300,beans!$H$2:$H$300,""),IF(_xlpm.x="","",_xlpm.x))</f>
        <v>衣索比亞</v>
      </c>
      <c r="F224" s="22" t="str">
        <f>_xlfn.XLOOKUP(E224,menu!$A$2:$A$37,menu!$B$2:$B$37,"")</f>
        <v>Ethiopia</v>
      </c>
      <c r="G224" t="str">
        <f>_xlfn.XLOOKUP(E224,menu!$A$2:$A$37,menu!$C$2:$C$37,"")</f>
        <v>eth</v>
      </c>
      <c r="H224" t="str">
        <f>_xlfn.LET(_xlpm.x,_xlfn.XLOOKUP(_xlfn.XLOOKUP(D224,beans!$A$2:$A$300,beans!$I$2:$I$300),menu!$E$2:$E$20,menu!$F$2:$F$20),IF(_xlpm.x="","",_xlpm.x))</f>
        <v>washed</v>
      </c>
      <c r="I224">
        <v>200</v>
      </c>
      <c r="J224">
        <v>70</v>
      </c>
      <c r="K224">
        <v>35</v>
      </c>
      <c r="L224">
        <v>90</v>
      </c>
      <c r="M224" s="68" t="s">
        <v>190</v>
      </c>
      <c r="N224">
        <v>82.1</v>
      </c>
      <c r="P224" s="67" t="s">
        <v>147</v>
      </c>
      <c r="Q224" s="68">
        <v>196.9</v>
      </c>
      <c r="R224" s="67" t="s">
        <v>299</v>
      </c>
      <c r="S224" s="68">
        <v>209.7</v>
      </c>
      <c r="T224" s="68">
        <f t="shared" si="38"/>
        <v>12.799999999999983</v>
      </c>
      <c r="U224">
        <f t="shared" si="34"/>
        <v>95</v>
      </c>
      <c r="V224">
        <f t="shared" si="39"/>
        <v>8.1</v>
      </c>
      <c r="W224">
        <f t="shared" si="35"/>
        <v>12.29</v>
      </c>
      <c r="X224" s="19">
        <v>45382</v>
      </c>
      <c r="Z224" s="61">
        <v>0</v>
      </c>
      <c r="AB224" s="28" t="str">
        <f t="shared" si="36"/>
        <v xml:space="preserve"> </v>
      </c>
      <c r="AE224" s="61" t="str">
        <f t="shared" si="37"/>
        <v/>
      </c>
      <c r="AF224" s="77" t="str">
        <f>_xlfn.XLOOKUP(AD224,menu!$K$2:$K$9,menu!$J$2:$J$9,"",1)</f>
        <v/>
      </c>
      <c r="AG224" s="80" t="str">
        <f>_xlfn.XLOOKUP(AH224,menu!$O$2:$O$9,menu!$H$2:$H$9,"")</f>
        <v>Cinamon</v>
      </c>
      <c r="AH224" s="81" t="s">
        <v>78</v>
      </c>
      <c r="AI224" t="str">
        <f>_xlfn.LET(_xlpm.x,_xlfn.CONCAT(_xlfn.XLOOKUP(D224,beans!$A$2:$A$300,beans!$J$2:$J$300,"")," / ",_xlfn.XLOOKUP(D224,beans!$A$2:$A$300,beans!$K$2:$K$300,"")," - ",_xlfn.XLOOKUP(D224,beans!$A$2:$A$300,beans!$L$2:$L$300,"")),IF(_xlpm.x=" /  - ","",_xlpm.x))</f>
        <v>班奇 馬吉 / 露西 - Geisha</v>
      </c>
      <c r="AJ224" s="23" t="s">
        <v>501</v>
      </c>
    </row>
    <row r="225" spans="1:36" x14ac:dyDescent="0.3">
      <c r="A225">
        <v>208</v>
      </c>
      <c r="B225">
        <v>500</v>
      </c>
      <c r="D225">
        <v>52</v>
      </c>
      <c r="E225" t="str">
        <f>_xlfn.LET(_xlpm.x,_xlfn.XLOOKUP(D225,beans!$A$2:$A$300,beans!$H$2:$H$300,""),IF(_xlpm.x="","",_xlpm.x))</f>
        <v>哥斯大黎加</v>
      </c>
      <c r="F225" s="22" t="str">
        <f>_xlfn.XLOOKUP(E225,menu!$A$2:$A$37,menu!$B$2:$B$37,"")</f>
        <v>Costa Rica</v>
      </c>
      <c r="G225" t="str">
        <f>_xlfn.XLOOKUP(E225,menu!$A$2:$A$37,menu!$C$2:$C$37,"")</f>
        <v>cri</v>
      </c>
      <c r="H225" t="str">
        <f>_xlfn.LET(_xlpm.x,_xlfn.XLOOKUP(_xlfn.XLOOKUP(D225,beans!$A$2:$A$300,beans!$I$2:$I$300),menu!$E$2:$E$20,menu!$F$2:$F$20),IF(_xlpm.x="","",_xlpm.x))</f>
        <v>raisin-honey</v>
      </c>
      <c r="I225">
        <v>200</v>
      </c>
      <c r="J225">
        <v>75</v>
      </c>
      <c r="K225">
        <v>35</v>
      </c>
      <c r="L225">
        <v>90</v>
      </c>
      <c r="M225" s="68" t="s">
        <v>157</v>
      </c>
      <c r="N225">
        <v>86.4</v>
      </c>
      <c r="P225" s="67" t="s">
        <v>82</v>
      </c>
      <c r="Q225" s="68">
        <v>201.9</v>
      </c>
      <c r="R225" s="67" t="s">
        <v>502</v>
      </c>
      <c r="S225" s="68">
        <v>212.1</v>
      </c>
      <c r="T225" s="68">
        <f t="shared" si="38"/>
        <v>10.199999999999989</v>
      </c>
      <c r="U225">
        <f t="shared" si="34"/>
        <v>57</v>
      </c>
      <c r="V225">
        <f t="shared" si="39"/>
        <v>10.7</v>
      </c>
      <c r="W225">
        <f t="shared" si="35"/>
        <v>7.89</v>
      </c>
      <c r="X225" s="19">
        <v>45382</v>
      </c>
      <c r="Z225" s="61">
        <v>0</v>
      </c>
      <c r="AB225" s="28" t="str">
        <f t="shared" si="36"/>
        <v xml:space="preserve"> </v>
      </c>
      <c r="AE225" s="61" t="str">
        <f t="shared" si="37"/>
        <v/>
      </c>
      <c r="AF225" s="77" t="str">
        <f>_xlfn.XLOOKUP(AD225,menu!$K$2:$K$9,menu!$J$2:$J$9,"",1)</f>
        <v/>
      </c>
      <c r="AG225" s="80" t="str">
        <f>_xlfn.XLOOKUP(AH225,menu!$O$2:$O$9,menu!$H$2:$H$9,"")</f>
        <v>Cinamon</v>
      </c>
      <c r="AH225" s="81" t="s">
        <v>78</v>
      </c>
      <c r="AI225" t="str">
        <f>_xlfn.LET(_xlpm.x,_xlfn.CONCAT(_xlfn.XLOOKUP(D225,beans!$A$2:$A$300,beans!$J$2:$J$300,"")," / ",_xlfn.XLOOKUP(D225,beans!$A$2:$A$300,beans!$K$2:$K$300,"")," - ",_xlfn.XLOOKUP(D225,beans!$A$2:$A$300,beans!$L$2:$L$300,"")),IF(_xlpm.x=" /  - ","",_xlpm.x))</f>
        <v xml:space="preserve"> / 蕭邦 - </v>
      </c>
      <c r="AJ225" s="23" t="s">
        <v>503</v>
      </c>
    </row>
    <row r="226" spans="1:36" x14ac:dyDescent="0.3">
      <c r="A226">
        <v>209</v>
      </c>
      <c r="B226">
        <v>250</v>
      </c>
      <c r="E226" t="s">
        <v>53</v>
      </c>
      <c r="F226" s="22" t="str">
        <f>_xlfn.XLOOKUP(E226,menu!$A$2:$A$37,menu!$B$2:$B$37,"")</f>
        <v>Ethiopia</v>
      </c>
      <c r="G226" t="str">
        <f>_xlfn.XLOOKUP(E226,menu!$A$2:$A$37,menu!$C$2:$C$37,"")</f>
        <v>eth</v>
      </c>
      <c r="H226" t="s">
        <v>59</v>
      </c>
      <c r="I226">
        <v>190</v>
      </c>
      <c r="J226">
        <v>75</v>
      </c>
      <c r="K226">
        <v>35</v>
      </c>
      <c r="L226">
        <v>75</v>
      </c>
      <c r="M226" s="68" t="s">
        <v>163</v>
      </c>
      <c r="N226">
        <v>85.5</v>
      </c>
      <c r="P226" s="67" t="s">
        <v>504</v>
      </c>
      <c r="Q226" s="68">
        <v>202.4</v>
      </c>
      <c r="R226" s="67" t="s">
        <v>433</v>
      </c>
      <c r="S226" s="68">
        <v>212</v>
      </c>
      <c r="T226" s="68">
        <f t="shared" si="38"/>
        <v>9.5999999999999943</v>
      </c>
      <c r="U226">
        <f t="shared" si="34"/>
        <v>65</v>
      </c>
      <c r="V226">
        <f t="shared" si="39"/>
        <v>8.9</v>
      </c>
      <c r="W226">
        <f t="shared" si="35"/>
        <v>9.5299999999999994</v>
      </c>
      <c r="X226" s="19">
        <v>45382</v>
      </c>
      <c r="Z226" s="61">
        <v>0</v>
      </c>
      <c r="AB226" s="28" t="str">
        <f t="shared" si="36"/>
        <v xml:space="preserve"> </v>
      </c>
      <c r="AE226" s="61" t="str">
        <f t="shared" si="37"/>
        <v/>
      </c>
      <c r="AF226" s="77" t="str">
        <f>_xlfn.XLOOKUP(AD226,menu!$K$2:$K$9,menu!$J$2:$J$9,"",1)</f>
        <v/>
      </c>
      <c r="AG226" s="80" t="str">
        <f>_xlfn.XLOOKUP(AH226,menu!$O$2:$O$9,menu!$H$2:$H$9,"")</f>
        <v>Cinamon</v>
      </c>
      <c r="AH226" s="81" t="s">
        <v>78</v>
      </c>
      <c r="AI226" t="s">
        <v>505</v>
      </c>
      <c r="AJ226" s="23" t="s">
        <v>503</v>
      </c>
    </row>
    <row r="227" spans="1:36" x14ac:dyDescent="0.3">
      <c r="A227">
        <v>210</v>
      </c>
      <c r="B227">
        <v>500</v>
      </c>
      <c r="E227" t="s">
        <v>43</v>
      </c>
      <c r="F227" s="22" t="str">
        <f>_xlfn.XLOOKUP(E227,menu!$A$2:$A$37,menu!$B$2:$B$37,"")</f>
        <v>Brazli</v>
      </c>
      <c r="G227" t="str">
        <f>_xlfn.XLOOKUP(E227,menu!$A$2:$A$37,menu!$C$2:$C$37,"")</f>
        <v>bra</v>
      </c>
      <c r="H227" t="str">
        <f>_xlfn.LET(_xlpm.x,_xlfn.XLOOKUP(_xlfn.XLOOKUP(D227,beans!$A$2:$A$300,beans!$I$2:$I$300),menu!$E$2:$E$20,menu!$F$2:$F$20),IF(_xlpm.x="","",_xlpm.x))</f>
        <v/>
      </c>
      <c r="I227">
        <v>190</v>
      </c>
      <c r="J227">
        <v>75</v>
      </c>
      <c r="K227">
        <v>43</v>
      </c>
      <c r="L227">
        <v>90</v>
      </c>
      <c r="M227" s="68" t="s">
        <v>54</v>
      </c>
      <c r="N227">
        <v>86</v>
      </c>
      <c r="P227" s="67" t="s">
        <v>47</v>
      </c>
      <c r="Q227" s="68">
        <v>206.7</v>
      </c>
      <c r="R227" s="67" t="s">
        <v>506</v>
      </c>
      <c r="S227" s="68">
        <v>227.1</v>
      </c>
      <c r="T227" s="68">
        <f t="shared" si="38"/>
        <v>20.400000000000006</v>
      </c>
      <c r="U227">
        <f t="shared" si="34"/>
        <v>115</v>
      </c>
      <c r="V227">
        <f t="shared" si="39"/>
        <v>10.6</v>
      </c>
      <c r="W227">
        <f t="shared" si="35"/>
        <v>14.45</v>
      </c>
      <c r="X227" s="19">
        <v>45382</v>
      </c>
      <c r="Z227" s="61">
        <v>0</v>
      </c>
      <c r="AB227" s="28" t="str">
        <f t="shared" si="36"/>
        <v xml:space="preserve"> </v>
      </c>
      <c r="AE227" s="61" t="str">
        <f t="shared" si="37"/>
        <v/>
      </c>
      <c r="AF227" s="77" t="str">
        <f>_xlfn.XLOOKUP(AD227,menu!$K$2:$K$9,menu!$J$2:$J$9,"",1)</f>
        <v/>
      </c>
      <c r="AG227" s="80" t="str">
        <f>_xlfn.XLOOKUP(AH227,menu!$O$2:$O$9,menu!$H$2:$H$9,"")</f>
        <v>Medium</v>
      </c>
      <c r="AH227" s="81" t="s">
        <v>72</v>
      </c>
      <c r="AI227" t="s">
        <v>507</v>
      </c>
      <c r="AJ227" s="23" t="s">
        <v>503</v>
      </c>
    </row>
    <row r="228" spans="1:36" x14ac:dyDescent="0.3">
      <c r="A228">
        <v>211</v>
      </c>
      <c r="B228">
        <v>500</v>
      </c>
      <c r="D228">
        <v>15</v>
      </c>
      <c r="E228" t="str">
        <f>_xlfn.LET(_xlpm.x,_xlfn.XLOOKUP(D228,beans!$A$2:$A$300,beans!$H$2:$H$300,""),IF(_xlpm.x="","",_xlpm.x))</f>
        <v>衣索比亞</v>
      </c>
      <c r="F228" s="22" t="str">
        <f>_xlfn.XLOOKUP(E228,menu!$A$2:$A$37,menu!$B$2:$B$37,"")</f>
        <v>Ethiopia</v>
      </c>
      <c r="G228" t="str">
        <f>_xlfn.XLOOKUP(E228,menu!$A$2:$A$37,menu!$C$2:$C$37,"")</f>
        <v>eth</v>
      </c>
      <c r="H228" t="str">
        <f>_xlfn.LET(_xlpm.x,_xlfn.XLOOKUP(_xlfn.XLOOKUP(D228,beans!$A$2:$A$300,beans!$I$2:$I$300),menu!$E$2:$E$20,menu!$F$2:$F$20),IF(_xlpm.x="","",_xlpm.x))</f>
        <v>washed</v>
      </c>
      <c r="I228">
        <v>200</v>
      </c>
      <c r="J228">
        <v>70</v>
      </c>
      <c r="K228">
        <v>35</v>
      </c>
      <c r="L228">
        <v>90</v>
      </c>
      <c r="M228" s="68" t="s">
        <v>190</v>
      </c>
      <c r="N228">
        <v>82.1</v>
      </c>
      <c r="P228" s="67" t="s">
        <v>147</v>
      </c>
      <c r="Q228" s="68">
        <v>196.9</v>
      </c>
      <c r="R228" s="67" t="s">
        <v>299</v>
      </c>
      <c r="S228" s="68">
        <v>209.7</v>
      </c>
      <c r="T228" s="68">
        <f t="shared" si="38"/>
        <v>12.799999999999983</v>
      </c>
      <c r="U228">
        <f t="shared" si="34"/>
        <v>95</v>
      </c>
      <c r="V228">
        <f t="shared" si="39"/>
        <v>8.1</v>
      </c>
      <c r="W228">
        <f t="shared" si="35"/>
        <v>12.29</v>
      </c>
      <c r="X228" s="19">
        <v>45382</v>
      </c>
      <c r="Z228" s="61">
        <v>0</v>
      </c>
      <c r="AB228" s="28" t="str">
        <f t="shared" si="36"/>
        <v xml:space="preserve"> </v>
      </c>
      <c r="AE228" s="61" t="str">
        <f t="shared" si="37"/>
        <v/>
      </c>
      <c r="AF228" s="77" t="str">
        <f>_xlfn.XLOOKUP(AD228,menu!$K$2:$K$9,menu!$J$2:$J$9,"",1)</f>
        <v/>
      </c>
      <c r="AG228" s="80" t="str">
        <f>_xlfn.XLOOKUP(AH228,menu!$O$2:$O$9,menu!$H$2:$H$9,"")</f>
        <v>Cinamon</v>
      </c>
      <c r="AH228" s="81" t="s">
        <v>78</v>
      </c>
      <c r="AI228" t="str">
        <f>_xlfn.LET(_xlpm.x,_xlfn.CONCAT(_xlfn.XLOOKUP(D228,beans!$A$2:$A$300,beans!$J$2:$J$300,"")," / ",_xlfn.XLOOKUP(D228,beans!$A$2:$A$300,beans!$K$2:$K$300,"")," - ",_xlfn.XLOOKUP(D228,beans!$A$2:$A$300,beans!$L$2:$L$300,"")),IF(_xlpm.x=" /  - ","",_xlpm.x))</f>
        <v>班奇 馬吉 / 露西 - Geisha</v>
      </c>
      <c r="AJ228" s="23" t="s">
        <v>508</v>
      </c>
    </row>
    <row r="229" spans="1:36" x14ac:dyDescent="0.3">
      <c r="A229">
        <v>212</v>
      </c>
      <c r="B229">
        <v>500</v>
      </c>
      <c r="C229">
        <v>8</v>
      </c>
      <c r="D229">
        <v>20</v>
      </c>
      <c r="E229" t="str">
        <f>_xlfn.LET(_xlpm.x,_xlfn.XLOOKUP(D229,beans!$A$2:$A$300,beans!$H$2:$H$300,""),IF(_xlpm.x="","",_xlpm.x))</f>
        <v>衣索比亞</v>
      </c>
      <c r="F229" s="22" t="str">
        <f>_xlfn.XLOOKUP(E229,menu!$A$2:$A$37,menu!$B$2:$B$37,"")</f>
        <v>Ethiopia</v>
      </c>
      <c r="G229" t="str">
        <f>_xlfn.XLOOKUP(E229,menu!$A$2:$A$37,menu!$C$2:$C$37,"")</f>
        <v>eth</v>
      </c>
      <c r="H229" t="str">
        <f>_xlfn.LET(_xlpm.x,_xlfn.XLOOKUP(_xlfn.XLOOKUP(D229,beans!$A$2:$A$300,beans!$I$2:$I$300),menu!$E$2:$E$20,menu!$F$2:$F$20),IF(_xlpm.x="","",_xlpm.x))</f>
        <v>washed</v>
      </c>
      <c r="I229">
        <v>200</v>
      </c>
      <c r="J229">
        <v>80</v>
      </c>
      <c r="K229">
        <v>40</v>
      </c>
      <c r="L229">
        <v>90</v>
      </c>
      <c r="M229" s="68" t="s">
        <v>157</v>
      </c>
      <c r="N229">
        <v>84.4</v>
      </c>
      <c r="P229" s="67" t="s">
        <v>509</v>
      </c>
      <c r="Q229" s="68">
        <v>198.5</v>
      </c>
      <c r="R229" s="67" t="s">
        <v>335</v>
      </c>
      <c r="S229" s="68">
        <v>210.4</v>
      </c>
      <c r="T229" s="68">
        <f t="shared" si="38"/>
        <v>11.900000000000006</v>
      </c>
      <c r="U229">
        <f t="shared" si="34"/>
        <v>74</v>
      </c>
      <c r="V229">
        <f t="shared" si="39"/>
        <v>9.6</v>
      </c>
      <c r="W229">
        <f t="shared" si="35"/>
        <v>10.36</v>
      </c>
      <c r="X229" s="19">
        <v>45386</v>
      </c>
      <c r="Y229" s="26">
        <v>412.6</v>
      </c>
      <c r="Z229" s="61">
        <v>0</v>
      </c>
      <c r="AB229" s="28">
        <f t="shared" si="36"/>
        <v>0.17479999999999996</v>
      </c>
      <c r="AC229" s="110">
        <v>66.599999999999994</v>
      </c>
      <c r="AD229" s="26">
        <v>83</v>
      </c>
      <c r="AE229" s="61">
        <f t="shared" si="37"/>
        <v>16.400000000000006</v>
      </c>
      <c r="AF229" s="77" t="str">
        <f>_xlfn.XLOOKUP(AD229,menu!$K$2:$K$9,menu!$J$2:$J$9,"",1)</f>
        <v>極淺</v>
      </c>
      <c r="AG229" s="80" t="str">
        <f>_xlfn.XLOOKUP(AH229,menu!$O$2:$O$9,menu!$H$2:$H$9,"")</f>
        <v>Cinamon</v>
      </c>
      <c r="AH229" s="81" t="s">
        <v>78</v>
      </c>
      <c r="AI229" t="str">
        <f>_xlfn.LET(_xlpm.x,_xlfn.CONCAT(_xlfn.XLOOKUP(D229,beans!$A$2:$A$300,beans!$J$2:$J$300,"")," / ",_xlfn.XLOOKUP(D229,beans!$A$2:$A$300,beans!$K$2:$K$300,"")," - ",_xlfn.XLOOKUP(D229,beans!$A$2:$A$300,beans!$L$2:$L$300,"")),IF(_xlpm.x=" /  - ","",_xlpm.x))</f>
        <v>古吉 / 蔻薩村 格蕾娜 - Geisha</v>
      </c>
      <c r="AJ229" s="23" t="s">
        <v>510</v>
      </c>
    </row>
    <row r="230" spans="1:36" x14ac:dyDescent="0.3">
      <c r="A230">
        <v>213</v>
      </c>
      <c r="B230">
        <v>500</v>
      </c>
      <c r="D230">
        <v>26</v>
      </c>
      <c r="E230" t="str">
        <f>_xlfn.LET(_xlpm.x,_xlfn.XLOOKUP(D230,beans!$A$2:$A$300,beans!$H$2:$H$300,""),IF(_xlpm.x="","",_xlpm.x))</f>
        <v>肯亞</v>
      </c>
      <c r="F230" s="22" t="str">
        <f>_xlfn.XLOOKUP(E230,menu!$A$2:$A$37,menu!$B$2:$B$37,"")</f>
        <v>Kenya</v>
      </c>
      <c r="G230" t="str">
        <f>_xlfn.XLOOKUP(E230,menu!$A$2:$A$37,menu!$C$2:$C$37,"")</f>
        <v>ken</v>
      </c>
      <c r="H230" t="str">
        <f>_xlfn.LET(_xlpm.x,_xlfn.XLOOKUP(_xlfn.XLOOKUP(D230,beans!$A$2:$A$300,beans!$I$2:$I$300),menu!$E$2:$E$20,menu!$F$2:$F$20),IF(_xlpm.x="","",_xlpm.x))</f>
        <v>washed</v>
      </c>
      <c r="I230">
        <v>200</v>
      </c>
      <c r="J230">
        <v>80</v>
      </c>
      <c r="K230">
        <v>40</v>
      </c>
      <c r="L230">
        <v>90</v>
      </c>
      <c r="M230" s="68" t="s">
        <v>190</v>
      </c>
      <c r="N230">
        <v>82.7</v>
      </c>
      <c r="P230" s="67" t="s">
        <v>295</v>
      </c>
      <c r="Q230" s="68">
        <v>200</v>
      </c>
      <c r="R230" s="67" t="s">
        <v>199</v>
      </c>
      <c r="S230" s="68">
        <v>219.3</v>
      </c>
      <c r="T230" s="68">
        <f t="shared" si="38"/>
        <v>19.300000000000011</v>
      </c>
      <c r="U230">
        <f t="shared" si="34"/>
        <v>119</v>
      </c>
      <c r="V230">
        <f t="shared" si="39"/>
        <v>9.6999999999999993</v>
      </c>
      <c r="W230">
        <f t="shared" si="35"/>
        <v>16.57</v>
      </c>
      <c r="X230" s="19">
        <v>45386</v>
      </c>
      <c r="Y230" s="26">
        <v>424.6</v>
      </c>
      <c r="Z230" s="61">
        <v>0</v>
      </c>
      <c r="AB230" s="28">
        <f t="shared" si="36"/>
        <v>0.15079999999999996</v>
      </c>
      <c r="AC230" s="110">
        <v>44.4</v>
      </c>
      <c r="AD230" s="26">
        <v>58.3</v>
      </c>
      <c r="AE230" s="61">
        <f t="shared" si="37"/>
        <v>13.899999999999999</v>
      </c>
      <c r="AF230" s="77" t="str">
        <f>_xlfn.XLOOKUP(AD230,menu!$K$2:$K$9,menu!$J$2:$J$9,"",1)</f>
        <v>中</v>
      </c>
      <c r="AG230" s="80" t="str">
        <f>_xlfn.XLOOKUP(AH230,menu!$O$2:$O$9,menu!$H$2:$H$9,"")</f>
        <v>Medium</v>
      </c>
      <c r="AH230" s="81" t="s">
        <v>72</v>
      </c>
      <c r="AI230" t="str">
        <f>_xlfn.LET(_xlpm.x,_xlfn.CONCAT(_xlfn.XLOOKUP(D230,beans!$A$2:$A$300,beans!$J$2:$J$300,"")," / ",_xlfn.XLOOKUP(D230,beans!$A$2:$A$300,beans!$K$2:$K$300,"")," - ",_xlfn.XLOOKUP(D230,beans!$A$2:$A$300,beans!$L$2:$L$300,"")),IF(_xlpm.x=" /  - ","",_xlpm.x))</f>
        <v>恩布 / 吉查羅利 - SL28 / Ruiru 11 / Batian</v>
      </c>
      <c r="AJ230" s="23" t="s">
        <v>511</v>
      </c>
    </row>
    <row r="231" spans="1:36" x14ac:dyDescent="0.3">
      <c r="A231">
        <v>214</v>
      </c>
      <c r="B231">
        <v>500</v>
      </c>
      <c r="D231">
        <v>47</v>
      </c>
      <c r="E231" t="str">
        <f>_xlfn.LET(_xlpm.x,_xlfn.XLOOKUP(D231,beans!$A$2:$A$300,beans!$H$2:$H$300,""),IF(_xlpm.x="","",_xlpm.x))</f>
        <v>衣索比亞</v>
      </c>
      <c r="F231" s="22" t="str">
        <f>_xlfn.XLOOKUP(E231,menu!$A$2:$A$37,menu!$B$2:$B$37,"")</f>
        <v>Ethiopia</v>
      </c>
      <c r="G231" t="str">
        <f>_xlfn.XLOOKUP(E231,menu!$A$2:$A$37,menu!$C$2:$C$37,"")</f>
        <v>eth</v>
      </c>
      <c r="H231" t="str">
        <f>_xlfn.LET(_xlpm.x,_xlfn.XLOOKUP(_xlfn.XLOOKUP(D231,beans!$A$2:$A$300,beans!$I$2:$I$300),menu!$E$2:$E$20,menu!$F$2:$F$20),IF(_xlpm.x="","",_xlpm.x))</f>
        <v>washed</v>
      </c>
      <c r="I231">
        <v>200</v>
      </c>
      <c r="J231">
        <v>80</v>
      </c>
      <c r="K231">
        <v>40</v>
      </c>
      <c r="L231">
        <v>90</v>
      </c>
      <c r="M231" s="68" t="s">
        <v>75</v>
      </c>
      <c r="N231">
        <v>86.7</v>
      </c>
      <c r="P231" s="67" t="s">
        <v>512</v>
      </c>
      <c r="Q231" s="68">
        <v>198.5</v>
      </c>
      <c r="R231" s="67" t="s">
        <v>365</v>
      </c>
      <c r="S231" s="68">
        <v>210.1</v>
      </c>
      <c r="T231" s="68">
        <f t="shared" si="38"/>
        <v>11.599999999999994</v>
      </c>
      <c r="U231">
        <f t="shared" si="34"/>
        <v>78</v>
      </c>
      <c r="V231">
        <f t="shared" si="39"/>
        <v>8.9</v>
      </c>
      <c r="W231">
        <f t="shared" si="35"/>
        <v>11.76</v>
      </c>
      <c r="X231" s="19">
        <v>45386</v>
      </c>
      <c r="Y231" s="26">
        <v>432.6</v>
      </c>
      <c r="Z231" s="61">
        <f>200-145-55</f>
        <v>0</v>
      </c>
      <c r="AB231" s="28">
        <f t="shared" si="36"/>
        <v>0.13479999999999995</v>
      </c>
      <c r="AC231" s="110">
        <v>60.6</v>
      </c>
      <c r="AD231" s="26">
        <v>76.099999999999994</v>
      </c>
      <c r="AE231" s="61">
        <f t="shared" si="37"/>
        <v>15.499999999999993</v>
      </c>
      <c r="AF231" s="77" t="str">
        <f>_xlfn.XLOOKUP(AD231,menu!$K$2:$K$9,menu!$J$2:$J$9,"",1)</f>
        <v>淺</v>
      </c>
      <c r="AG231" s="80" t="str">
        <f>_xlfn.XLOOKUP(AH231,menu!$O$2:$O$9,menu!$H$2:$H$9,"")</f>
        <v>Cinamon</v>
      </c>
      <c r="AH231" s="81" t="s">
        <v>78</v>
      </c>
      <c r="AI231" t="str">
        <f>_xlfn.LET(_xlpm.x,_xlfn.CONCAT(_xlfn.XLOOKUP(D231,beans!$A$2:$A$300,beans!$J$2:$J$300,"")," / ",_xlfn.XLOOKUP(D231,beans!$A$2:$A$300,beans!$K$2:$K$300,"")," - ",_xlfn.XLOOKUP(D231,beans!$A$2:$A$300,beans!$L$2:$L$300,"")),IF(_xlpm.x=" /  - ","",_xlpm.x))</f>
        <v>吉馬莉姆 / 果美村 - 寶貝藝妓</v>
      </c>
      <c r="AJ231" s="23" t="s">
        <v>513</v>
      </c>
    </row>
    <row r="232" spans="1:36" x14ac:dyDescent="0.3">
      <c r="A232">
        <v>215</v>
      </c>
      <c r="B232">
        <v>500</v>
      </c>
      <c r="D232">
        <v>45</v>
      </c>
      <c r="E232" t="str">
        <f>_xlfn.LET(_xlpm.x,_xlfn.XLOOKUP(D232,beans!$A$2:$A$300,beans!$H$2:$H$300,""),IF(_xlpm.x="","",_xlpm.x))</f>
        <v>哥倫比亞</v>
      </c>
      <c r="F232" s="22" t="str">
        <f>_xlfn.XLOOKUP(E232,menu!$A$2:$A$37,menu!$B$2:$B$37,"")</f>
        <v>Colombia</v>
      </c>
      <c r="G232" t="str">
        <f>_xlfn.XLOOKUP(E232,menu!$A$2:$A$37,menu!$C$2:$C$37,"")</f>
        <v>col</v>
      </c>
      <c r="H232" t="str">
        <f>_xlfn.LET(_xlpm.x,_xlfn.XLOOKUP(_xlfn.XLOOKUP(D232,beans!$A$2:$A$300,beans!$I$2:$I$300),menu!$E$2:$E$20,menu!$F$2:$F$20),IF(_xlpm.x="","",_xlpm.x))</f>
        <v>Special</v>
      </c>
      <c r="I232">
        <v>200</v>
      </c>
      <c r="J232">
        <v>80</v>
      </c>
      <c r="K232">
        <v>40</v>
      </c>
      <c r="L232">
        <v>90</v>
      </c>
      <c r="M232" s="68" t="s">
        <v>217</v>
      </c>
      <c r="N232">
        <v>89</v>
      </c>
      <c r="P232" s="67" t="s">
        <v>386</v>
      </c>
      <c r="Q232" s="68">
        <v>206.9</v>
      </c>
      <c r="R232" s="67" t="s">
        <v>418</v>
      </c>
      <c r="S232" s="68">
        <v>220.4</v>
      </c>
      <c r="T232" s="68">
        <f t="shared" si="38"/>
        <v>13.5</v>
      </c>
      <c r="U232">
        <f t="shared" si="34"/>
        <v>61</v>
      </c>
      <c r="V232">
        <f t="shared" si="39"/>
        <v>13.3</v>
      </c>
      <c r="W232">
        <f t="shared" si="35"/>
        <v>8.41</v>
      </c>
      <c r="X232" s="19">
        <v>45386</v>
      </c>
      <c r="Y232" s="26">
        <v>424.7</v>
      </c>
      <c r="Z232" s="61">
        <f>200-200</f>
        <v>0</v>
      </c>
      <c r="AB232" s="28">
        <f t="shared" si="36"/>
        <v>0.15060000000000001</v>
      </c>
      <c r="AC232" s="110">
        <v>46.1</v>
      </c>
      <c r="AD232" s="26">
        <v>63.4</v>
      </c>
      <c r="AE232" s="61">
        <f t="shared" si="37"/>
        <v>17.299999999999997</v>
      </c>
      <c r="AF232" s="77" t="str">
        <f>_xlfn.XLOOKUP(AD232,menu!$K$2:$K$9,menu!$J$2:$J$9,"",1)</f>
        <v>中淺</v>
      </c>
      <c r="AG232" s="80" t="str">
        <f>_xlfn.XLOOKUP(AH232,menu!$O$2:$O$9,menu!$H$2:$H$9,"")</f>
        <v>Medium</v>
      </c>
      <c r="AH232" s="81" t="s">
        <v>72</v>
      </c>
      <c r="AI232" t="str">
        <f>_xlfn.LET(_xlpm.x,_xlfn.CONCAT(_xlfn.XLOOKUP(D232,beans!$A$2:$A$300,beans!$J$2:$J$300,"")," / ",_xlfn.XLOOKUP(D232,beans!$A$2:$A$300,beans!$K$2:$K$300,"")," - ",_xlfn.XLOOKUP(D232,beans!$A$2:$A$300,beans!$L$2:$L$300,"")),IF(_xlpm.x=" /  - ","",_xlpm.x))</f>
        <v>薇拉省 / 蒙大布蘭蔻莊園 - 紫卡杜拉</v>
      </c>
      <c r="AJ232" s="23" t="s">
        <v>514</v>
      </c>
    </row>
    <row r="233" spans="1:36" x14ac:dyDescent="0.3">
      <c r="A233">
        <v>216</v>
      </c>
      <c r="B233">
        <v>250</v>
      </c>
      <c r="D233">
        <v>2</v>
      </c>
      <c r="E233" t="str">
        <f>_xlfn.LET(_xlpm.x,_xlfn.XLOOKUP(D233,beans!$A$2:$A$300,beans!$H$2:$H$300,""),IF(_xlpm.x="","",_xlpm.x))</f>
        <v>哥斯大黎加</v>
      </c>
      <c r="F233" s="22" t="str">
        <f>_xlfn.XLOOKUP(E233,menu!$A$2:$A$37,menu!$B$2:$B$37,"")</f>
        <v>Costa Rica</v>
      </c>
      <c r="G233" t="str">
        <f>_xlfn.XLOOKUP(E233,menu!$A$2:$A$37,menu!$C$2:$C$37,"")</f>
        <v>cri</v>
      </c>
      <c r="H233" t="str">
        <f>_xlfn.LET(_xlpm.x,_xlfn.XLOOKUP(_xlfn.XLOOKUP(D233,beans!$A$2:$A$300,beans!$I$2:$I$300),menu!$E$2:$E$20,menu!$F$2:$F$20),IF(_xlpm.x="","",_xlpm.x))</f>
        <v>raisin-honey</v>
      </c>
      <c r="I233">
        <v>190</v>
      </c>
      <c r="J233">
        <v>75</v>
      </c>
      <c r="K233">
        <v>40</v>
      </c>
      <c r="L233">
        <v>70</v>
      </c>
      <c r="M233" s="68" t="s">
        <v>67</v>
      </c>
      <c r="N233">
        <v>88.2</v>
      </c>
      <c r="P233" s="67" t="s">
        <v>119</v>
      </c>
      <c r="Q233" s="68">
        <v>202.2</v>
      </c>
      <c r="R233" s="67" t="s">
        <v>305</v>
      </c>
      <c r="S233" s="68">
        <v>219.1</v>
      </c>
      <c r="T233" s="68">
        <f t="shared" si="38"/>
        <v>16.900000000000006</v>
      </c>
      <c r="U233">
        <f t="shared" si="34"/>
        <v>110</v>
      </c>
      <c r="V233">
        <f t="shared" si="39"/>
        <v>9.1999999999999993</v>
      </c>
      <c r="W233">
        <f t="shared" si="35"/>
        <v>15.87</v>
      </c>
      <c r="X233" s="19">
        <v>45386</v>
      </c>
      <c r="Y233" s="26">
        <v>216</v>
      </c>
      <c r="Z233" s="61">
        <v>0</v>
      </c>
      <c r="AB233" s="28">
        <f t="shared" si="36"/>
        <v>0.13600000000000001</v>
      </c>
      <c r="AC233" s="110">
        <v>47.6</v>
      </c>
      <c r="AD233" s="26">
        <v>66.7</v>
      </c>
      <c r="AE233" s="61">
        <f t="shared" si="37"/>
        <v>19.100000000000001</v>
      </c>
      <c r="AF233" s="77" t="str">
        <f>_xlfn.XLOOKUP(AD233,menu!$K$2:$K$9,menu!$J$2:$J$9,"",1)</f>
        <v>中淺</v>
      </c>
      <c r="AG233" s="80" t="str">
        <f>_xlfn.XLOOKUP(AH233,menu!$O$2:$O$9,menu!$H$2:$H$9,"")</f>
        <v>Medium</v>
      </c>
      <c r="AH233" s="81" t="s">
        <v>72</v>
      </c>
      <c r="AI233" t="str">
        <f>_xlfn.LET(_xlpm.x,_xlfn.CONCAT(_xlfn.XLOOKUP(D233,beans!$A$2:$A$300,beans!$J$2:$J$300,"")," / ",_xlfn.XLOOKUP(D233,beans!$A$2:$A$300,beans!$K$2:$K$300,"")," - ",_xlfn.XLOOKUP(D233,beans!$A$2:$A$300,beans!$L$2:$L$300,"")),IF(_xlpm.x=" /  - ","",_xlpm.x))</f>
        <v xml:space="preserve">Tarrazu / 卡內特 音樂家系列 莫札特 - </v>
      </c>
      <c r="AJ233" s="23" t="s">
        <v>515</v>
      </c>
    </row>
    <row r="234" spans="1:36" x14ac:dyDescent="0.3">
      <c r="A234">
        <v>217</v>
      </c>
      <c r="B234">
        <v>500</v>
      </c>
      <c r="D234">
        <v>63</v>
      </c>
      <c r="E234" t="str">
        <f>_xlfn.LET(_xlpm.x,_xlfn.XLOOKUP(D234,beans!$A$2:$A$300,beans!$H$2:$H$300,""),IF(_xlpm.x="","",_xlpm.x))</f>
        <v>衣索比亞</v>
      </c>
      <c r="F234" s="22" t="str">
        <f>_xlfn.XLOOKUP(E234,menu!$A$2:$A$37,menu!$B$2:$B$37,"")</f>
        <v>Ethiopia</v>
      </c>
      <c r="G234" t="str">
        <f>_xlfn.XLOOKUP(E234,menu!$A$2:$A$37,menu!$C$2:$C$37,"")</f>
        <v>eth</v>
      </c>
      <c r="H234" t="str">
        <f>_xlfn.LET(_xlpm.x,_xlfn.XLOOKUP(_xlfn.XLOOKUP(D234,beans!$A$2:$A$300,beans!$I$2:$I$300),menu!$E$2:$E$20,menu!$F$2:$F$20),IF(_xlpm.x="","",_xlpm.x))</f>
        <v>washed</v>
      </c>
      <c r="I234">
        <v>200</v>
      </c>
      <c r="J234">
        <v>85</v>
      </c>
      <c r="K234">
        <v>35</v>
      </c>
      <c r="L234">
        <v>90</v>
      </c>
      <c r="M234" s="68" t="s">
        <v>67</v>
      </c>
      <c r="N234">
        <v>83.8</v>
      </c>
      <c r="P234" s="67" t="s">
        <v>85</v>
      </c>
      <c r="Q234" s="68">
        <v>195.9</v>
      </c>
      <c r="R234" s="67" t="s">
        <v>237</v>
      </c>
      <c r="S234" s="68">
        <v>215.6</v>
      </c>
      <c r="T234" s="68">
        <f t="shared" si="38"/>
        <v>19.699999999999989</v>
      </c>
      <c r="U234">
        <f t="shared" si="34"/>
        <v>97</v>
      </c>
      <c r="V234">
        <f t="shared" si="39"/>
        <v>12.2</v>
      </c>
      <c r="W234">
        <f t="shared" si="35"/>
        <v>15.52</v>
      </c>
      <c r="X234" s="19">
        <v>45395</v>
      </c>
      <c r="Y234" s="26">
        <v>436.2</v>
      </c>
      <c r="Z234" s="61">
        <v>0</v>
      </c>
      <c r="AB234" s="28">
        <f t="shared" si="36"/>
        <v>0.12760000000000002</v>
      </c>
      <c r="AC234" s="110">
        <v>50.3</v>
      </c>
      <c r="AD234" s="26">
        <v>65.900000000000006</v>
      </c>
      <c r="AE234" s="61">
        <f t="shared" si="37"/>
        <v>15.600000000000009</v>
      </c>
      <c r="AF234" s="77" t="str">
        <f>_xlfn.XLOOKUP(AD234,menu!$K$2:$K$9,menu!$J$2:$J$9,"",1)</f>
        <v>中淺</v>
      </c>
      <c r="AG234" s="80" t="str">
        <f>_xlfn.XLOOKUP(AH234,menu!$O$2:$O$9,menu!$H$2:$H$9,"")</f>
        <v>Medium</v>
      </c>
      <c r="AH234" s="81" t="s">
        <v>72</v>
      </c>
      <c r="AI234" t="str">
        <f>_xlfn.LET(_xlpm.x,_xlfn.CONCAT(_xlfn.XLOOKUP(D234,beans!$A$2:$A$300,beans!$J$2:$J$300,"")," / ",_xlfn.XLOOKUP(D234,beans!$A$2:$A$300,beans!$K$2:$K$300,"")," - ",_xlfn.XLOOKUP(D234,beans!$A$2:$A$300,beans!$L$2:$L$300,"")),IF(_xlpm.x=" /  - ","",_xlpm.x))</f>
        <v>班奇 馬吉 / 露西 - Geisha</v>
      </c>
      <c r="AJ234" s="23" t="s">
        <v>516</v>
      </c>
    </row>
    <row r="235" spans="1:36" x14ac:dyDescent="0.3">
      <c r="A235">
        <v>218</v>
      </c>
      <c r="B235">
        <v>500</v>
      </c>
      <c r="D235">
        <v>27</v>
      </c>
      <c r="E235" t="str">
        <f>_xlfn.LET(_xlpm.x,_xlfn.XLOOKUP(D235,beans!$A$2:$A$300,beans!$H$2:$H$300,""),IF(_xlpm.x="","",_xlpm.x))</f>
        <v>肯亞</v>
      </c>
      <c r="F235" s="22" t="str">
        <f>_xlfn.XLOOKUP(E235,menu!$A$2:$A$37,menu!$B$2:$B$37,"")</f>
        <v>Kenya</v>
      </c>
      <c r="G235" t="str">
        <f>_xlfn.XLOOKUP(E235,menu!$A$2:$A$37,menu!$C$2:$C$37,"")</f>
        <v>ken</v>
      </c>
      <c r="H235" t="str">
        <f>_xlfn.LET(_xlpm.x,_xlfn.XLOOKUP(_xlfn.XLOOKUP(D235,beans!$A$2:$A$300,beans!$I$2:$I$300),menu!$E$2:$E$20,menu!$F$2:$F$20),IF(_xlpm.x="","",_xlpm.x))</f>
        <v>washed</v>
      </c>
      <c r="I235">
        <v>200</v>
      </c>
      <c r="J235">
        <v>85</v>
      </c>
      <c r="K235">
        <v>35</v>
      </c>
      <c r="L235">
        <v>90</v>
      </c>
      <c r="M235" s="68" t="s">
        <v>157</v>
      </c>
      <c r="N235">
        <v>88.6</v>
      </c>
      <c r="P235" s="67" t="s">
        <v>130</v>
      </c>
      <c r="Q235" s="68">
        <v>199</v>
      </c>
      <c r="R235" s="67" t="s">
        <v>208</v>
      </c>
      <c r="S235" s="68">
        <v>217.1</v>
      </c>
      <c r="T235" s="68">
        <f t="shared" si="38"/>
        <v>18.099999999999994</v>
      </c>
      <c r="U235">
        <f t="shared" si="34"/>
        <v>113</v>
      </c>
      <c r="V235">
        <f t="shared" si="39"/>
        <v>9.6</v>
      </c>
      <c r="W235">
        <f t="shared" si="35"/>
        <v>17.47</v>
      </c>
      <c r="X235" s="19">
        <v>45395</v>
      </c>
      <c r="Y235" s="26">
        <v>430.5</v>
      </c>
      <c r="Z235" s="61">
        <v>0</v>
      </c>
      <c r="AB235" s="28">
        <f t="shared" si="36"/>
        <v>0.13900000000000001</v>
      </c>
      <c r="AC235" s="110">
        <v>40.700000000000003</v>
      </c>
      <c r="AD235" s="26">
        <v>59.9</v>
      </c>
      <c r="AE235" s="61">
        <f t="shared" si="37"/>
        <v>19.199999999999996</v>
      </c>
      <c r="AF235" s="77" t="str">
        <f>_xlfn.XLOOKUP(AD235,menu!$K$2:$K$9,menu!$J$2:$J$9,"",1)</f>
        <v>中</v>
      </c>
      <c r="AG235" s="80" t="str">
        <f>_xlfn.XLOOKUP(AH235,menu!$O$2:$O$9,menu!$H$2:$H$9,"")</f>
        <v>Medium</v>
      </c>
      <c r="AH235" s="81" t="s">
        <v>72</v>
      </c>
      <c r="AI235" t="str">
        <f>_xlfn.LET(_xlpm.x,_xlfn.CONCAT(_xlfn.XLOOKUP(D235,beans!$A$2:$A$300,beans!$J$2:$J$300,"")," / ",_xlfn.XLOOKUP(D235,beans!$A$2:$A$300,beans!$K$2:$K$300,"")," - ",_xlfn.XLOOKUP(D235,beans!$A$2:$A$300,beans!$L$2:$L$300,"")),IF(_xlpm.x=" /  - ","",_xlpm.x))</f>
        <v>穆拉雅 / 卡甘達 - SL28、SL34</v>
      </c>
      <c r="AJ235" s="23" t="s">
        <v>516</v>
      </c>
    </row>
    <row r="236" spans="1:36" x14ac:dyDescent="0.3">
      <c r="A236">
        <v>219</v>
      </c>
      <c r="B236">
        <v>500</v>
      </c>
      <c r="D236">
        <v>55</v>
      </c>
      <c r="E236" t="str">
        <f>_xlfn.LET(_xlpm.x,_xlfn.XLOOKUP(D236,beans!$A$2:$A$300,beans!$H$2:$H$300,""),IF(_xlpm.x="","",_xlpm.x))</f>
        <v>衣索比亞</v>
      </c>
      <c r="F236" s="22" t="str">
        <f>_xlfn.XLOOKUP(E236,menu!$A$2:$A$37,menu!$B$2:$B$37,"")</f>
        <v>Ethiopia</v>
      </c>
      <c r="G236" t="str">
        <f>_xlfn.XLOOKUP(E236,menu!$A$2:$A$37,menu!$C$2:$C$37,"")</f>
        <v>eth</v>
      </c>
      <c r="H236" t="str">
        <f>_xlfn.LET(_xlpm.x,_xlfn.XLOOKUP(_xlfn.XLOOKUP(D236,beans!$A$2:$A$300,beans!$I$2:$I$300),menu!$E$2:$E$20,menu!$F$2:$F$20),IF(_xlpm.x="","",_xlpm.x))</f>
        <v>natural</v>
      </c>
      <c r="I236">
        <v>200</v>
      </c>
      <c r="J236">
        <v>85</v>
      </c>
      <c r="K236">
        <v>35</v>
      </c>
      <c r="L236">
        <v>90</v>
      </c>
      <c r="M236" s="68" t="s">
        <v>87</v>
      </c>
      <c r="N236">
        <v>88.9</v>
      </c>
      <c r="P236" s="67" t="s">
        <v>512</v>
      </c>
      <c r="Q236" s="68">
        <v>202.3</v>
      </c>
      <c r="R236" s="67" t="s">
        <v>398</v>
      </c>
      <c r="S236" s="68">
        <v>216.1</v>
      </c>
      <c r="T236" s="68">
        <f t="shared" si="38"/>
        <v>13.799999999999983</v>
      </c>
      <c r="U236">
        <f t="shared" si="34"/>
        <v>84</v>
      </c>
      <c r="V236">
        <f t="shared" si="39"/>
        <v>9.9</v>
      </c>
      <c r="W236">
        <f t="shared" si="35"/>
        <v>12.56</v>
      </c>
      <c r="X236" s="19">
        <v>45395</v>
      </c>
      <c r="Y236" s="26">
        <v>416.2</v>
      </c>
      <c r="Z236" s="61">
        <v>0</v>
      </c>
      <c r="AB236" s="28">
        <f t="shared" si="36"/>
        <v>0.16760000000000003</v>
      </c>
      <c r="AC236" s="110">
        <v>51.1</v>
      </c>
      <c r="AD236" s="26">
        <v>71.2</v>
      </c>
      <c r="AE236" s="61">
        <f t="shared" si="37"/>
        <v>20.100000000000001</v>
      </c>
      <c r="AF236" s="77" t="str">
        <f>_xlfn.XLOOKUP(AD236,menu!$K$2:$K$9,menu!$J$2:$J$9,"",1)</f>
        <v>淺</v>
      </c>
      <c r="AG236" s="80" t="str">
        <f>_xlfn.XLOOKUP(AH236,menu!$O$2:$O$9,menu!$H$2:$H$9,"")</f>
        <v>Cinamon</v>
      </c>
      <c r="AH236" s="81" t="s">
        <v>78</v>
      </c>
      <c r="AI236" t="str">
        <f>_xlfn.LET(_xlpm.x,_xlfn.CONCAT(_xlfn.XLOOKUP(D236,beans!$A$2:$A$300,beans!$J$2:$J$300,"")," / ",_xlfn.XLOOKUP(D236,beans!$A$2:$A$300,beans!$K$2:$K$300,"")," - ",_xlfn.XLOOKUP(D236,beans!$A$2:$A$300,beans!$L$2:$L$300,"")),IF(_xlpm.x=" /  - ","",_xlpm.x))</f>
        <v>歐若米亞 古吉 / 莎奇恰 - Heirloom</v>
      </c>
      <c r="AJ236" s="23" t="s">
        <v>516</v>
      </c>
    </row>
    <row r="237" spans="1:36" x14ac:dyDescent="0.3">
      <c r="A237">
        <v>220</v>
      </c>
      <c r="B237">
        <v>500</v>
      </c>
      <c r="D237">
        <v>23</v>
      </c>
      <c r="E237" t="str">
        <f>_xlfn.LET(_xlpm.x,_xlfn.XLOOKUP(D237,beans!$A$2:$A$300,beans!$H$2:$H$300,""),IF(_xlpm.x="","",_xlpm.x))</f>
        <v>衣索比亞</v>
      </c>
      <c r="F237" s="22" t="str">
        <f>_xlfn.XLOOKUP(E237,menu!$A$2:$A$37,menu!$B$2:$B$37,"")</f>
        <v>Ethiopia</v>
      </c>
      <c r="G237" t="str">
        <f>_xlfn.XLOOKUP(E237,menu!$A$2:$A$37,menu!$C$2:$C$37,"")</f>
        <v>eth</v>
      </c>
      <c r="H237" t="str">
        <f>_xlfn.LET(_xlpm.x,_xlfn.XLOOKUP(_xlfn.XLOOKUP(D237,beans!$A$2:$A$300,beans!$I$2:$I$300),menu!$E$2:$E$20,menu!$F$2:$F$20),IF(_xlpm.x="","",_xlpm.x))</f>
        <v>natural</v>
      </c>
      <c r="I237">
        <v>200</v>
      </c>
      <c r="J237">
        <v>85</v>
      </c>
      <c r="K237">
        <v>35</v>
      </c>
      <c r="L237">
        <v>90</v>
      </c>
      <c r="M237" s="68" t="s">
        <v>125</v>
      </c>
      <c r="N237">
        <v>90.3</v>
      </c>
      <c r="P237" s="67" t="s">
        <v>517</v>
      </c>
      <c r="Q237" s="68">
        <v>202</v>
      </c>
      <c r="R237" s="67" t="s">
        <v>208</v>
      </c>
      <c r="S237" s="68">
        <v>215.9</v>
      </c>
      <c r="T237" s="68">
        <f t="shared" si="38"/>
        <v>13.900000000000006</v>
      </c>
      <c r="U237">
        <f t="shared" si="34"/>
        <v>79</v>
      </c>
      <c r="V237">
        <f t="shared" si="39"/>
        <v>10.6</v>
      </c>
      <c r="W237">
        <f t="shared" si="35"/>
        <v>12.21</v>
      </c>
      <c r="X237" s="19">
        <v>45395</v>
      </c>
      <c r="Y237" s="26">
        <v>438.6</v>
      </c>
      <c r="Z237" s="61">
        <v>0</v>
      </c>
      <c r="AB237" s="28">
        <f t="shared" si="36"/>
        <v>0.12279999999999995</v>
      </c>
      <c r="AC237" s="110">
        <v>47.4</v>
      </c>
      <c r="AD237" s="26">
        <v>72.7</v>
      </c>
      <c r="AE237" s="61">
        <f t="shared" si="37"/>
        <v>25.300000000000004</v>
      </c>
      <c r="AF237" s="77" t="str">
        <f>_xlfn.XLOOKUP(AD237,menu!$K$2:$K$9,menu!$J$2:$J$9,"",1)</f>
        <v>淺</v>
      </c>
      <c r="AG237" s="80" t="str">
        <f>_xlfn.XLOOKUP(AH237,menu!$O$2:$O$9,menu!$H$2:$H$9,"")</f>
        <v>Cinamon</v>
      </c>
      <c r="AH237" s="81" t="s">
        <v>78</v>
      </c>
      <c r="AI237" t="str">
        <f>_xlfn.LET(_xlpm.x,_xlfn.CONCAT(_xlfn.XLOOKUP(D237,beans!$A$2:$A$300,beans!$J$2:$J$300,"")," / ",_xlfn.XLOOKUP(D237,beans!$A$2:$A$300,beans!$K$2:$K$300,"")," - ",_xlfn.XLOOKUP(D237,beans!$A$2:$A$300,beans!$L$2:$L$300,"")),IF(_xlpm.x=" /  - ","",_xlpm.x))</f>
        <v>古吉 / 安朵拉 - Heirloom</v>
      </c>
      <c r="AJ237" s="23" t="s">
        <v>516</v>
      </c>
    </row>
    <row r="238" spans="1:36" x14ac:dyDescent="0.3">
      <c r="A238">
        <v>221</v>
      </c>
      <c r="B238">
        <v>500</v>
      </c>
      <c r="D238">
        <v>17</v>
      </c>
      <c r="E238" t="str">
        <f>_xlfn.LET(_xlpm.x,_xlfn.XLOOKUP(D238,beans!$A$2:$A$300,beans!$H$2:$H$300,""),IF(_xlpm.x="","",_xlpm.x))</f>
        <v>衣索比亞</v>
      </c>
      <c r="F238" s="22" t="str">
        <f>_xlfn.XLOOKUP(E238,menu!$A$2:$A$37,menu!$B$2:$B$37,"")</f>
        <v>Ethiopia</v>
      </c>
      <c r="G238" t="str">
        <f>_xlfn.XLOOKUP(E238,menu!$A$2:$A$37,menu!$C$2:$C$37,"")</f>
        <v>eth</v>
      </c>
      <c r="H238" t="str">
        <f>_xlfn.LET(_xlpm.x,_xlfn.XLOOKUP(_xlfn.XLOOKUP(D238,beans!$A$2:$A$300,beans!$I$2:$I$300),menu!$E$2:$E$20,menu!$F$2:$F$20),IF(_xlpm.x="","",_xlpm.x))</f>
        <v>Carbonic Natural</v>
      </c>
      <c r="I238">
        <v>200</v>
      </c>
      <c r="J238">
        <v>85</v>
      </c>
      <c r="K238">
        <v>35</v>
      </c>
      <c r="L238">
        <v>90</v>
      </c>
      <c r="M238" s="68" t="s">
        <v>67</v>
      </c>
      <c r="N238">
        <v>89.7</v>
      </c>
      <c r="P238" s="67" t="s">
        <v>427</v>
      </c>
      <c r="Q238" s="68">
        <v>201.9</v>
      </c>
      <c r="R238" s="67" t="s">
        <v>208</v>
      </c>
      <c r="S238" s="68">
        <v>212.8</v>
      </c>
      <c r="T238" s="68">
        <f t="shared" si="38"/>
        <v>10.900000000000006</v>
      </c>
      <c r="U238">
        <f t="shared" si="34"/>
        <v>61</v>
      </c>
      <c r="V238">
        <f t="shared" si="39"/>
        <v>10.7</v>
      </c>
      <c r="W238">
        <f t="shared" si="35"/>
        <v>9.43</v>
      </c>
      <c r="X238" s="19">
        <v>45395</v>
      </c>
      <c r="Y238" s="26">
        <v>402.4</v>
      </c>
      <c r="Z238" s="61">
        <v>0</v>
      </c>
      <c r="AB238" s="28">
        <f t="shared" si="36"/>
        <v>0.19520000000000004</v>
      </c>
      <c r="AC238" s="110">
        <v>48.3</v>
      </c>
      <c r="AD238" s="26">
        <v>75.5</v>
      </c>
      <c r="AE238" s="61">
        <f t="shared" si="37"/>
        <v>27.200000000000003</v>
      </c>
      <c r="AF238" s="77" t="str">
        <f>_xlfn.XLOOKUP(AD238,menu!$K$2:$K$9,menu!$J$2:$J$9,"",1)</f>
        <v>淺</v>
      </c>
      <c r="AG238" s="80" t="str">
        <f>_xlfn.XLOOKUP(AH238,menu!$O$2:$O$9,menu!$H$2:$H$9,"")</f>
        <v>Cinamon</v>
      </c>
      <c r="AH238" s="81" t="s">
        <v>78</v>
      </c>
      <c r="AI238" t="str">
        <f>_xlfn.LET(_xlpm.x,_xlfn.CONCAT(_xlfn.XLOOKUP(D238,beans!$A$2:$A$300,beans!$J$2:$J$300,"")," / ",_xlfn.XLOOKUP(D238,beans!$A$2:$A$300,beans!$K$2:$K$300,"")," - ",_xlfn.XLOOKUP(D238,beans!$A$2:$A$300,beans!$L$2:$L$300,"")),IF(_xlpm.x=" /  - ","",_xlpm.x))</f>
        <v>古吉 / 艾朵 - Heirloom</v>
      </c>
      <c r="AJ238" s="23" t="s">
        <v>516</v>
      </c>
    </row>
    <row r="239" spans="1:36" x14ac:dyDescent="0.3">
      <c r="A239">
        <v>222</v>
      </c>
      <c r="B239">
        <v>500</v>
      </c>
      <c r="D239">
        <v>46</v>
      </c>
      <c r="E239" t="str">
        <f>_xlfn.LET(_xlpm.x,_xlfn.XLOOKUP(D239,beans!$A$2:$A$300,beans!$H$2:$H$300,""),IF(_xlpm.x="","",_xlpm.x))</f>
        <v>哥倫比亞</v>
      </c>
      <c r="F239" s="22" t="str">
        <f>_xlfn.XLOOKUP(E239,menu!$A$2:$A$37,menu!$B$2:$B$37,"")</f>
        <v>Colombia</v>
      </c>
      <c r="G239" t="str">
        <f>_xlfn.XLOOKUP(E239,menu!$A$2:$A$37,menu!$C$2:$C$37,"")</f>
        <v>col</v>
      </c>
      <c r="H239" t="str">
        <f>_xlfn.LET(_xlpm.x,_xlfn.XLOOKUP(_xlfn.XLOOKUP(D239,beans!$A$2:$A$300,beans!$I$2:$I$300),menu!$E$2:$E$20,menu!$F$2:$F$20),IF(_xlpm.x="","",_xlpm.x))</f>
        <v>natural</v>
      </c>
      <c r="I239">
        <v>200</v>
      </c>
      <c r="J239">
        <v>85</v>
      </c>
      <c r="K239">
        <v>35</v>
      </c>
      <c r="L239">
        <v>90</v>
      </c>
      <c r="M239" s="68" t="s">
        <v>125</v>
      </c>
      <c r="N239">
        <v>87.6</v>
      </c>
      <c r="P239" s="67" t="s">
        <v>81</v>
      </c>
      <c r="Q239" s="68">
        <v>197</v>
      </c>
      <c r="R239" s="67" t="s">
        <v>354</v>
      </c>
      <c r="S239" s="68">
        <v>210.2</v>
      </c>
      <c r="T239" s="68">
        <f t="shared" si="38"/>
        <v>13.199999999999989</v>
      </c>
      <c r="U239">
        <f t="shared" si="34"/>
        <v>89</v>
      </c>
      <c r="V239">
        <f t="shared" si="39"/>
        <v>8.9</v>
      </c>
      <c r="W239">
        <f t="shared" si="35"/>
        <v>14.38</v>
      </c>
      <c r="X239" s="19">
        <v>45395</v>
      </c>
      <c r="Y239" s="26">
        <v>431.3</v>
      </c>
      <c r="Z239" s="61">
        <v>0</v>
      </c>
      <c r="AB239" s="28">
        <f t="shared" si="36"/>
        <v>0.13739999999999997</v>
      </c>
      <c r="AC239" s="110">
        <v>42.6</v>
      </c>
      <c r="AD239" s="26">
        <v>65.7</v>
      </c>
      <c r="AE239" s="61">
        <f t="shared" si="37"/>
        <v>23.1</v>
      </c>
      <c r="AF239" s="77" t="str">
        <f>_xlfn.XLOOKUP(AD239,menu!$K$2:$K$9,menu!$J$2:$J$9,"",1)</f>
        <v>中淺</v>
      </c>
      <c r="AG239" s="80" t="str">
        <f>_xlfn.XLOOKUP(AH239,menu!$O$2:$O$9,menu!$H$2:$H$9,"")</f>
        <v>Medium</v>
      </c>
      <c r="AH239" s="81" t="s">
        <v>72</v>
      </c>
      <c r="AI239" t="str">
        <f>_xlfn.LET(_xlpm.x,_xlfn.CONCAT(_xlfn.XLOOKUP(D239,beans!$A$2:$A$300,beans!$J$2:$J$300,"")," / ",_xlfn.XLOOKUP(D239,beans!$A$2:$A$300,beans!$K$2:$K$300,"")," - ",_xlfn.XLOOKUP(D239,beans!$A$2:$A$300,beans!$L$2:$L$300,"")),IF(_xlpm.x=" /  - ","",_xlpm.x))</f>
        <v>昆迪瑪卡 / 緹比莉塔  - 卡斯提優</v>
      </c>
      <c r="AJ239" s="23" t="s">
        <v>516</v>
      </c>
    </row>
    <row r="240" spans="1:36" x14ac:dyDescent="0.3">
      <c r="A240">
        <v>223</v>
      </c>
      <c r="B240">
        <v>250</v>
      </c>
      <c r="D240">
        <v>5</v>
      </c>
      <c r="E240" t="str">
        <f>_xlfn.LET(_xlpm.x,_xlfn.XLOOKUP(D240,beans!$A$2:$A$300,beans!$H$2:$H$300,""),IF(_xlpm.x="","",_xlpm.x))</f>
        <v>肯亞</v>
      </c>
      <c r="F240" s="22" t="str">
        <f>_xlfn.XLOOKUP(E240,menu!$A$2:$A$37,menu!$B$2:$B$37,"")</f>
        <v>Kenya</v>
      </c>
      <c r="G240" t="str">
        <f>_xlfn.XLOOKUP(E240,menu!$A$2:$A$37,menu!$C$2:$C$37,"")</f>
        <v>ken</v>
      </c>
      <c r="H240" t="str">
        <f>_xlfn.LET(_xlpm.x,_xlfn.XLOOKUP(_xlfn.XLOOKUP(D240,beans!$A$2:$A$300,beans!$I$2:$I$300),menu!$E$2:$E$20,menu!$F$2:$F$20),IF(_xlpm.x="","",_xlpm.x))</f>
        <v>washed</v>
      </c>
      <c r="I240">
        <v>200</v>
      </c>
      <c r="J240">
        <v>70</v>
      </c>
      <c r="K240">
        <v>35</v>
      </c>
      <c r="L240">
        <v>75</v>
      </c>
      <c r="M240" s="68" t="s">
        <v>318</v>
      </c>
      <c r="N240">
        <v>89</v>
      </c>
      <c r="P240" s="67" t="s">
        <v>89</v>
      </c>
      <c r="Q240" s="68">
        <v>199.8</v>
      </c>
      <c r="R240" s="67" t="s">
        <v>421</v>
      </c>
      <c r="S240" s="68">
        <v>213.2</v>
      </c>
      <c r="T240" s="68">
        <f t="shared" si="38"/>
        <v>13.399999999999977</v>
      </c>
      <c r="U240">
        <f t="shared" si="34"/>
        <v>112</v>
      </c>
      <c r="V240">
        <f t="shared" si="39"/>
        <v>7.2</v>
      </c>
      <c r="W240">
        <f t="shared" si="35"/>
        <v>15.8</v>
      </c>
      <c r="X240" s="19">
        <v>45404</v>
      </c>
      <c r="Y240" s="26">
        <v>213.4</v>
      </c>
      <c r="Z240" s="61">
        <v>0</v>
      </c>
      <c r="AB240" s="28">
        <f t="shared" si="36"/>
        <v>0.14639999999999997</v>
      </c>
      <c r="AC240" s="110">
        <v>47.4</v>
      </c>
      <c r="AD240" s="26">
        <v>62.9</v>
      </c>
      <c r="AE240" s="61">
        <f t="shared" si="37"/>
        <v>15.5</v>
      </c>
      <c r="AF240" s="77" t="str">
        <f>_xlfn.XLOOKUP(AD240,menu!$K$2:$K$9,menu!$J$2:$J$9,"",1)</f>
        <v>中淺</v>
      </c>
      <c r="AG240" s="80" t="str">
        <f>_xlfn.XLOOKUP(AH240,menu!$O$2:$O$9,menu!$H$2:$H$9,"")</f>
        <v>Medium</v>
      </c>
      <c r="AH240" s="81" t="s">
        <v>72</v>
      </c>
      <c r="AI240" t="str">
        <f>_xlfn.LET(_xlpm.x,_xlfn.CONCAT(_xlfn.XLOOKUP(D240,beans!$A$2:$A$300,beans!$J$2:$J$300,"")," / ",_xlfn.XLOOKUP(D240,beans!$A$2:$A$300,beans!$K$2:$K$300,"")," - ",_xlfn.XLOOKUP(D240,beans!$A$2:$A$300,beans!$L$2:$L$300,"")),IF(_xlpm.x=" /  - ","",_xlpm.x))</f>
        <v>麒麟雅加 / 紅絲絨/夜裡花 - SL28, SL34</v>
      </c>
      <c r="AJ240" s="23" t="s">
        <v>518</v>
      </c>
    </row>
    <row r="241" spans="1:36" x14ac:dyDescent="0.3">
      <c r="A241">
        <v>224</v>
      </c>
      <c r="B241">
        <v>500</v>
      </c>
      <c r="D241">
        <v>63</v>
      </c>
      <c r="E241" t="str">
        <f>_xlfn.LET(_xlpm.x,_xlfn.XLOOKUP(D241,beans!$A$2:$A$300,beans!$H$2:$H$300,""),IF(_xlpm.x="","",_xlpm.x))</f>
        <v>衣索比亞</v>
      </c>
      <c r="F241" s="22" t="str">
        <f>_xlfn.XLOOKUP(E241,menu!$A$2:$A$37,menu!$B$2:$B$37,"")</f>
        <v>Ethiopia</v>
      </c>
      <c r="G241" t="str">
        <f>_xlfn.XLOOKUP(E241,menu!$A$2:$A$37,menu!$C$2:$C$37,"")</f>
        <v>eth</v>
      </c>
      <c r="H241" t="str">
        <f>_xlfn.LET(_xlpm.x,_xlfn.XLOOKUP(_xlfn.XLOOKUP(D241,beans!$A$2:$A$300,beans!$I$2:$I$300),menu!$E$2:$E$20,menu!$F$2:$F$20),IF(_xlpm.x="","",_xlpm.x))</f>
        <v>washed</v>
      </c>
      <c r="I241">
        <v>200</v>
      </c>
      <c r="J241">
        <v>70</v>
      </c>
      <c r="K241">
        <v>35</v>
      </c>
      <c r="L241">
        <v>90</v>
      </c>
      <c r="M241" s="68" t="s">
        <v>54</v>
      </c>
      <c r="N241">
        <v>84.9</v>
      </c>
      <c r="P241" s="67" t="s">
        <v>405</v>
      </c>
      <c r="Q241" s="68">
        <v>200.7</v>
      </c>
      <c r="R241" s="67" t="s">
        <v>299</v>
      </c>
      <c r="S241" s="68">
        <v>209.7</v>
      </c>
      <c r="T241" s="68">
        <f t="shared" si="38"/>
        <v>9</v>
      </c>
      <c r="U241">
        <f t="shared" si="34"/>
        <v>75</v>
      </c>
      <c r="V241">
        <f t="shared" si="39"/>
        <v>7.2</v>
      </c>
      <c r="W241">
        <f t="shared" si="35"/>
        <v>9.6999999999999993</v>
      </c>
      <c r="X241" s="19">
        <v>45404</v>
      </c>
      <c r="Y241" s="26">
        <v>439.3</v>
      </c>
      <c r="Z241" s="61">
        <v>0</v>
      </c>
      <c r="AB241" s="28">
        <f t="shared" si="36"/>
        <v>0.12139999999999998</v>
      </c>
      <c r="AC241" s="110">
        <v>63</v>
      </c>
      <c r="AD241" s="26">
        <v>84.3</v>
      </c>
      <c r="AE241" s="61">
        <f t="shared" si="37"/>
        <v>21.299999999999997</v>
      </c>
      <c r="AF241" s="77" t="str">
        <f>_xlfn.XLOOKUP(AD241,menu!$K$2:$K$9,menu!$J$2:$J$9,"",1)</f>
        <v>極淺</v>
      </c>
      <c r="AG241" s="80" t="str">
        <f>_xlfn.XLOOKUP(AH241,menu!$O$2:$O$9,menu!$H$2:$H$9,"")</f>
        <v>Cinamon</v>
      </c>
      <c r="AH241" s="81" t="s">
        <v>78</v>
      </c>
      <c r="AI241" t="str">
        <f>_xlfn.LET(_xlpm.x,_xlfn.CONCAT(_xlfn.XLOOKUP(D241,beans!$A$2:$A$300,beans!$J$2:$J$300,"")," / ",_xlfn.XLOOKUP(D241,beans!$A$2:$A$300,beans!$K$2:$K$300,"")," - ",_xlfn.XLOOKUP(D241,beans!$A$2:$A$300,beans!$L$2:$L$300,"")),IF(_xlpm.x=" /  - ","",_xlpm.x))</f>
        <v>班奇 馬吉 / 露西 - Geisha</v>
      </c>
      <c r="AJ241" s="23" t="s">
        <v>519</v>
      </c>
    </row>
    <row r="242" spans="1:36" x14ac:dyDescent="0.3">
      <c r="A242">
        <v>225</v>
      </c>
      <c r="B242">
        <v>500</v>
      </c>
      <c r="D242">
        <v>63</v>
      </c>
      <c r="E242" t="str">
        <f>_xlfn.LET(_xlpm.x,_xlfn.XLOOKUP(D242,beans!$A$2:$A$300,beans!$H$2:$H$300,""),IF(_xlpm.x="","",_xlpm.x))</f>
        <v>衣索比亞</v>
      </c>
      <c r="F242" s="22" t="str">
        <f>_xlfn.XLOOKUP(E242,menu!$A$2:$A$37,menu!$B$2:$B$37,"")</f>
        <v>Ethiopia</v>
      </c>
      <c r="G242" t="str">
        <f>_xlfn.XLOOKUP(E242,menu!$A$2:$A$37,menu!$C$2:$C$37,"")</f>
        <v>eth</v>
      </c>
      <c r="H242" t="str">
        <f>_xlfn.LET(_xlpm.x,_xlfn.XLOOKUP(_xlfn.XLOOKUP(D242,beans!$A$2:$A$300,beans!$I$2:$I$300),menu!$E$2:$E$20,menu!$F$2:$F$20),IF(_xlpm.x="","",_xlpm.x))</f>
        <v>washed</v>
      </c>
      <c r="I242">
        <v>200</v>
      </c>
      <c r="J242">
        <v>70</v>
      </c>
      <c r="K242">
        <v>35</v>
      </c>
      <c r="L242">
        <v>90</v>
      </c>
      <c r="M242" s="68" t="s">
        <v>146</v>
      </c>
      <c r="N242">
        <v>77.400000000000006</v>
      </c>
      <c r="P242" s="67" t="s">
        <v>362</v>
      </c>
      <c r="Q242" s="68">
        <v>201.7</v>
      </c>
      <c r="R242" s="67" t="s">
        <v>520</v>
      </c>
      <c r="S242" s="68">
        <v>209.7</v>
      </c>
      <c r="T242" s="68">
        <f t="shared" si="38"/>
        <v>8</v>
      </c>
      <c r="U242">
        <f t="shared" si="34"/>
        <v>66</v>
      </c>
      <c r="V242">
        <f t="shared" si="39"/>
        <v>7.3</v>
      </c>
      <c r="W242">
        <f t="shared" si="35"/>
        <v>8.57</v>
      </c>
      <c r="X242" s="19">
        <v>45404</v>
      </c>
      <c r="Y242" s="26">
        <v>433</v>
      </c>
      <c r="Z242" s="61">
        <v>0</v>
      </c>
      <c r="AB242" s="28">
        <f t="shared" si="36"/>
        <v>0.13400000000000001</v>
      </c>
      <c r="AC242" s="110">
        <v>56.6</v>
      </c>
      <c r="AD242" s="26">
        <v>87.7</v>
      </c>
      <c r="AE242" s="61">
        <f t="shared" si="37"/>
        <v>31.1</v>
      </c>
      <c r="AF242" s="77" t="str">
        <f>_xlfn.XLOOKUP(AD242,menu!$K$2:$K$9,menu!$J$2:$J$9,"",1)</f>
        <v>極淺</v>
      </c>
      <c r="AG242" s="80" t="str">
        <f>_xlfn.XLOOKUP(AH242,menu!$O$2:$O$9,menu!$H$2:$H$9,"")</f>
        <v>Cinamon</v>
      </c>
      <c r="AH242" s="81" t="s">
        <v>78</v>
      </c>
      <c r="AI242" t="str">
        <f>_xlfn.LET(_xlpm.x,_xlfn.CONCAT(_xlfn.XLOOKUP(D242,beans!$A$2:$A$300,beans!$J$2:$J$300,"")," / ",_xlfn.XLOOKUP(D242,beans!$A$2:$A$300,beans!$K$2:$K$300,"")," - ",_xlfn.XLOOKUP(D242,beans!$A$2:$A$300,beans!$L$2:$L$300,"")),IF(_xlpm.x=" /  - ","",_xlpm.x))</f>
        <v>班奇 馬吉 / 露西 - Geisha</v>
      </c>
      <c r="AJ242" s="23" t="s">
        <v>519</v>
      </c>
    </row>
    <row r="243" spans="1:36" x14ac:dyDescent="0.3">
      <c r="A243">
        <v>226</v>
      </c>
      <c r="B243">
        <v>500</v>
      </c>
      <c r="C243">
        <v>6</v>
      </c>
      <c r="D243">
        <v>63</v>
      </c>
      <c r="E243" t="str">
        <f>_xlfn.LET(_xlpm.x,_xlfn.XLOOKUP(D243,beans!$A$2:$A$300,beans!$H$2:$H$300,""),IF(_xlpm.x="","",_xlpm.x))</f>
        <v>衣索比亞</v>
      </c>
      <c r="F243" s="22" t="str">
        <f>_xlfn.XLOOKUP(E243,menu!$A$2:$A$37,menu!$B$2:$B$37,"")</f>
        <v>Ethiopia</v>
      </c>
      <c r="G243" t="str">
        <f>_xlfn.XLOOKUP(E243,menu!$A$2:$A$37,menu!$C$2:$C$37,"")</f>
        <v>eth</v>
      </c>
      <c r="H243" t="str">
        <f>_xlfn.LET(_xlpm.x,_xlfn.XLOOKUP(_xlfn.XLOOKUP(D243,beans!$A$2:$A$300,beans!$I$2:$I$300),menu!$E$2:$E$20,menu!$F$2:$F$20),IF(_xlpm.x="","",_xlpm.x))</f>
        <v>washed</v>
      </c>
      <c r="I243">
        <v>200</v>
      </c>
      <c r="J243">
        <v>70</v>
      </c>
      <c r="K243">
        <v>35</v>
      </c>
      <c r="L243">
        <v>90</v>
      </c>
      <c r="M243" s="68" t="s">
        <v>121</v>
      </c>
      <c r="N243">
        <v>84.4</v>
      </c>
      <c r="P243" s="67" t="s">
        <v>443</v>
      </c>
      <c r="Q243" s="68">
        <v>195.2</v>
      </c>
      <c r="R243" s="67" t="s">
        <v>400</v>
      </c>
      <c r="S243" s="68">
        <v>212.5</v>
      </c>
      <c r="T243" s="68">
        <f t="shared" si="38"/>
        <v>17.300000000000011</v>
      </c>
      <c r="U243">
        <f t="shared" si="34"/>
        <v>102</v>
      </c>
      <c r="V243">
        <f t="shared" si="39"/>
        <v>10.199999999999999</v>
      </c>
      <c r="W243">
        <f t="shared" si="35"/>
        <v>14.68</v>
      </c>
      <c r="X243" s="19">
        <v>45404</v>
      </c>
      <c r="Y243" s="26">
        <v>438.8</v>
      </c>
      <c r="Z243" s="61">
        <v>0</v>
      </c>
      <c r="AB243" s="28">
        <f t="shared" si="36"/>
        <v>0.12239999999999998</v>
      </c>
      <c r="AC243" s="110">
        <v>51.3</v>
      </c>
      <c r="AD243" s="26">
        <v>80.3</v>
      </c>
      <c r="AE243" s="61">
        <f t="shared" si="37"/>
        <v>29</v>
      </c>
      <c r="AF243" s="77" t="str">
        <f>_xlfn.XLOOKUP(AD243,menu!$K$2:$K$9,menu!$J$2:$J$9,"",1)</f>
        <v>極淺</v>
      </c>
      <c r="AG243" s="80" t="str">
        <f>_xlfn.XLOOKUP(AH243,menu!$O$2:$O$9,menu!$H$2:$H$9,"")</f>
        <v>Cinamon</v>
      </c>
      <c r="AH243" s="81" t="s">
        <v>78</v>
      </c>
      <c r="AI243" t="str">
        <f>_xlfn.LET(_xlpm.x,_xlfn.CONCAT(_xlfn.XLOOKUP(D243,beans!$A$2:$A$300,beans!$J$2:$J$300,"")," / ",_xlfn.XLOOKUP(D243,beans!$A$2:$A$300,beans!$K$2:$K$300,"")," - ",_xlfn.XLOOKUP(D243,beans!$A$2:$A$300,beans!$L$2:$L$300,"")),IF(_xlpm.x=" /  - ","",_xlpm.x))</f>
        <v>班奇 馬吉 / 露西 - Geisha</v>
      </c>
      <c r="AJ243" s="23" t="s">
        <v>521</v>
      </c>
    </row>
    <row r="244" spans="1:36" x14ac:dyDescent="0.3">
      <c r="A244">
        <v>227</v>
      </c>
      <c r="B244">
        <v>250</v>
      </c>
      <c r="D244">
        <v>9</v>
      </c>
      <c r="E244" t="str">
        <f>_xlfn.LET(_xlpm.x,_xlfn.XLOOKUP(D244,beans!$A$2:$A$300,beans!$H$2:$H$300,""),IF(_xlpm.x="","",_xlpm.x))</f>
        <v>衣索比亞</v>
      </c>
      <c r="F244" s="22" t="str">
        <f>_xlfn.XLOOKUP(E244,menu!$A$2:$A$37,menu!$B$2:$B$37,"")</f>
        <v>Ethiopia</v>
      </c>
      <c r="G244" t="str">
        <f>_xlfn.XLOOKUP(E244,menu!$A$2:$A$37,menu!$C$2:$C$37,"")</f>
        <v>eth</v>
      </c>
      <c r="H244" t="str">
        <f>_xlfn.LET(_xlpm.x,_xlfn.XLOOKUP(_xlfn.XLOOKUP(D244,beans!$A$2:$A$300,beans!$I$2:$I$300),menu!$E$2:$E$20,menu!$F$2:$F$20),IF(_xlpm.x="","",_xlpm.x))</f>
        <v>natural</v>
      </c>
      <c r="I244">
        <v>200</v>
      </c>
      <c r="J244">
        <v>70</v>
      </c>
      <c r="K244">
        <v>35</v>
      </c>
      <c r="L244">
        <v>90</v>
      </c>
      <c r="M244" s="68" t="s">
        <v>71</v>
      </c>
      <c r="N244">
        <v>90.5</v>
      </c>
      <c r="P244" s="67" t="s">
        <v>373</v>
      </c>
      <c r="Q244" s="68">
        <v>206.7</v>
      </c>
      <c r="R244" s="67" t="s">
        <v>405</v>
      </c>
      <c r="S244" s="68">
        <v>220.1</v>
      </c>
      <c r="T244" s="68">
        <f t="shared" si="38"/>
        <v>13.400000000000006</v>
      </c>
      <c r="U244">
        <f t="shared" si="34"/>
        <v>78</v>
      </c>
      <c r="V244">
        <f t="shared" si="39"/>
        <v>10.3</v>
      </c>
      <c r="W244">
        <f t="shared" si="35"/>
        <v>11.17</v>
      </c>
      <c r="X244" s="19">
        <v>45404</v>
      </c>
      <c r="Y244" s="26">
        <v>212.8</v>
      </c>
      <c r="Z244" s="61">
        <v>0</v>
      </c>
      <c r="AB244" s="28">
        <f t="shared" si="36"/>
        <v>0.14879999999999996</v>
      </c>
      <c r="AE244" s="61" t="str">
        <f t="shared" si="37"/>
        <v/>
      </c>
      <c r="AF244" s="77" t="str">
        <f>_xlfn.XLOOKUP(AD244,menu!$K$2:$K$9,menu!$J$2:$J$9,"",1)</f>
        <v/>
      </c>
      <c r="AG244" s="80" t="str">
        <f>_xlfn.XLOOKUP(AH244,menu!$O$2:$O$9,menu!$H$2:$H$9,"")</f>
        <v>Medium</v>
      </c>
      <c r="AH244" s="81" t="s">
        <v>72</v>
      </c>
      <c r="AI244" t="str">
        <f>_xlfn.LET(_xlpm.x,_xlfn.CONCAT(_xlfn.XLOOKUP(D244,beans!$A$2:$A$300,beans!$J$2:$J$300,"")," / ",_xlfn.XLOOKUP(D244,beans!$A$2:$A$300,beans!$K$2:$K$300,"")," - ",_xlfn.XLOOKUP(D244,beans!$A$2:$A$300,beans!$L$2:$L$300,"")),IF(_xlpm.x=" /  - ","",_xlpm.x))</f>
        <v>吉瑪 利姆 / 果美村 - 寶貝藝妓</v>
      </c>
      <c r="AJ244" s="23" t="s">
        <v>522</v>
      </c>
    </row>
    <row r="245" spans="1:36" x14ac:dyDescent="0.3">
      <c r="A245">
        <v>228</v>
      </c>
      <c r="B245">
        <v>250</v>
      </c>
      <c r="D245">
        <v>38</v>
      </c>
      <c r="E245" t="str">
        <f>_xlfn.LET(_xlpm.x,_xlfn.XLOOKUP(D245,beans!$A$2:$A$300,beans!$H$2:$H$300,""),IF(_xlpm.x="","",_xlpm.x))</f>
        <v>巴拿馬</v>
      </c>
      <c r="F245" s="22" t="str">
        <f>_xlfn.XLOOKUP(E245,menu!$A$2:$A$37,menu!$B$2:$B$37,"")</f>
        <v>Panama</v>
      </c>
      <c r="G245" t="str">
        <f>_xlfn.XLOOKUP(E245,menu!$A$2:$A$37,menu!$C$2:$C$37,"")</f>
        <v>pan</v>
      </c>
      <c r="H245" t="str">
        <f>_xlfn.LET(_xlpm.x,_xlfn.XLOOKUP(_xlfn.XLOOKUP(D245,beans!$A$2:$A$300,beans!$I$2:$I$300),menu!$E$2:$E$20,menu!$F$2:$F$20),IF(_xlpm.x="","",_xlpm.x))</f>
        <v>washed</v>
      </c>
      <c r="I245">
        <v>200</v>
      </c>
      <c r="J245">
        <v>70</v>
      </c>
      <c r="K245">
        <v>40</v>
      </c>
      <c r="L245">
        <v>70</v>
      </c>
      <c r="M245" s="68" t="s">
        <v>346</v>
      </c>
      <c r="N245">
        <v>86.3</v>
      </c>
      <c r="P245" s="67" t="s">
        <v>77</v>
      </c>
      <c r="Q245" s="68">
        <v>202.9</v>
      </c>
      <c r="R245" s="67" t="s">
        <v>502</v>
      </c>
      <c r="S245" s="68">
        <v>213.5</v>
      </c>
      <c r="T245" s="68">
        <f t="shared" si="38"/>
        <v>10.599999999999994</v>
      </c>
      <c r="U245">
        <f t="shared" si="34"/>
        <v>77</v>
      </c>
      <c r="V245">
        <f t="shared" si="39"/>
        <v>8.3000000000000007</v>
      </c>
      <c r="W245">
        <f t="shared" si="35"/>
        <v>10.66</v>
      </c>
      <c r="X245" s="19">
        <v>45410</v>
      </c>
      <c r="Y245" s="26">
        <v>206</v>
      </c>
      <c r="Z245" s="61">
        <v>0</v>
      </c>
      <c r="AA245" s="61">
        <v>0</v>
      </c>
      <c r="AB245" s="28">
        <f t="shared" si="36"/>
        <v>0.17599999999999999</v>
      </c>
      <c r="AE245" s="61" t="str">
        <f t="shared" si="37"/>
        <v/>
      </c>
      <c r="AF245" s="77" t="str">
        <f>_xlfn.XLOOKUP(AD245,menu!$K$2:$K$9,menu!$J$2:$J$9,"",1)</f>
        <v/>
      </c>
      <c r="AG245" s="80" t="str">
        <f>_xlfn.XLOOKUP(AH245,menu!$O$2:$O$9,menu!$H$2:$H$9,"")</f>
        <v>Cinamon</v>
      </c>
      <c r="AH245" s="81" t="s">
        <v>78</v>
      </c>
      <c r="AI245" t="str">
        <f>_xlfn.LET(_xlpm.x,_xlfn.CONCAT(_xlfn.XLOOKUP(D245,beans!$A$2:$A$300,beans!$J$2:$J$300,"")," / ",_xlfn.XLOOKUP(D245,beans!$A$2:$A$300,beans!$K$2:$K$300,"")," - ",_xlfn.XLOOKUP(D245,beans!$A$2:$A$300,beans!$L$2:$L$300,"")),IF(_xlpm.x=" /  - ","",_xlpm.x))</f>
        <v>波奎特 / 百合花 - Caturra</v>
      </c>
      <c r="AJ245" s="23" t="s">
        <v>523</v>
      </c>
    </row>
    <row r="246" spans="1:36" x14ac:dyDescent="0.3">
      <c r="A246">
        <v>229</v>
      </c>
      <c r="B246">
        <v>250</v>
      </c>
      <c r="D246">
        <v>41</v>
      </c>
      <c r="E246" t="str">
        <f>_xlfn.LET(_xlpm.x,_xlfn.XLOOKUP(D246,beans!$A$2:$A$300,beans!$H$2:$H$300,""),IF(_xlpm.x="","",_xlpm.x))</f>
        <v>衣索比亞</v>
      </c>
      <c r="F246" s="22" t="str">
        <f>_xlfn.XLOOKUP(E246,menu!$A$2:$A$37,menu!$B$2:$B$37,"")</f>
        <v>Ethiopia</v>
      </c>
      <c r="G246" t="str">
        <f>_xlfn.XLOOKUP(E246,menu!$A$2:$A$37,menu!$C$2:$C$37,"")</f>
        <v>eth</v>
      </c>
      <c r="H246" t="str">
        <f>_xlfn.LET(_xlpm.x,_xlfn.XLOOKUP(_xlfn.XLOOKUP(D246,beans!$A$2:$A$300,beans!$I$2:$I$300),menu!$E$2:$E$20,menu!$F$2:$F$20),IF(_xlpm.x="","",_xlpm.x))</f>
        <v>washed</v>
      </c>
      <c r="I246">
        <v>200</v>
      </c>
      <c r="J246">
        <v>70</v>
      </c>
      <c r="K246">
        <v>35</v>
      </c>
      <c r="L246">
        <v>70</v>
      </c>
      <c r="M246" s="68" t="s">
        <v>109</v>
      </c>
      <c r="N246">
        <v>88.6</v>
      </c>
      <c r="P246" s="67" t="s">
        <v>524</v>
      </c>
      <c r="Q246" s="68">
        <v>203</v>
      </c>
      <c r="R246" s="67" t="s">
        <v>525</v>
      </c>
      <c r="S246" s="68">
        <v>213.5</v>
      </c>
      <c r="T246" s="68">
        <f t="shared" si="38"/>
        <v>10.5</v>
      </c>
      <c r="U246">
        <f t="shared" si="34"/>
        <v>76</v>
      </c>
      <c r="V246">
        <f t="shared" si="39"/>
        <v>8.3000000000000007</v>
      </c>
      <c r="W246">
        <f t="shared" si="35"/>
        <v>10.98</v>
      </c>
      <c r="X246" s="19">
        <v>45410</v>
      </c>
      <c r="Y246" s="26">
        <v>220</v>
      </c>
      <c r="Z246" s="61">
        <v>0</v>
      </c>
      <c r="AA246" s="61">
        <v>0</v>
      </c>
      <c r="AB246" s="28">
        <f t="shared" si="36"/>
        <v>0.12</v>
      </c>
      <c r="AE246" s="61" t="str">
        <f t="shared" si="37"/>
        <v/>
      </c>
      <c r="AF246" s="77" t="str">
        <f>_xlfn.XLOOKUP(AD246,menu!$K$2:$K$9,menu!$J$2:$J$9,"",1)</f>
        <v/>
      </c>
      <c r="AG246" s="80" t="str">
        <f>_xlfn.XLOOKUP(AH246,menu!$O$2:$O$9,menu!$H$2:$H$9,"")</f>
        <v>Cinamon</v>
      </c>
      <c r="AH246" s="81" t="s">
        <v>78</v>
      </c>
      <c r="AI246" t="str">
        <f>_xlfn.LET(_xlpm.x,_xlfn.CONCAT(_xlfn.XLOOKUP(D246,beans!$A$2:$A$300,beans!$J$2:$J$300,"")," / ",_xlfn.XLOOKUP(D246,beans!$A$2:$A$300,beans!$K$2:$K$300,"")," - ",_xlfn.XLOOKUP(D246,beans!$A$2:$A$300,beans!$L$2:$L$300,"")),IF(_xlpm.x=" /  - ","",_xlpm.x))</f>
        <v xml:space="preserve">耶加雪菲 / 阿若默 - </v>
      </c>
      <c r="AJ246" s="23" t="s">
        <v>523</v>
      </c>
    </row>
    <row r="247" spans="1:36" x14ac:dyDescent="0.3">
      <c r="A247">
        <v>230</v>
      </c>
      <c r="B247">
        <v>500</v>
      </c>
      <c r="D247">
        <v>49</v>
      </c>
      <c r="E247" t="str">
        <f>_xlfn.LET(_xlpm.x,_xlfn.XLOOKUP(D247,beans!$A$2:$A$300,beans!$H$2:$H$300,""),IF(_xlpm.x="","",_xlpm.x))</f>
        <v>秘魯</v>
      </c>
      <c r="F247" s="22" t="str">
        <f>_xlfn.XLOOKUP(E247,menu!$A$2:$A$37,menu!$B$2:$B$37,"")</f>
        <v>Peru</v>
      </c>
      <c r="G247" t="str">
        <f>_xlfn.XLOOKUP(E247,menu!$A$2:$A$37,menu!$C$2:$C$37,"")</f>
        <v>per</v>
      </c>
      <c r="H247" t="str">
        <f>_xlfn.LET(_xlpm.x,_xlfn.XLOOKUP(_xlfn.XLOOKUP(D247,beans!$A$2:$A$300,beans!$I$2:$I$300),menu!$E$2:$E$20,menu!$F$2:$F$20),IF(_xlpm.x="","",_xlpm.x))</f>
        <v>natural</v>
      </c>
      <c r="I247">
        <v>200</v>
      </c>
      <c r="J247">
        <v>80</v>
      </c>
      <c r="K247">
        <v>50</v>
      </c>
      <c r="L247">
        <v>90</v>
      </c>
      <c r="M247" s="68" t="s">
        <v>109</v>
      </c>
      <c r="N247">
        <v>83.4</v>
      </c>
      <c r="P247" s="67" t="s">
        <v>173</v>
      </c>
      <c r="Q247" s="68">
        <v>200.6</v>
      </c>
      <c r="R247" s="67" t="s">
        <v>237</v>
      </c>
      <c r="S247" s="68">
        <v>210.6</v>
      </c>
      <c r="T247" s="68">
        <f t="shared" si="38"/>
        <v>10</v>
      </c>
      <c r="U247">
        <f t="shared" si="34"/>
        <v>47</v>
      </c>
      <c r="V247">
        <f t="shared" si="39"/>
        <v>12.8</v>
      </c>
      <c r="W247">
        <f t="shared" si="35"/>
        <v>7.52</v>
      </c>
      <c r="X247" s="19">
        <v>45410</v>
      </c>
      <c r="Y247" s="26">
        <v>442</v>
      </c>
      <c r="Z247" s="61">
        <v>0</v>
      </c>
      <c r="AA247" s="61">
        <v>0</v>
      </c>
      <c r="AB247" s="28">
        <f t="shared" si="36"/>
        <v>0.11600000000000001</v>
      </c>
      <c r="AC247" s="110">
        <v>54</v>
      </c>
      <c r="AD247" s="26">
        <v>80.2</v>
      </c>
      <c r="AE247" s="61">
        <f t="shared" si="37"/>
        <v>26.200000000000003</v>
      </c>
      <c r="AF247" s="77" t="str">
        <f>_xlfn.XLOOKUP(AD247,menu!$K$2:$K$9,menu!$J$2:$J$9,"",1)</f>
        <v>極淺</v>
      </c>
      <c r="AG247" s="80" t="str">
        <f>_xlfn.XLOOKUP(AH247,menu!$O$2:$O$9,menu!$H$2:$H$9,"")</f>
        <v>Cinamon</v>
      </c>
      <c r="AH247" s="81" t="s">
        <v>78</v>
      </c>
      <c r="AI247" t="str">
        <f>_xlfn.LET(_xlpm.x,_xlfn.CONCAT(_xlfn.XLOOKUP(D247,beans!$A$2:$A$300,beans!$J$2:$J$300,"")," / ",_xlfn.XLOOKUP(D247,beans!$A$2:$A$300,beans!$K$2:$K$300,"")," - ",_xlfn.XLOOKUP(D247,beans!$A$2:$A$300,beans!$L$2:$L$300,"")),IF(_xlpm.x=" /  - ","",_xlpm.x))</f>
        <v>Cultivar / 聖特蕾莎莊園 - Geisha</v>
      </c>
      <c r="AJ247" s="23" t="s">
        <v>526</v>
      </c>
    </row>
    <row r="248" spans="1:36" x14ac:dyDescent="0.3">
      <c r="A248">
        <v>231</v>
      </c>
      <c r="B248">
        <v>500</v>
      </c>
      <c r="C248">
        <v>8</v>
      </c>
      <c r="D248">
        <v>19</v>
      </c>
      <c r="E248" t="str">
        <f>_xlfn.LET(_xlpm.x,_xlfn.XLOOKUP(D248,beans!$A$2:$A$300,beans!$H$2:$H$300,""),IF(_xlpm.x="","",_xlpm.x))</f>
        <v>衣索比亞</v>
      </c>
      <c r="F248" s="22" t="str">
        <f>_xlfn.XLOOKUP(E248,menu!$A$2:$A$37,menu!$B$2:$B$37,"")</f>
        <v>Ethiopia</v>
      </c>
      <c r="G248" t="str">
        <f>_xlfn.XLOOKUP(E248,menu!$A$2:$A$37,menu!$C$2:$C$37,"")</f>
        <v>eth</v>
      </c>
      <c r="H248" t="str">
        <f>_xlfn.LET(_xlpm.x,_xlfn.XLOOKUP(_xlfn.XLOOKUP(D248,beans!$A$2:$A$300,beans!$I$2:$I$300),menu!$E$2:$E$20,menu!$F$2:$F$20),IF(_xlpm.x="","",_xlpm.x))</f>
        <v>Alcoholic Natural</v>
      </c>
      <c r="I248">
        <v>200</v>
      </c>
      <c r="J248">
        <v>80</v>
      </c>
      <c r="K248">
        <v>50</v>
      </c>
      <c r="L248">
        <v>90</v>
      </c>
      <c r="M248" s="68" t="s">
        <v>101</v>
      </c>
      <c r="N248">
        <v>84.2</v>
      </c>
      <c r="P248" s="67" t="s">
        <v>262</v>
      </c>
      <c r="Q248" s="68">
        <v>206.5</v>
      </c>
      <c r="R248" s="67" t="s">
        <v>421</v>
      </c>
      <c r="S248" s="68">
        <v>219.7</v>
      </c>
      <c r="T248" s="68">
        <f t="shared" si="38"/>
        <v>13.199999999999989</v>
      </c>
      <c r="U248">
        <f t="shared" si="34"/>
        <v>82</v>
      </c>
      <c r="V248">
        <f t="shared" si="39"/>
        <v>9.6999999999999993</v>
      </c>
      <c r="W248">
        <f t="shared" si="35"/>
        <v>11.57</v>
      </c>
      <c r="X248" s="19">
        <v>45410</v>
      </c>
      <c r="Y248" s="26">
        <v>438</v>
      </c>
      <c r="Z248" s="61">
        <v>0</v>
      </c>
      <c r="AA248" s="61">
        <v>0</v>
      </c>
      <c r="AB248" s="28">
        <f t="shared" si="36"/>
        <v>0.124</v>
      </c>
      <c r="AE248" s="61" t="str">
        <f t="shared" si="37"/>
        <v/>
      </c>
      <c r="AF248" s="77" t="str">
        <f>_xlfn.XLOOKUP(AD248,menu!$K$2:$K$9,menu!$J$2:$J$9,"",1)</f>
        <v/>
      </c>
      <c r="AG248" s="80" t="str">
        <f>_xlfn.XLOOKUP(AH248,menu!$O$2:$O$9,menu!$H$2:$H$9,"")</f>
        <v>Cinamon</v>
      </c>
      <c r="AH248" s="81" t="s">
        <v>78</v>
      </c>
      <c r="AI248" t="str">
        <f>_xlfn.LET(_xlpm.x,_xlfn.CONCAT(_xlfn.XLOOKUP(D248,beans!$A$2:$A$300,beans!$J$2:$J$300,"")," / ",_xlfn.XLOOKUP(D248,beans!$A$2:$A$300,beans!$K$2:$K$300,"")," - ",_xlfn.XLOOKUP(D248,beans!$A$2:$A$300,beans!$L$2:$L$300,"")),IF(_xlpm.x=" /  - ","",_xlpm.x))</f>
        <v>古吉 / 艾德 - Heirloom</v>
      </c>
      <c r="AJ248" s="23" t="s">
        <v>527</v>
      </c>
    </row>
    <row r="249" spans="1:36" x14ac:dyDescent="0.3">
      <c r="A249">
        <v>232</v>
      </c>
      <c r="B249">
        <v>250</v>
      </c>
      <c r="D249">
        <v>45</v>
      </c>
      <c r="E249" t="str">
        <f>_xlfn.LET(_xlpm.x,_xlfn.XLOOKUP(D249,beans!$A$2:$A$300,beans!$H$2:$H$300,""),IF(_xlpm.x="","",_xlpm.x))</f>
        <v>哥倫比亞</v>
      </c>
      <c r="F249" s="22" t="str">
        <f>_xlfn.XLOOKUP(E249,menu!$A$2:$A$37,menu!$B$2:$B$37,"")</f>
        <v>Colombia</v>
      </c>
      <c r="G249" t="str">
        <f>_xlfn.XLOOKUP(E249,menu!$A$2:$A$37,menu!$C$2:$C$37,"")</f>
        <v>col</v>
      </c>
      <c r="H249" t="str">
        <f>_xlfn.LET(_xlpm.x,_xlfn.XLOOKUP(_xlfn.XLOOKUP(D249,beans!$A$2:$A$300,beans!$I$2:$I$300),menu!$E$2:$E$20,menu!$F$2:$F$20),IF(_xlpm.x="","",_xlpm.x))</f>
        <v>Special</v>
      </c>
      <c r="I249">
        <v>200</v>
      </c>
      <c r="J249">
        <v>75</v>
      </c>
      <c r="K249">
        <v>40</v>
      </c>
      <c r="L249">
        <v>75</v>
      </c>
      <c r="M249" s="68" t="s">
        <v>207</v>
      </c>
      <c r="N249">
        <v>89</v>
      </c>
      <c r="P249" s="67" t="s">
        <v>488</v>
      </c>
      <c r="Q249" s="68">
        <v>208.2</v>
      </c>
      <c r="R249" s="67" t="s">
        <v>377</v>
      </c>
      <c r="S249" s="68">
        <v>219.6</v>
      </c>
      <c r="T249" s="68">
        <f t="shared" si="38"/>
        <v>11.400000000000006</v>
      </c>
      <c r="U249">
        <f t="shared" si="34"/>
        <v>62</v>
      </c>
      <c r="V249">
        <f t="shared" si="39"/>
        <v>11</v>
      </c>
      <c r="W249">
        <f t="shared" si="35"/>
        <v>8.99</v>
      </c>
      <c r="X249" s="19">
        <v>45410</v>
      </c>
      <c r="Y249" s="26">
        <v>216</v>
      </c>
      <c r="Z249" s="61">
        <v>0</v>
      </c>
      <c r="AA249" s="61">
        <v>0</v>
      </c>
      <c r="AB249" s="28">
        <f t="shared" si="36"/>
        <v>0.13600000000000001</v>
      </c>
      <c r="AE249" s="61" t="str">
        <f t="shared" si="37"/>
        <v/>
      </c>
      <c r="AF249" s="77" t="str">
        <f>_xlfn.XLOOKUP(AD249,menu!$K$2:$K$9,menu!$J$2:$J$9,"",1)</f>
        <v/>
      </c>
      <c r="AG249" s="80" t="str">
        <f>_xlfn.XLOOKUP(AH249,menu!$O$2:$O$9,menu!$H$2:$H$9,"")</f>
        <v>Cinamon</v>
      </c>
      <c r="AH249" s="81" t="s">
        <v>78</v>
      </c>
      <c r="AI249" t="str">
        <f>_xlfn.LET(_xlpm.x,_xlfn.CONCAT(_xlfn.XLOOKUP(D249,beans!$A$2:$A$300,beans!$J$2:$J$300,"")," / ",_xlfn.XLOOKUP(D249,beans!$A$2:$A$300,beans!$K$2:$K$300,"")," - ",_xlfn.XLOOKUP(D249,beans!$A$2:$A$300,beans!$L$2:$L$300,"")),IF(_xlpm.x=" /  - ","",_xlpm.x))</f>
        <v>薇拉省 / 蒙大布蘭蔻莊園 - 紫卡杜拉</v>
      </c>
      <c r="AJ249" s="23" t="s">
        <v>523</v>
      </c>
    </row>
    <row r="250" spans="1:36" x14ac:dyDescent="0.3">
      <c r="A250">
        <v>233</v>
      </c>
      <c r="B250">
        <v>500</v>
      </c>
      <c r="D250">
        <v>42</v>
      </c>
      <c r="E250" t="str">
        <f>_xlfn.LET(_xlpm.x,_xlfn.XLOOKUP(D250,beans!$A$2:$A$300,beans!$H$2:$H$300,""),IF(_xlpm.x="","",_xlpm.x))</f>
        <v>瓜地馬拉</v>
      </c>
      <c r="F250" s="22" t="str">
        <f>_xlfn.XLOOKUP(E250,menu!$A$2:$A$37,menu!$B$2:$B$37,"")</f>
        <v>Guatemala</v>
      </c>
      <c r="G250" t="str">
        <f>_xlfn.XLOOKUP(E250,menu!$A$2:$A$37,menu!$C$2:$C$37,"")</f>
        <v>gtm</v>
      </c>
      <c r="H250" t="str">
        <f>_xlfn.LET(_xlpm.x,_xlfn.XLOOKUP(_xlfn.XLOOKUP(D250,beans!$A$2:$A$300,beans!$I$2:$I$300),menu!$E$2:$E$20,menu!$F$2:$F$20),IF(_xlpm.x="","",_xlpm.x))</f>
        <v>honey</v>
      </c>
      <c r="I250">
        <v>200</v>
      </c>
      <c r="J250">
        <v>80</v>
      </c>
      <c r="K250">
        <v>40</v>
      </c>
      <c r="L250">
        <v>90</v>
      </c>
      <c r="M250" s="68" t="s">
        <v>54</v>
      </c>
      <c r="N250">
        <v>80.3</v>
      </c>
      <c r="P250" s="67" t="s">
        <v>392</v>
      </c>
      <c r="Q250" s="68">
        <v>207.9</v>
      </c>
      <c r="R250" s="67" t="s">
        <v>528</v>
      </c>
      <c r="S250" s="68">
        <v>225</v>
      </c>
      <c r="T250" s="68">
        <f t="shared" si="38"/>
        <v>17.099999999999994</v>
      </c>
      <c r="U250">
        <f t="shared" si="34"/>
        <v>137</v>
      </c>
      <c r="V250">
        <f t="shared" si="39"/>
        <v>7.5</v>
      </c>
      <c r="W250">
        <f t="shared" si="35"/>
        <v>17.23</v>
      </c>
      <c r="X250" s="19">
        <v>45410</v>
      </c>
      <c r="Y250" s="26">
        <v>417</v>
      </c>
      <c r="Z250" s="61">
        <v>0</v>
      </c>
      <c r="AA250" s="61">
        <v>0</v>
      </c>
      <c r="AB250" s="28">
        <f t="shared" si="36"/>
        <v>0.16600000000000001</v>
      </c>
      <c r="AE250" s="61" t="str">
        <f t="shared" si="37"/>
        <v/>
      </c>
      <c r="AF250" s="77" t="str">
        <f>_xlfn.XLOOKUP(AD250,menu!$K$2:$K$9,menu!$J$2:$J$9,"",1)</f>
        <v/>
      </c>
      <c r="AG250" s="80" t="str">
        <f>_xlfn.XLOOKUP(AH250,menu!$O$2:$O$9,menu!$H$2:$H$9,"")</f>
        <v>High</v>
      </c>
      <c r="AH250" s="81" t="s">
        <v>93</v>
      </c>
      <c r="AI250" t="str">
        <f>_xlfn.LET(_xlpm.x,_xlfn.CONCAT(_xlfn.XLOOKUP(D250,beans!$A$2:$A$300,beans!$J$2:$J$300,"")," / ",_xlfn.XLOOKUP(D250,beans!$A$2:$A$300,beans!$K$2:$K$300,"")," - ",_xlfn.XLOOKUP(D250,beans!$A$2:$A$300,beans!$L$2:$L$300,"")),IF(_xlpm.x=" /  - ","",_xlpm.x))</f>
        <v>薇微特南果 / 聖安東尼奧莊園 - 波旁,鐵皮卡</v>
      </c>
      <c r="AJ250" s="23" t="s">
        <v>483</v>
      </c>
    </row>
    <row r="251" spans="1:36" x14ac:dyDescent="0.3">
      <c r="A251">
        <v>234</v>
      </c>
      <c r="B251">
        <v>250</v>
      </c>
      <c r="D251">
        <v>6</v>
      </c>
      <c r="E251" t="str">
        <f>_xlfn.LET(_xlpm.x,_xlfn.XLOOKUP(D251,beans!$A$2:$A$300,beans!$H$2:$H$300,""),IF(_xlpm.x="","",_xlpm.x))</f>
        <v>肯亞</v>
      </c>
      <c r="F251" s="22" t="str">
        <f>_xlfn.XLOOKUP(E251,menu!$A$2:$A$37,menu!$B$2:$B$37,"")</f>
        <v>Kenya</v>
      </c>
      <c r="G251" t="str">
        <f>_xlfn.XLOOKUP(E251,menu!$A$2:$A$37,menu!$C$2:$C$37,"")</f>
        <v>ken</v>
      </c>
      <c r="H251" t="str">
        <f>_xlfn.LET(_xlpm.x,_xlfn.XLOOKUP(_xlfn.XLOOKUP(D251,beans!$A$2:$A$300,beans!$I$2:$I$300),menu!$E$2:$E$20,menu!$F$2:$F$20),IF(_xlpm.x="","",_xlpm.x))</f>
        <v>washed</v>
      </c>
      <c r="I251">
        <v>200</v>
      </c>
      <c r="J251">
        <v>75</v>
      </c>
      <c r="K251">
        <v>35</v>
      </c>
      <c r="L251">
        <v>70</v>
      </c>
      <c r="M251" s="68" t="s">
        <v>54</v>
      </c>
      <c r="N251">
        <v>86.5</v>
      </c>
      <c r="P251" s="67" t="s">
        <v>237</v>
      </c>
      <c r="Q251" s="68">
        <v>202.4</v>
      </c>
      <c r="R251" s="67" t="s">
        <v>271</v>
      </c>
      <c r="S251" s="68">
        <v>215.1</v>
      </c>
      <c r="T251" s="68">
        <f t="shared" si="38"/>
        <v>12.699999999999989</v>
      </c>
      <c r="U251">
        <f t="shared" si="34"/>
        <v>101</v>
      </c>
      <c r="V251">
        <f t="shared" si="39"/>
        <v>7.5</v>
      </c>
      <c r="W251">
        <f t="shared" si="35"/>
        <v>13.91</v>
      </c>
      <c r="X251" s="19">
        <v>45410</v>
      </c>
      <c r="Y251" s="26">
        <v>210</v>
      </c>
      <c r="Z251" s="61">
        <v>0</v>
      </c>
      <c r="AA251" s="61">
        <v>0</v>
      </c>
      <c r="AB251" s="28">
        <f t="shared" si="36"/>
        <v>0.16</v>
      </c>
      <c r="AE251" s="61" t="str">
        <f t="shared" si="37"/>
        <v/>
      </c>
      <c r="AF251" s="77" t="str">
        <f>_xlfn.XLOOKUP(AD251,menu!$K$2:$K$9,menu!$J$2:$J$9,"",1)</f>
        <v/>
      </c>
      <c r="AG251" s="80" t="str">
        <f>_xlfn.XLOOKUP(AH251,menu!$O$2:$O$9,menu!$H$2:$H$9,"")</f>
        <v>Medium</v>
      </c>
      <c r="AH251" s="81" t="s">
        <v>72</v>
      </c>
      <c r="AI251" t="str">
        <f>_xlfn.LET(_xlpm.x,_xlfn.CONCAT(_xlfn.XLOOKUP(D251,beans!$A$2:$A$300,beans!$J$2:$J$300,"")," / ",_xlfn.XLOOKUP(D251,beans!$A$2:$A$300,beans!$K$2:$K$300,"")," - ",_xlfn.XLOOKUP(D251,beans!$A$2:$A$300,beans!$L$2:$L$300,"")),IF(_xlpm.x=" /  - ","",_xlpm.x))</f>
        <v>東非大裂谷產區 / 烏克栗栗/黑莓皇后 - SL28, SL34, 少許Ruiru以及Batian</v>
      </c>
      <c r="AJ251" s="23" t="s">
        <v>529</v>
      </c>
    </row>
    <row r="252" spans="1:36" x14ac:dyDescent="0.3">
      <c r="A252">
        <v>235</v>
      </c>
      <c r="B252">
        <v>500</v>
      </c>
      <c r="D252">
        <v>47</v>
      </c>
      <c r="E252" t="str">
        <f>_xlfn.LET(_xlpm.x,_xlfn.XLOOKUP(D252,beans!$A$2:$A$300,beans!$H$2:$H$300,""),IF(_xlpm.x="","",_xlpm.x))</f>
        <v>衣索比亞</v>
      </c>
      <c r="F252" s="22" t="str">
        <f>_xlfn.XLOOKUP(E252,menu!$A$2:$A$37,menu!$B$2:$B$37,"")</f>
        <v>Ethiopia</v>
      </c>
      <c r="G252" t="str">
        <f>_xlfn.XLOOKUP(E252,menu!$A$2:$A$37,menu!$C$2:$C$37,"")</f>
        <v>eth</v>
      </c>
      <c r="H252" t="str">
        <f>_xlfn.LET(_xlpm.x,_xlfn.XLOOKUP(_xlfn.XLOOKUP(D252,beans!$A$2:$A$300,beans!$I$2:$I$300),menu!$E$2:$E$20,menu!$F$2:$F$20),IF(_xlpm.x="","",_xlpm.x))</f>
        <v>washed</v>
      </c>
      <c r="I252">
        <v>200</v>
      </c>
      <c r="J252">
        <v>75</v>
      </c>
      <c r="K252">
        <v>35</v>
      </c>
      <c r="L252">
        <v>90</v>
      </c>
      <c r="M252" s="68" t="s">
        <v>75</v>
      </c>
      <c r="N252">
        <v>130.9</v>
      </c>
      <c r="P252" s="67" t="s">
        <v>530</v>
      </c>
      <c r="Q252" s="68">
        <v>200.9</v>
      </c>
      <c r="R252" s="67" t="s">
        <v>126</v>
      </c>
      <c r="S252" s="68">
        <v>213.3</v>
      </c>
      <c r="T252" s="68">
        <f t="shared" si="38"/>
        <v>12.400000000000006</v>
      </c>
      <c r="U252">
        <f t="shared" si="34"/>
        <v>77</v>
      </c>
      <c r="V252">
        <f t="shared" si="39"/>
        <v>9.6999999999999993</v>
      </c>
      <c r="W252">
        <f t="shared" si="35"/>
        <v>13.63</v>
      </c>
      <c r="X252" s="19">
        <v>45410</v>
      </c>
      <c r="Y252" s="26">
        <v>423.6</v>
      </c>
      <c r="Z252" s="61">
        <v>0</v>
      </c>
      <c r="AA252" s="61">
        <v>0</v>
      </c>
      <c r="AB252" s="28">
        <f t="shared" si="36"/>
        <v>0.15279999999999996</v>
      </c>
      <c r="AE252" s="61" t="str">
        <f t="shared" si="37"/>
        <v/>
      </c>
      <c r="AF252" s="77" t="str">
        <f>_xlfn.XLOOKUP(AD252,menu!$K$2:$K$9,menu!$J$2:$J$9,"",1)</f>
        <v/>
      </c>
      <c r="AG252" s="80" t="str">
        <f>_xlfn.XLOOKUP(AH252,menu!$O$2:$O$9,menu!$H$2:$H$9,"")</f>
        <v>Cinamon</v>
      </c>
      <c r="AH252" s="81" t="s">
        <v>78</v>
      </c>
      <c r="AI252" t="str">
        <f>_xlfn.LET(_xlpm.x,_xlfn.CONCAT(_xlfn.XLOOKUP(D252,beans!$A$2:$A$300,beans!$J$2:$J$300,"")," / ",_xlfn.XLOOKUP(D252,beans!$A$2:$A$300,beans!$K$2:$K$300,"")," - ",_xlfn.XLOOKUP(D252,beans!$A$2:$A$300,beans!$L$2:$L$300,"")),IF(_xlpm.x=" /  - ","",_xlpm.x))</f>
        <v>吉馬莉姆 / 果美村 - 寶貝藝妓</v>
      </c>
      <c r="AJ252" s="23" t="s">
        <v>529</v>
      </c>
    </row>
    <row r="253" spans="1:36" x14ac:dyDescent="0.3">
      <c r="A253">
        <v>236</v>
      </c>
      <c r="B253">
        <v>500</v>
      </c>
      <c r="D253">
        <v>48</v>
      </c>
      <c r="E253" t="str">
        <f>_xlfn.LET(_xlpm.x,_xlfn.XLOOKUP(D253,beans!$A$2:$A$300,beans!$H$2:$H$300,""),IF(_xlpm.x="","",_xlpm.x))</f>
        <v>墨西哥</v>
      </c>
      <c r="F253" s="22" t="str">
        <f>_xlfn.XLOOKUP(E253,menu!$A$2:$A$37,menu!$B$2:$B$37,"")</f>
        <v>Mexico</v>
      </c>
      <c r="G253" t="str">
        <f>_xlfn.XLOOKUP(E253,menu!$A$2:$A$37,menu!$C$2:$C$37,"")</f>
        <v>mex</v>
      </c>
      <c r="H253" t="str">
        <f>_xlfn.LET(_xlpm.x,_xlfn.XLOOKUP(_xlfn.XLOOKUP(D253,beans!$A$2:$A$300,beans!$I$2:$I$300),menu!$E$2:$E$20,menu!$F$2:$F$20),IF(_xlpm.x="","",_xlpm.x))</f>
        <v>natural</v>
      </c>
      <c r="I253">
        <v>200</v>
      </c>
      <c r="J253">
        <v>85</v>
      </c>
      <c r="K253">
        <v>35</v>
      </c>
      <c r="L253">
        <v>90</v>
      </c>
      <c r="M253" s="68" t="s">
        <v>146</v>
      </c>
      <c r="N253">
        <v>82.3</v>
      </c>
      <c r="P253" s="67" t="s">
        <v>531</v>
      </c>
      <c r="Q253" s="68">
        <v>203.1</v>
      </c>
      <c r="R253" s="67" t="s">
        <v>330</v>
      </c>
      <c r="S253" s="68">
        <v>216.1</v>
      </c>
      <c r="T253" s="68">
        <f t="shared" si="38"/>
        <v>13</v>
      </c>
      <c r="U253">
        <f t="shared" si="34"/>
        <v>90</v>
      </c>
      <c r="V253">
        <f t="shared" si="39"/>
        <v>8.6999999999999993</v>
      </c>
      <c r="W253">
        <f t="shared" si="35"/>
        <v>12.26</v>
      </c>
      <c r="X253" s="19">
        <v>45410</v>
      </c>
      <c r="Y253" s="26">
        <v>428</v>
      </c>
      <c r="Z253" s="61">
        <v>0</v>
      </c>
      <c r="AA253" s="61">
        <v>0</v>
      </c>
      <c r="AB253" s="28">
        <f t="shared" si="36"/>
        <v>0.14399999999999999</v>
      </c>
      <c r="AE253" s="61" t="str">
        <f t="shared" si="37"/>
        <v/>
      </c>
      <c r="AF253" s="77" t="str">
        <f>_xlfn.XLOOKUP(AD253,menu!$K$2:$K$9,menu!$J$2:$J$9,"",1)</f>
        <v/>
      </c>
      <c r="AG253" s="80" t="str">
        <f>_xlfn.XLOOKUP(AH253,menu!$O$2:$O$9,menu!$H$2:$H$9,"")</f>
        <v>Medium</v>
      </c>
      <c r="AH253" s="81" t="s">
        <v>72</v>
      </c>
      <c r="AI253" t="str">
        <f>_xlfn.LET(_xlpm.x,_xlfn.CONCAT(_xlfn.XLOOKUP(D253,beans!$A$2:$A$300,beans!$J$2:$J$300,"")," / ",_xlfn.XLOOKUP(D253,beans!$A$2:$A$300,beans!$K$2:$K$300,"")," - ",_xlfn.XLOOKUP(D253,beans!$A$2:$A$300,beans!$L$2:$L$300,"")),IF(_xlpm.x=" /  - ","",_xlpm.x))</f>
        <v>拉斯瑪格麗塔斯 /  - Pache</v>
      </c>
      <c r="AJ253" s="23" t="s">
        <v>526</v>
      </c>
    </row>
    <row r="254" spans="1:36" x14ac:dyDescent="0.3">
      <c r="A254">
        <v>237</v>
      </c>
      <c r="B254">
        <v>500</v>
      </c>
      <c r="D254">
        <v>54</v>
      </c>
      <c r="E254" t="str">
        <f>_xlfn.LET(_xlpm.x,_xlfn.XLOOKUP(D254,beans!$A$2:$A$300,beans!$H$2:$H$300,""),IF(_xlpm.x="","",_xlpm.x))</f>
        <v>哥斯大黎加</v>
      </c>
      <c r="F254" s="22" t="str">
        <f>_xlfn.XLOOKUP(E254,menu!$A$2:$A$37,menu!$B$2:$B$37,"")</f>
        <v>Costa Rica</v>
      </c>
      <c r="G254" t="str">
        <f>_xlfn.XLOOKUP(E254,menu!$A$2:$A$37,menu!$C$2:$C$37,"")</f>
        <v>cri</v>
      </c>
      <c r="H254" t="str">
        <f>_xlfn.LET(_xlpm.x,_xlfn.XLOOKUP(_xlfn.XLOOKUP(D254,beans!$A$2:$A$300,beans!$I$2:$I$300),menu!$E$2:$E$20,menu!$F$2:$F$20),IF(_xlpm.x="","",_xlpm.x))</f>
        <v>Anaerobic Washed</v>
      </c>
      <c r="I254">
        <v>200</v>
      </c>
      <c r="J254">
        <v>75</v>
      </c>
      <c r="K254">
        <v>35</v>
      </c>
      <c r="L254">
        <v>90</v>
      </c>
      <c r="M254" s="68" t="s">
        <v>157</v>
      </c>
      <c r="N254">
        <v>88.5</v>
      </c>
      <c r="P254" s="67" t="s">
        <v>137</v>
      </c>
      <c r="Q254" s="68">
        <v>203.2</v>
      </c>
      <c r="R254" s="67" t="s">
        <v>400</v>
      </c>
      <c r="S254" s="68">
        <v>209.2</v>
      </c>
      <c r="T254" s="68">
        <f t="shared" si="38"/>
        <v>6</v>
      </c>
      <c r="U254">
        <f t="shared" si="34"/>
        <v>25</v>
      </c>
      <c r="V254">
        <f t="shared" si="39"/>
        <v>14.4</v>
      </c>
      <c r="W254">
        <f t="shared" si="35"/>
        <v>3.6</v>
      </c>
      <c r="X254" s="19">
        <v>45410</v>
      </c>
      <c r="Y254" s="26">
        <v>437</v>
      </c>
      <c r="Z254" s="61">
        <v>0</v>
      </c>
      <c r="AA254" s="61">
        <v>0</v>
      </c>
      <c r="AB254" s="28">
        <f t="shared" si="36"/>
        <v>0.126</v>
      </c>
      <c r="AE254" s="61" t="str">
        <f t="shared" si="37"/>
        <v/>
      </c>
      <c r="AF254" s="77" t="str">
        <f>_xlfn.XLOOKUP(AD254,menu!$K$2:$K$9,menu!$J$2:$J$9,"",1)</f>
        <v/>
      </c>
      <c r="AG254" s="80" t="str">
        <f>_xlfn.XLOOKUP(AH254,menu!$O$2:$O$9,menu!$H$2:$H$9,"")</f>
        <v>Cinamon</v>
      </c>
      <c r="AH254" s="81" t="s">
        <v>78</v>
      </c>
      <c r="AI254" t="str">
        <f>_xlfn.LET(_xlpm.x,_xlfn.CONCAT(_xlfn.XLOOKUP(D254,beans!$A$2:$A$300,beans!$J$2:$J$300,"")," / ",_xlfn.XLOOKUP(D254,beans!$A$2:$A$300,beans!$K$2:$K$300,"")," - ",_xlfn.XLOOKUP(D254,beans!$A$2:$A$300,beans!$L$2:$L$300,"")),IF(_xlpm.x=" /  - ","",_xlpm.x))</f>
        <v>塔拉珠 / 十里桃花 - Caturra</v>
      </c>
      <c r="AJ254" s="23" t="s">
        <v>526</v>
      </c>
    </row>
    <row r="255" spans="1:36" x14ac:dyDescent="0.3">
      <c r="A255">
        <v>238</v>
      </c>
      <c r="B255">
        <v>500</v>
      </c>
      <c r="D255">
        <v>54</v>
      </c>
      <c r="E255" t="str">
        <f>_xlfn.LET(_xlpm.x,_xlfn.XLOOKUP(D255,beans!$A$2:$A$300,beans!$H$2:$H$300,""),IF(_xlpm.x="","",_xlpm.x))</f>
        <v>哥斯大黎加</v>
      </c>
      <c r="F255" s="22" t="str">
        <f>_xlfn.XLOOKUP(E255,menu!$A$2:$A$37,menu!$B$2:$B$37,"")</f>
        <v>Costa Rica</v>
      </c>
      <c r="G255" t="str">
        <f>_xlfn.XLOOKUP(E255,menu!$A$2:$A$37,menu!$C$2:$C$37,"")</f>
        <v>cri</v>
      </c>
      <c r="H255" t="str">
        <f>_xlfn.LET(_xlpm.x,_xlfn.XLOOKUP(_xlfn.XLOOKUP(D255,beans!$A$2:$A$300,beans!$I$2:$I$300),menu!$E$2:$E$20,menu!$F$2:$F$20),IF(_xlpm.x="","",_xlpm.x))</f>
        <v>Anaerobic Washed</v>
      </c>
      <c r="I255">
        <v>200</v>
      </c>
      <c r="J255">
        <v>75</v>
      </c>
      <c r="K255">
        <v>35</v>
      </c>
      <c r="L255">
        <v>90</v>
      </c>
      <c r="M255" s="68" t="s">
        <v>146</v>
      </c>
      <c r="N255">
        <v>84.1</v>
      </c>
      <c r="P255" s="67" t="s">
        <v>509</v>
      </c>
      <c r="Q255" s="68">
        <v>199.4</v>
      </c>
      <c r="R255" s="67" t="s">
        <v>525</v>
      </c>
      <c r="S255" s="68">
        <v>209</v>
      </c>
      <c r="T255" s="68">
        <f t="shared" si="38"/>
        <v>9.5999999999999943</v>
      </c>
      <c r="U255">
        <f t="shared" si="34"/>
        <v>52</v>
      </c>
      <c r="V255">
        <f t="shared" si="39"/>
        <v>11.1</v>
      </c>
      <c r="W255">
        <f t="shared" si="35"/>
        <v>7.51</v>
      </c>
      <c r="X255" s="19">
        <v>45410</v>
      </c>
      <c r="Y255" s="26">
        <v>436</v>
      </c>
      <c r="Z255" s="61">
        <v>0</v>
      </c>
      <c r="AA255" s="61">
        <v>0</v>
      </c>
      <c r="AB255" s="28">
        <f t="shared" si="36"/>
        <v>0.128</v>
      </c>
      <c r="AE255" s="61" t="str">
        <f t="shared" si="37"/>
        <v/>
      </c>
      <c r="AF255" s="77" t="str">
        <f>_xlfn.XLOOKUP(AD255,menu!$K$2:$K$9,menu!$J$2:$J$9,"",1)</f>
        <v/>
      </c>
      <c r="AG255" s="80" t="str">
        <f>_xlfn.XLOOKUP(AH255,menu!$O$2:$O$9,menu!$H$2:$H$9,"")</f>
        <v>Cinamon</v>
      </c>
      <c r="AH255" s="81" t="s">
        <v>78</v>
      </c>
      <c r="AI255" t="str">
        <f>_xlfn.LET(_xlpm.x,_xlfn.CONCAT(_xlfn.XLOOKUP(D255,beans!$A$2:$A$300,beans!$J$2:$J$300,"")," / ",_xlfn.XLOOKUP(D255,beans!$A$2:$A$300,beans!$K$2:$K$300,"")," - ",_xlfn.XLOOKUP(D255,beans!$A$2:$A$300,beans!$L$2:$L$300,"")),IF(_xlpm.x=" /  - ","",_xlpm.x))</f>
        <v>塔拉珠 / 十里桃花 - Caturra</v>
      </c>
      <c r="AJ255" s="23" t="s">
        <v>526</v>
      </c>
    </row>
    <row r="256" spans="1:36" x14ac:dyDescent="0.3">
      <c r="A256">
        <v>239</v>
      </c>
      <c r="B256">
        <v>250</v>
      </c>
      <c r="D256">
        <v>46</v>
      </c>
      <c r="E256" t="str">
        <f>_xlfn.LET(_xlpm.x,_xlfn.XLOOKUP(D256,beans!$A$2:$A$300,beans!$H$2:$H$300,""),IF(_xlpm.x="","",_xlpm.x))</f>
        <v>哥倫比亞</v>
      </c>
      <c r="F256" s="22" t="str">
        <f>_xlfn.XLOOKUP(E256,menu!$A$2:$A$37,menu!$B$2:$B$37,"")</f>
        <v>Colombia</v>
      </c>
      <c r="G256" t="str">
        <f>_xlfn.XLOOKUP(E256,menu!$A$2:$A$37,menu!$C$2:$C$37,"")</f>
        <v>col</v>
      </c>
      <c r="H256" t="str">
        <f>_xlfn.LET(_xlpm.x,_xlfn.XLOOKUP(_xlfn.XLOOKUP(D256,beans!$A$2:$A$300,beans!$I$2:$I$300),menu!$E$2:$E$20,menu!$F$2:$F$20),IF(_xlpm.x="","",_xlpm.x))</f>
        <v>natural</v>
      </c>
      <c r="I256">
        <v>200</v>
      </c>
      <c r="J256">
        <v>75</v>
      </c>
      <c r="K256">
        <v>35</v>
      </c>
      <c r="L256">
        <v>70</v>
      </c>
      <c r="M256" s="68" t="s">
        <v>109</v>
      </c>
      <c r="N256">
        <v>91</v>
      </c>
      <c r="P256" s="67" t="s">
        <v>139</v>
      </c>
      <c r="Q256" s="68">
        <v>200.9</v>
      </c>
      <c r="R256" s="67" t="s">
        <v>267</v>
      </c>
      <c r="S256" s="68">
        <v>212.6</v>
      </c>
      <c r="T256" s="68">
        <f t="shared" si="38"/>
        <v>11.699999999999989</v>
      </c>
      <c r="U256">
        <f t="shared" si="34"/>
        <v>82</v>
      </c>
      <c r="V256">
        <f t="shared" si="39"/>
        <v>8.6</v>
      </c>
      <c r="W256">
        <f t="shared" si="35"/>
        <v>11.66</v>
      </c>
      <c r="X256" s="19">
        <v>45410</v>
      </c>
      <c r="Y256" s="26">
        <v>215</v>
      </c>
      <c r="Z256" s="61">
        <v>0</v>
      </c>
      <c r="AA256" s="61">
        <v>0</v>
      </c>
      <c r="AB256" s="28">
        <f t="shared" si="36"/>
        <v>0.14000000000000001</v>
      </c>
      <c r="AE256" s="61" t="str">
        <f t="shared" si="37"/>
        <v/>
      </c>
      <c r="AF256" s="77" t="str">
        <f>_xlfn.XLOOKUP(AD256,menu!$K$2:$K$9,menu!$J$2:$J$9,"",1)</f>
        <v/>
      </c>
      <c r="AG256" s="80" t="str">
        <f>_xlfn.XLOOKUP(AH256,menu!$O$2:$O$9,menu!$H$2:$H$9,"")</f>
        <v>Medium</v>
      </c>
      <c r="AH256" s="81" t="s">
        <v>72</v>
      </c>
      <c r="AI256" t="str">
        <f>_xlfn.LET(_xlpm.x,_xlfn.CONCAT(_xlfn.XLOOKUP(D256,beans!$A$2:$A$300,beans!$J$2:$J$300,"")," / ",_xlfn.XLOOKUP(D256,beans!$A$2:$A$300,beans!$K$2:$K$300,"")," - ",_xlfn.XLOOKUP(D256,beans!$A$2:$A$300,beans!$L$2:$L$300,"")),IF(_xlpm.x=" /  - ","",_xlpm.x))</f>
        <v>昆迪瑪卡 / 緹比莉塔  - 卡斯提優</v>
      </c>
      <c r="AJ256" s="23" t="s">
        <v>529</v>
      </c>
    </row>
    <row r="257" spans="1:36" x14ac:dyDescent="0.3">
      <c r="A257">
        <v>240</v>
      </c>
      <c r="B257">
        <v>500</v>
      </c>
      <c r="C257">
        <v>7</v>
      </c>
      <c r="D257">
        <v>49</v>
      </c>
      <c r="E257" t="str">
        <f>_xlfn.LET(_xlpm.x,_xlfn.XLOOKUP(D257,beans!$A$2:$A$300,beans!$H$2:$H$300,""),IF(_xlpm.x="","",_xlpm.x))</f>
        <v>秘魯</v>
      </c>
      <c r="F257" s="22" t="str">
        <f>_xlfn.XLOOKUP(E257,menu!$A$2:$A$37,menu!$B$2:$B$37,"")</f>
        <v>Peru</v>
      </c>
      <c r="G257" t="str">
        <f>_xlfn.XLOOKUP(E257,menu!$A$2:$A$37,menu!$C$2:$C$37,"")</f>
        <v>per</v>
      </c>
      <c r="H257" t="str">
        <f>_xlfn.LET(_xlpm.x,_xlfn.XLOOKUP(_xlfn.XLOOKUP(D257,beans!$A$2:$A$300,beans!$I$2:$I$300),menu!$E$2:$E$20,menu!$F$2:$F$20),IF(_xlpm.x="","",_xlpm.x))</f>
        <v>natural</v>
      </c>
      <c r="I257">
        <v>200</v>
      </c>
      <c r="J257">
        <v>85</v>
      </c>
      <c r="K257">
        <v>35</v>
      </c>
      <c r="L257">
        <v>90</v>
      </c>
      <c r="M257" s="68" t="s">
        <v>121</v>
      </c>
      <c r="N257">
        <v>81.7</v>
      </c>
      <c r="P257" s="67" t="s">
        <v>119</v>
      </c>
      <c r="Q257" s="68">
        <v>200.8</v>
      </c>
      <c r="R257" s="67" t="s">
        <v>532</v>
      </c>
      <c r="S257" s="68">
        <v>216.3</v>
      </c>
      <c r="T257" s="68">
        <f t="shared" si="38"/>
        <v>15.5</v>
      </c>
      <c r="U257">
        <f t="shared" si="34"/>
        <v>96</v>
      </c>
      <c r="V257">
        <f t="shared" si="39"/>
        <v>9.6999999999999993</v>
      </c>
      <c r="W257">
        <f t="shared" si="35"/>
        <v>14.14</v>
      </c>
      <c r="X257" s="19">
        <v>45413</v>
      </c>
      <c r="Y257" s="26">
        <v>432.9</v>
      </c>
      <c r="Z257" s="61">
        <v>0</v>
      </c>
      <c r="AA257" s="61">
        <v>0</v>
      </c>
      <c r="AB257" s="28">
        <f t="shared" si="36"/>
        <v>0.13420000000000004</v>
      </c>
      <c r="AC257" s="110">
        <v>42.1</v>
      </c>
      <c r="AD257" s="26">
        <v>61.9</v>
      </c>
      <c r="AE257" s="61">
        <f t="shared" si="37"/>
        <v>19.799999999999997</v>
      </c>
      <c r="AF257" s="77" t="str">
        <f>_xlfn.XLOOKUP(AD257,menu!$K$2:$K$9,menu!$J$2:$J$9,"",1)</f>
        <v>中淺</v>
      </c>
      <c r="AG257" s="80" t="str">
        <f>_xlfn.XLOOKUP(AH257,menu!$O$2:$O$9,menu!$H$2:$H$9,"")</f>
        <v>Medium</v>
      </c>
      <c r="AH257" s="81" t="s">
        <v>72</v>
      </c>
      <c r="AI257" t="str">
        <f>_xlfn.LET(_xlpm.x,_xlfn.CONCAT(_xlfn.XLOOKUP(D257,beans!$A$2:$A$300,beans!$J$2:$J$300,"")," / ",_xlfn.XLOOKUP(D257,beans!$A$2:$A$300,beans!$K$2:$K$300,"")," - ",_xlfn.XLOOKUP(D257,beans!$A$2:$A$300,beans!$L$2:$L$300,"")),IF(_xlpm.x=" /  - ","",_xlpm.x))</f>
        <v>Cultivar / 聖特蕾莎莊園 - Geisha</v>
      </c>
      <c r="AJ257" s="23" t="s">
        <v>533</v>
      </c>
    </row>
    <row r="258" spans="1:36" x14ac:dyDescent="0.3">
      <c r="A258">
        <v>241</v>
      </c>
      <c r="B258">
        <v>500</v>
      </c>
      <c r="C258">
        <v>7</v>
      </c>
      <c r="D258">
        <v>48</v>
      </c>
      <c r="E258" t="str">
        <f>_xlfn.LET(_xlpm.x,_xlfn.XLOOKUP(D258,beans!$A$2:$A$300,beans!$H$2:$H$300,""),IF(_xlpm.x="","",_xlpm.x))</f>
        <v>墨西哥</v>
      </c>
      <c r="F258" s="22" t="str">
        <f>_xlfn.XLOOKUP(E258,menu!$A$2:$A$37,menu!$B$2:$B$37,"")</f>
        <v>Mexico</v>
      </c>
      <c r="G258" t="str">
        <f>_xlfn.XLOOKUP(E258,menu!$A$2:$A$37,menu!$C$2:$C$37,"")</f>
        <v>mex</v>
      </c>
      <c r="H258" t="str">
        <f>_xlfn.LET(_xlpm.x,_xlfn.XLOOKUP(_xlfn.XLOOKUP(D258,beans!$A$2:$A$300,beans!$I$2:$I$300),menu!$E$2:$E$20,menu!$F$2:$F$20),IF(_xlpm.x="","",_xlpm.x))</f>
        <v>natural</v>
      </c>
      <c r="I258">
        <v>200</v>
      </c>
      <c r="J258">
        <v>85</v>
      </c>
      <c r="K258">
        <v>35</v>
      </c>
      <c r="L258">
        <v>90</v>
      </c>
      <c r="M258" s="68" t="s">
        <v>190</v>
      </c>
      <c r="N258">
        <v>80.3</v>
      </c>
      <c r="P258" s="67" t="s">
        <v>443</v>
      </c>
      <c r="Q258" s="68">
        <v>206.4</v>
      </c>
      <c r="R258" s="67" t="s">
        <v>290</v>
      </c>
      <c r="S258" s="68">
        <v>216</v>
      </c>
      <c r="T258" s="68">
        <f t="shared" si="38"/>
        <v>9.5999999999999943</v>
      </c>
      <c r="U258">
        <f t="shared" ref="U258:U321" si="40">_xlfn.LET(_xlpm.x,(TIMEVALUE("0:"&amp;SUBSTITUTE(R258,"'",":"))-TIMEVALUE("0:"&amp;SUBSTITUTE(P258,"'",":")))*86400,IF(_xlpm.x=0,"",ROUND(_xlpm.x,2)))</f>
        <v>69</v>
      </c>
      <c r="V258">
        <f t="shared" si="39"/>
        <v>8.3000000000000007</v>
      </c>
      <c r="W258">
        <f t="shared" ref="W258:W321" si="41">_xlfn.LET(_xlpm.x,(TIMEVALUE("0:"&amp;SUBSTITUTE(R258,"'",":"))-TIMEVALUE("0:"&amp;SUBSTITUTE(P258,"'",":")))*86400,IF(_xlpm.x=0,"",ROUND(_xlpm.x/((TIMEVALUE("0:"&amp;SUBSTITUTE(R258,"'",":"))-TIMEVALUE("0:0:0"))*864),2)))</f>
        <v>10.42</v>
      </c>
      <c r="X258" s="19">
        <v>45413</v>
      </c>
      <c r="Y258" s="26">
        <v>427.3</v>
      </c>
      <c r="Z258" s="61">
        <v>0</v>
      </c>
      <c r="AA258" s="61">
        <v>0</v>
      </c>
      <c r="AB258" s="28">
        <f t="shared" ref="AB258:AB321" si="42">IF(Y258 &gt; 0,(B258-Y258)/B258," ")</f>
        <v>0.14539999999999997</v>
      </c>
      <c r="AC258" s="110">
        <v>49.4</v>
      </c>
      <c r="AD258" s="26">
        <v>65.599999999999994</v>
      </c>
      <c r="AE258" s="61">
        <f t="shared" ref="AE258:AE321" si="43">_xlfn.LET(_xlpm.x,AD258-AC258,IF(_xlpm.x=0,"",_xlpm.x))</f>
        <v>16.199999999999996</v>
      </c>
      <c r="AF258" s="77" t="str">
        <f>_xlfn.XLOOKUP(AD258,menu!$K$2:$K$9,menu!$J$2:$J$9,"",1)</f>
        <v>中淺</v>
      </c>
      <c r="AG258" s="80" t="str">
        <f>_xlfn.XLOOKUP(AH258,menu!$O$2:$O$9,menu!$H$2:$H$9,"")</f>
        <v>Medium</v>
      </c>
      <c r="AH258" s="81" t="s">
        <v>72</v>
      </c>
      <c r="AI258" t="str">
        <f>_xlfn.LET(_xlpm.x,_xlfn.CONCAT(_xlfn.XLOOKUP(D258,beans!$A$2:$A$300,beans!$J$2:$J$300,"")," / ",_xlfn.XLOOKUP(D258,beans!$A$2:$A$300,beans!$K$2:$K$300,"")," - ",_xlfn.XLOOKUP(D258,beans!$A$2:$A$300,beans!$L$2:$L$300,"")),IF(_xlpm.x=" /  - ","",_xlpm.x))</f>
        <v>拉斯瑪格麗塔斯 /  - Pache</v>
      </c>
      <c r="AJ258" s="23" t="s">
        <v>534</v>
      </c>
    </row>
    <row r="259" spans="1:36" x14ac:dyDescent="0.3">
      <c r="A259">
        <v>242</v>
      </c>
      <c r="B259">
        <v>250</v>
      </c>
      <c r="D259">
        <v>54</v>
      </c>
      <c r="E259" t="str">
        <f>_xlfn.LET(_xlpm.x,_xlfn.XLOOKUP(D259,beans!$A$2:$A$300,beans!$H$2:$H$300,""),IF(_xlpm.x="","",_xlpm.x))</f>
        <v>哥斯大黎加</v>
      </c>
      <c r="F259" s="22" t="str">
        <f>_xlfn.XLOOKUP(E259,menu!$A$2:$A$37,menu!$B$2:$B$37,"")</f>
        <v>Costa Rica</v>
      </c>
      <c r="G259" t="str">
        <f>_xlfn.XLOOKUP(E259,menu!$A$2:$A$37,menu!$C$2:$C$37,"")</f>
        <v>cri</v>
      </c>
      <c r="H259" t="str">
        <f>_xlfn.LET(_xlpm.x,_xlfn.XLOOKUP(_xlfn.XLOOKUP(D259,beans!$A$2:$A$300,beans!$I$2:$I$300),menu!$E$2:$E$20,menu!$F$2:$F$20),IF(_xlpm.x="","",_xlpm.x))</f>
        <v>Anaerobic Washed</v>
      </c>
      <c r="I259">
        <v>200</v>
      </c>
      <c r="J259">
        <v>80</v>
      </c>
      <c r="K259">
        <v>40</v>
      </c>
      <c r="L259">
        <v>70</v>
      </c>
      <c r="M259" s="68" t="s">
        <v>190</v>
      </c>
      <c r="N259">
        <v>86</v>
      </c>
      <c r="P259" s="67" t="s">
        <v>325</v>
      </c>
      <c r="Q259" s="68">
        <v>203.1</v>
      </c>
      <c r="R259" s="67" t="s">
        <v>414</v>
      </c>
      <c r="S259" s="68">
        <v>209.8</v>
      </c>
      <c r="T259" s="68">
        <f t="shared" ref="T259:T322" si="44">_xlfn.LET(_xlpm.x,S259-Q259,IF(_xlpm.x=0,"",_xlpm.x))</f>
        <v>6.7000000000000171</v>
      </c>
      <c r="U259">
        <f t="shared" si="40"/>
        <v>34</v>
      </c>
      <c r="V259">
        <f t="shared" ref="V259:V322" si="45">IFERROR(ROUND(T259*60/U259,1), )</f>
        <v>11.8</v>
      </c>
      <c r="W259">
        <f t="shared" si="41"/>
        <v>5.3</v>
      </c>
      <c r="X259" s="19">
        <v>45416</v>
      </c>
      <c r="Y259" s="26">
        <v>213</v>
      </c>
      <c r="Z259" s="61">
        <v>0</v>
      </c>
      <c r="AA259" s="61">
        <v>0</v>
      </c>
      <c r="AB259" s="28">
        <f t="shared" si="42"/>
        <v>0.14799999999999999</v>
      </c>
      <c r="AE259" s="61" t="str">
        <f t="shared" si="43"/>
        <v/>
      </c>
      <c r="AF259" s="77" t="str">
        <f>_xlfn.XLOOKUP(AD259,menu!$K$2:$K$9,menu!$J$2:$J$9,"",1)</f>
        <v/>
      </c>
      <c r="AG259" s="80" t="str">
        <f>_xlfn.XLOOKUP(AH259,menu!$O$2:$O$9,menu!$H$2:$H$9,"")</f>
        <v>Cinamon</v>
      </c>
      <c r="AH259" s="81" t="s">
        <v>78</v>
      </c>
      <c r="AI259" t="str">
        <f>_xlfn.LET(_xlpm.x,_xlfn.CONCAT(_xlfn.XLOOKUP(D259,beans!$A$2:$A$300,beans!$J$2:$J$300,"")," / ",_xlfn.XLOOKUP(D259,beans!$A$2:$A$300,beans!$K$2:$K$300,"")," - ",_xlfn.XLOOKUP(D259,beans!$A$2:$A$300,beans!$L$2:$L$300,"")),IF(_xlpm.x=" /  - ","",_xlpm.x))</f>
        <v>塔拉珠 / 十里桃花 - Caturra</v>
      </c>
      <c r="AJ259" s="23" t="s">
        <v>535</v>
      </c>
    </row>
    <row r="260" spans="1:36" x14ac:dyDescent="0.3">
      <c r="A260">
        <v>243</v>
      </c>
      <c r="B260">
        <v>500</v>
      </c>
      <c r="E260" t="str">
        <f>_xlfn.LET(_xlpm.x,_xlfn.XLOOKUP(D260,beans!$A$2:$A$300,beans!$H$2:$H$300,""),IF(_xlpm.x="","",_xlpm.x))</f>
        <v/>
      </c>
      <c r="F260" s="22" t="str">
        <f>_xlfn.XLOOKUP(E260,menu!$A$2:$A$37,menu!$B$2:$B$37,"")</f>
        <v/>
      </c>
      <c r="G260" t="str">
        <f>_xlfn.XLOOKUP(E260,menu!$A$2:$A$37,menu!$C$2:$C$37,"")</f>
        <v/>
      </c>
      <c r="H260" t="str">
        <f>_xlfn.LET(_xlpm.x,_xlfn.XLOOKUP(_xlfn.XLOOKUP(D260,beans!$A$2:$A$300,beans!$I$2:$I$300),menu!$E$2:$E$20,menu!$F$2:$F$20),IF(_xlpm.x="","",_xlpm.x))</f>
        <v/>
      </c>
      <c r="T260" s="68" t="str">
        <f t="shared" si="44"/>
        <v/>
      </c>
      <c r="U260" t="str">
        <f t="shared" si="40"/>
        <v/>
      </c>
      <c r="V260">
        <f t="shared" si="45"/>
        <v>0</v>
      </c>
      <c r="W260" t="str">
        <f t="shared" si="41"/>
        <v/>
      </c>
      <c r="X260" s="19">
        <v>45416</v>
      </c>
      <c r="Z260" s="61">
        <v>0</v>
      </c>
      <c r="AB260" s="28" t="str">
        <f t="shared" si="42"/>
        <v xml:space="preserve"> </v>
      </c>
      <c r="AE260" s="61" t="str">
        <f t="shared" si="43"/>
        <v/>
      </c>
      <c r="AF260" s="77" t="str">
        <f>_xlfn.XLOOKUP(AD260,menu!$K$2:$K$9,menu!$J$2:$J$9,"",1)</f>
        <v/>
      </c>
      <c r="AG260" s="80" t="str">
        <f>_xlfn.XLOOKUP(AH260,menu!$O$2:$O$9,menu!$H$2:$H$9,"")</f>
        <v/>
      </c>
      <c r="AI260" t="str">
        <f>_xlfn.LET(_xlpm.x,_xlfn.CONCAT(_xlfn.XLOOKUP(D260,beans!$A$2:$A$300,beans!$J$2:$J$300,"")," / ",_xlfn.XLOOKUP(D260,beans!$A$2:$A$300,beans!$K$2:$K$300,"")," - ",_xlfn.XLOOKUP(D260,beans!$A$2:$A$300,beans!$L$2:$L$300,"")),IF(_xlpm.x=" /  - ","",_xlpm.x))</f>
        <v/>
      </c>
      <c r="AJ260" s="23" t="s">
        <v>536</v>
      </c>
    </row>
    <row r="261" spans="1:36" x14ac:dyDescent="0.3">
      <c r="A261">
        <v>244</v>
      </c>
      <c r="B261">
        <v>500</v>
      </c>
      <c r="E261" t="str">
        <f>_xlfn.LET(_xlpm.x,_xlfn.XLOOKUP(D261,beans!$A$2:$A$300,beans!$H$2:$H$300,""),IF(_xlpm.x="","",_xlpm.x))</f>
        <v/>
      </c>
      <c r="F261" s="22" t="str">
        <f>_xlfn.XLOOKUP(E261,menu!$A$2:$A$37,menu!$B$2:$B$37,"")</f>
        <v/>
      </c>
      <c r="G261" t="str">
        <f>_xlfn.XLOOKUP(E261,menu!$A$2:$A$37,menu!$C$2:$C$37,"")</f>
        <v/>
      </c>
      <c r="H261" t="str">
        <f>_xlfn.LET(_xlpm.x,_xlfn.XLOOKUP(_xlfn.XLOOKUP(D261,beans!$A$2:$A$300,beans!$I$2:$I$300),menu!$E$2:$E$20,menu!$F$2:$F$20),IF(_xlpm.x="","",_xlpm.x))</f>
        <v/>
      </c>
      <c r="T261" s="68" t="str">
        <f t="shared" si="44"/>
        <v/>
      </c>
      <c r="U261" t="str">
        <f t="shared" si="40"/>
        <v/>
      </c>
      <c r="V261">
        <f t="shared" si="45"/>
        <v>0</v>
      </c>
      <c r="W261" t="str">
        <f t="shared" si="41"/>
        <v/>
      </c>
      <c r="X261" s="19">
        <v>45416</v>
      </c>
      <c r="Z261" s="61">
        <v>0</v>
      </c>
      <c r="AB261" s="28" t="str">
        <f t="shared" si="42"/>
        <v xml:space="preserve"> </v>
      </c>
      <c r="AE261" s="61" t="str">
        <f t="shared" si="43"/>
        <v/>
      </c>
      <c r="AF261" s="77" t="str">
        <f>_xlfn.XLOOKUP(AD261,menu!$K$2:$K$9,menu!$J$2:$J$9,"",1)</f>
        <v/>
      </c>
      <c r="AG261" s="80" t="str">
        <f>_xlfn.XLOOKUP(AH261,menu!$O$2:$O$9,menu!$H$2:$H$9,"")</f>
        <v/>
      </c>
      <c r="AI261" t="str">
        <f>_xlfn.LET(_xlpm.x,_xlfn.CONCAT(_xlfn.XLOOKUP(D261,beans!$A$2:$A$300,beans!$J$2:$J$300,"")," / ",_xlfn.XLOOKUP(D261,beans!$A$2:$A$300,beans!$K$2:$K$300,"")," - ",_xlfn.XLOOKUP(D261,beans!$A$2:$A$300,beans!$L$2:$L$300,"")),IF(_xlpm.x=" /  - ","",_xlpm.x))</f>
        <v/>
      </c>
      <c r="AJ261" s="23" t="s">
        <v>536</v>
      </c>
    </row>
    <row r="262" spans="1:36" x14ac:dyDescent="0.3">
      <c r="A262">
        <v>245</v>
      </c>
      <c r="B262">
        <v>500</v>
      </c>
      <c r="E262" t="str">
        <f>_xlfn.LET(_xlpm.x,_xlfn.XLOOKUP(D262,beans!$A$2:$A$300,beans!$H$2:$H$300,""),IF(_xlpm.x="","",_xlpm.x))</f>
        <v/>
      </c>
      <c r="F262" s="22" t="str">
        <f>_xlfn.XLOOKUP(E262,menu!$A$2:$A$37,menu!$B$2:$B$37,"")</f>
        <v/>
      </c>
      <c r="G262" t="str">
        <f>_xlfn.XLOOKUP(E262,menu!$A$2:$A$37,menu!$C$2:$C$37,"")</f>
        <v/>
      </c>
      <c r="H262" t="str">
        <f>_xlfn.LET(_xlpm.x,_xlfn.XLOOKUP(_xlfn.XLOOKUP(D262,beans!$A$2:$A$300,beans!$I$2:$I$300),menu!$E$2:$E$20,menu!$F$2:$F$20),IF(_xlpm.x="","",_xlpm.x))</f>
        <v/>
      </c>
      <c r="T262" s="68" t="str">
        <f t="shared" si="44"/>
        <v/>
      </c>
      <c r="U262" t="str">
        <f t="shared" si="40"/>
        <v/>
      </c>
      <c r="V262">
        <f t="shared" si="45"/>
        <v>0</v>
      </c>
      <c r="W262" t="str">
        <f t="shared" si="41"/>
        <v/>
      </c>
      <c r="X262" s="19">
        <v>45416</v>
      </c>
      <c r="Z262" s="61">
        <v>0</v>
      </c>
      <c r="AB262" s="28" t="str">
        <f t="shared" si="42"/>
        <v xml:space="preserve"> </v>
      </c>
      <c r="AE262" s="61" t="str">
        <f t="shared" si="43"/>
        <v/>
      </c>
      <c r="AF262" s="77" t="str">
        <f>_xlfn.XLOOKUP(AD262,menu!$K$2:$K$9,menu!$J$2:$J$9,"",1)</f>
        <v/>
      </c>
      <c r="AG262" s="80" t="str">
        <f>_xlfn.XLOOKUP(AH262,menu!$O$2:$O$9,menu!$H$2:$H$9,"")</f>
        <v/>
      </c>
      <c r="AI262" t="str">
        <f>_xlfn.LET(_xlpm.x,_xlfn.CONCAT(_xlfn.XLOOKUP(D262,beans!$A$2:$A$300,beans!$J$2:$J$300,"")," / ",_xlfn.XLOOKUP(D262,beans!$A$2:$A$300,beans!$K$2:$K$300,"")," - ",_xlfn.XLOOKUP(D262,beans!$A$2:$A$300,beans!$L$2:$L$300,"")),IF(_xlpm.x=" /  - ","",_xlpm.x))</f>
        <v/>
      </c>
      <c r="AJ262" s="23" t="s">
        <v>536</v>
      </c>
    </row>
    <row r="263" spans="1:36" x14ac:dyDescent="0.3">
      <c r="A263">
        <v>246</v>
      </c>
      <c r="B263">
        <v>500</v>
      </c>
      <c r="C263">
        <v>10</v>
      </c>
      <c r="D263">
        <v>49</v>
      </c>
      <c r="E263" t="str">
        <f>_xlfn.LET(_xlpm.x,_xlfn.XLOOKUP(D263,beans!$A$2:$A$300,beans!$H$2:$H$300,""),IF(_xlpm.x="","",_xlpm.x))</f>
        <v>秘魯</v>
      </c>
      <c r="F263" s="22" t="str">
        <f>_xlfn.XLOOKUP(E263,menu!$A$2:$A$37,menu!$B$2:$B$37,"")</f>
        <v>Peru</v>
      </c>
      <c r="G263" t="str">
        <f>_xlfn.XLOOKUP(E263,menu!$A$2:$A$37,menu!$C$2:$C$37,"")</f>
        <v>per</v>
      </c>
      <c r="H263" t="str">
        <f>_xlfn.LET(_xlpm.x,_xlfn.XLOOKUP(_xlfn.XLOOKUP(D263,beans!$A$2:$A$300,beans!$I$2:$I$300),menu!$E$2:$E$20,menu!$F$2:$F$20),IF(_xlpm.x="","",_xlpm.x))</f>
        <v>natural</v>
      </c>
      <c r="I263">
        <v>210</v>
      </c>
      <c r="J263">
        <v>80</v>
      </c>
      <c r="K263">
        <v>45</v>
      </c>
      <c r="L263">
        <v>90</v>
      </c>
      <c r="M263" s="68" t="s">
        <v>207</v>
      </c>
      <c r="N263">
        <v>83.3</v>
      </c>
      <c r="P263" s="67" t="s">
        <v>537</v>
      </c>
      <c r="Q263" s="68">
        <v>199.9</v>
      </c>
      <c r="R263" s="67" t="s">
        <v>319</v>
      </c>
      <c r="S263" s="68">
        <v>209.5</v>
      </c>
      <c r="T263" s="68">
        <f t="shared" si="44"/>
        <v>9.5999999999999943</v>
      </c>
      <c r="U263">
        <f t="shared" si="40"/>
        <v>59</v>
      </c>
      <c r="V263">
        <f t="shared" si="45"/>
        <v>9.8000000000000007</v>
      </c>
      <c r="W263">
        <f t="shared" si="41"/>
        <v>9.0399999999999991</v>
      </c>
      <c r="X263" s="19">
        <v>45417</v>
      </c>
      <c r="Y263" s="26">
        <v>433</v>
      </c>
      <c r="Z263" s="61">
        <v>0</v>
      </c>
      <c r="AB263" s="28">
        <f t="shared" si="42"/>
        <v>0.13400000000000001</v>
      </c>
      <c r="AC263" s="110">
        <v>50.8</v>
      </c>
      <c r="AD263" s="26">
        <v>75.8</v>
      </c>
      <c r="AE263" s="61">
        <f t="shared" si="43"/>
        <v>25</v>
      </c>
      <c r="AF263" s="77" t="str">
        <f>_xlfn.XLOOKUP(AD263,menu!$K$2:$K$9,menu!$J$2:$J$9,"",1)</f>
        <v>淺</v>
      </c>
      <c r="AG263" s="80" t="str">
        <f>_xlfn.XLOOKUP(AH263,menu!$O$2:$O$9,menu!$H$2:$H$9,"")</f>
        <v>Cinamon</v>
      </c>
      <c r="AH263" s="81" t="s">
        <v>78</v>
      </c>
      <c r="AI263" t="str">
        <f>_xlfn.LET(_xlpm.x,_xlfn.CONCAT(_xlfn.XLOOKUP(D263,beans!$A$2:$A$300,beans!$J$2:$J$300,"")," / ",_xlfn.XLOOKUP(D263,beans!$A$2:$A$300,beans!$K$2:$K$300,"")," - ",_xlfn.XLOOKUP(D263,beans!$A$2:$A$300,beans!$L$2:$L$300,"")),IF(_xlpm.x=" /  - ","",_xlpm.x))</f>
        <v>Cultivar / 聖特蕾莎莊園 - Geisha</v>
      </c>
      <c r="AJ263" s="23" t="s">
        <v>538</v>
      </c>
    </row>
    <row r="264" spans="1:36" x14ac:dyDescent="0.3">
      <c r="A264">
        <v>247</v>
      </c>
      <c r="B264">
        <v>500</v>
      </c>
      <c r="D264">
        <v>2</v>
      </c>
      <c r="E264" t="str">
        <f>_xlfn.LET(_xlpm.x,_xlfn.XLOOKUP(D264,beans!$A$2:$A$300,beans!$H$2:$H$300,""),IF(_xlpm.x="","",_xlpm.x))</f>
        <v>哥斯大黎加</v>
      </c>
      <c r="F264" s="22" t="str">
        <f>_xlfn.XLOOKUP(E264,menu!$A$2:$A$37,menu!$B$2:$B$37,"")</f>
        <v>Costa Rica</v>
      </c>
      <c r="G264" t="str">
        <f>_xlfn.XLOOKUP(E264,menu!$A$2:$A$37,menu!$C$2:$C$37,"")</f>
        <v>cri</v>
      </c>
      <c r="H264" t="str">
        <f>_xlfn.LET(_xlpm.x,_xlfn.XLOOKUP(_xlfn.XLOOKUP(D264,beans!$A$2:$A$300,beans!$I$2:$I$300),menu!$E$2:$E$20,menu!$F$2:$F$20),IF(_xlpm.x="","",_xlpm.x))</f>
        <v>raisin-honey</v>
      </c>
      <c r="I264">
        <v>210</v>
      </c>
      <c r="J264">
        <v>80</v>
      </c>
      <c r="K264">
        <v>40</v>
      </c>
      <c r="L264">
        <v>90</v>
      </c>
      <c r="M264" s="68" t="s">
        <v>146</v>
      </c>
      <c r="N264">
        <v>84.9</v>
      </c>
      <c r="P264" s="67" t="s">
        <v>367</v>
      </c>
      <c r="Q264" s="68">
        <v>203.9</v>
      </c>
      <c r="R264" s="67" t="s">
        <v>525</v>
      </c>
      <c r="S264" s="68">
        <v>210.4</v>
      </c>
      <c r="T264" s="68">
        <f t="shared" si="44"/>
        <v>6.5</v>
      </c>
      <c r="U264">
        <f t="shared" si="40"/>
        <v>37</v>
      </c>
      <c r="V264">
        <f t="shared" si="45"/>
        <v>10.5</v>
      </c>
      <c r="W264">
        <f t="shared" si="41"/>
        <v>5.35</v>
      </c>
      <c r="X264" s="19">
        <v>45417</v>
      </c>
      <c r="Y264" s="26">
        <v>434.1</v>
      </c>
      <c r="Z264" s="61">
        <v>0</v>
      </c>
      <c r="AA264" s="61">
        <v>0</v>
      </c>
      <c r="AB264" s="28">
        <f t="shared" si="42"/>
        <v>0.13179999999999994</v>
      </c>
      <c r="AC264" s="110">
        <v>63.7</v>
      </c>
      <c r="AD264" s="26">
        <v>85.3</v>
      </c>
      <c r="AE264" s="61">
        <f t="shared" si="43"/>
        <v>21.599999999999994</v>
      </c>
      <c r="AF264" s="77" t="str">
        <f>_xlfn.XLOOKUP(AD264,menu!$K$2:$K$9,menu!$J$2:$J$9,"",1)</f>
        <v>極淺</v>
      </c>
      <c r="AG264" s="80" t="str">
        <f>_xlfn.XLOOKUP(AH264,menu!$O$2:$O$9,menu!$H$2:$H$9,"")</f>
        <v>Cinamon</v>
      </c>
      <c r="AH264" s="81" t="s">
        <v>78</v>
      </c>
      <c r="AI264" t="str">
        <f>_xlfn.LET(_xlpm.x,_xlfn.CONCAT(_xlfn.XLOOKUP(D264,beans!$A$2:$A$300,beans!$J$2:$J$300,"")," / ",_xlfn.XLOOKUP(D264,beans!$A$2:$A$300,beans!$K$2:$K$300,"")," - ",_xlfn.XLOOKUP(D264,beans!$A$2:$A$300,beans!$L$2:$L$300,"")),IF(_xlpm.x=" /  - ","",_xlpm.x))</f>
        <v xml:space="preserve">Tarrazu / 卡內特 音樂家系列 莫札特 - </v>
      </c>
      <c r="AJ264" s="23" t="s">
        <v>539</v>
      </c>
    </row>
    <row r="265" spans="1:36" x14ac:dyDescent="0.3">
      <c r="A265">
        <v>248</v>
      </c>
      <c r="B265">
        <v>250</v>
      </c>
      <c r="D265">
        <v>63</v>
      </c>
      <c r="E265" t="str">
        <f>_xlfn.LET(_xlpm.x,_xlfn.XLOOKUP(D265,beans!$A$2:$A$300,beans!$H$2:$H$300,""),IF(_xlpm.x="","",_xlpm.x))</f>
        <v>衣索比亞</v>
      </c>
      <c r="F265" s="22" t="str">
        <f>_xlfn.XLOOKUP(E265,menu!$A$2:$A$37,menu!$B$2:$B$37,"")</f>
        <v>Ethiopia</v>
      </c>
      <c r="G265" t="str">
        <f>_xlfn.XLOOKUP(E265,menu!$A$2:$A$37,menu!$C$2:$C$37,"")</f>
        <v>eth</v>
      </c>
      <c r="H265" t="str">
        <f>_xlfn.LET(_xlpm.x,_xlfn.XLOOKUP(_xlfn.XLOOKUP(D265,beans!$A$2:$A$300,beans!$I$2:$I$300),menu!$E$2:$E$20,menu!$F$2:$F$20),IF(_xlpm.x="","",_xlpm.x))</f>
        <v>washed</v>
      </c>
      <c r="I265">
        <v>200</v>
      </c>
      <c r="J265">
        <v>70</v>
      </c>
      <c r="K265">
        <v>45</v>
      </c>
      <c r="L265">
        <v>75</v>
      </c>
      <c r="M265" s="68" t="s">
        <v>109</v>
      </c>
      <c r="N265">
        <v>86.2</v>
      </c>
      <c r="P265" s="67" t="s">
        <v>126</v>
      </c>
      <c r="Q265" s="68">
        <v>203.6</v>
      </c>
      <c r="R265" s="67" t="s">
        <v>362</v>
      </c>
      <c r="S265" s="68">
        <v>223.4</v>
      </c>
      <c r="T265" s="68">
        <f t="shared" si="44"/>
        <v>19.800000000000011</v>
      </c>
      <c r="U265">
        <f t="shared" si="40"/>
        <v>139</v>
      </c>
      <c r="V265">
        <f t="shared" si="45"/>
        <v>8.5</v>
      </c>
      <c r="W265">
        <f t="shared" si="41"/>
        <v>19.739999999999998</v>
      </c>
      <c r="X265" s="19">
        <v>45417</v>
      </c>
      <c r="Y265" s="26">
        <v>214.2</v>
      </c>
      <c r="Z265" s="61">
        <v>0</v>
      </c>
      <c r="AA265" s="61">
        <v>0</v>
      </c>
      <c r="AB265" s="28">
        <f t="shared" si="42"/>
        <v>0.14320000000000005</v>
      </c>
      <c r="AC265" s="110">
        <v>47.7</v>
      </c>
      <c r="AD265" s="26">
        <v>60.1</v>
      </c>
      <c r="AE265" s="61">
        <f t="shared" si="43"/>
        <v>12.399999999999999</v>
      </c>
      <c r="AF265" s="77" t="str">
        <f>_xlfn.XLOOKUP(AD265,menu!$K$2:$K$9,menu!$J$2:$J$9,"",1)</f>
        <v>中淺</v>
      </c>
      <c r="AG265" s="80" t="str">
        <f>_xlfn.XLOOKUP(AH265,menu!$O$2:$O$9,menu!$H$2:$H$9,"")</f>
        <v>Medium</v>
      </c>
      <c r="AH265" s="81" t="s">
        <v>72</v>
      </c>
      <c r="AI265" t="str">
        <f>_xlfn.LET(_xlpm.x,_xlfn.CONCAT(_xlfn.XLOOKUP(D265,beans!$A$2:$A$300,beans!$J$2:$J$300,"")," / ",_xlfn.XLOOKUP(D265,beans!$A$2:$A$300,beans!$K$2:$K$300,"")," - ",_xlfn.XLOOKUP(D265,beans!$A$2:$A$300,beans!$L$2:$L$300,"")),IF(_xlpm.x=" /  - ","",_xlpm.x))</f>
        <v>班奇 馬吉 / 露西 - Geisha</v>
      </c>
      <c r="AJ265" s="23" t="s">
        <v>540</v>
      </c>
    </row>
    <row r="266" spans="1:36" x14ac:dyDescent="0.3">
      <c r="A266">
        <v>249</v>
      </c>
      <c r="B266">
        <v>250</v>
      </c>
      <c r="D266">
        <v>11</v>
      </c>
      <c r="E266" t="str">
        <f>_xlfn.LET(_xlpm.x,_xlfn.XLOOKUP(D266,beans!$A$2:$A$300,beans!$H$2:$H$300,""),IF(_xlpm.x="","",_xlpm.x))</f>
        <v>衣索比亞</v>
      </c>
      <c r="F266" s="22" t="str">
        <f>_xlfn.XLOOKUP(E266,menu!$A$2:$A$37,menu!$B$2:$B$37,"")</f>
        <v>Ethiopia</v>
      </c>
      <c r="G266" t="str">
        <f>_xlfn.XLOOKUP(E266,menu!$A$2:$A$37,menu!$C$2:$C$37,"")</f>
        <v>eth</v>
      </c>
      <c r="H266" t="str">
        <f>_xlfn.LET(_xlpm.x,_xlfn.XLOOKUP(_xlfn.XLOOKUP(D266,beans!$A$2:$A$300,beans!$I$2:$I$300),menu!$E$2:$E$20,menu!$F$2:$F$20),IF(_xlpm.x="","",_xlpm.x))</f>
        <v>natural</v>
      </c>
      <c r="I266">
        <v>200</v>
      </c>
      <c r="J266">
        <v>70</v>
      </c>
      <c r="K266">
        <v>45</v>
      </c>
      <c r="L266">
        <v>75</v>
      </c>
      <c r="M266" s="68" t="s">
        <v>121</v>
      </c>
      <c r="N266">
        <v>90.1</v>
      </c>
      <c r="P266" s="67" t="s">
        <v>541</v>
      </c>
      <c r="Q266" s="68">
        <v>207.7</v>
      </c>
      <c r="R266" s="67" t="s">
        <v>542</v>
      </c>
      <c r="S266" s="68">
        <v>222.7</v>
      </c>
      <c r="T266" s="68">
        <f t="shared" si="44"/>
        <v>15</v>
      </c>
      <c r="U266">
        <f t="shared" si="40"/>
        <v>109</v>
      </c>
      <c r="V266">
        <f t="shared" si="45"/>
        <v>8.3000000000000007</v>
      </c>
      <c r="W266">
        <f t="shared" si="41"/>
        <v>14.65</v>
      </c>
      <c r="X266" s="19">
        <v>45417</v>
      </c>
      <c r="Y266" s="26">
        <v>212.5</v>
      </c>
      <c r="Z266" s="61">
        <v>0</v>
      </c>
      <c r="AA266" s="61">
        <v>0</v>
      </c>
      <c r="AB266" s="28">
        <f t="shared" si="42"/>
        <v>0.15</v>
      </c>
      <c r="AC266" s="110">
        <v>48.9</v>
      </c>
      <c r="AD266" s="26">
        <v>57.9</v>
      </c>
      <c r="AE266" s="61">
        <f t="shared" si="43"/>
        <v>9</v>
      </c>
      <c r="AF266" s="77" t="str">
        <f>_xlfn.XLOOKUP(AD266,menu!$K$2:$K$9,menu!$J$2:$J$9,"",1)</f>
        <v>中</v>
      </c>
      <c r="AG266" s="80" t="str">
        <f>_xlfn.XLOOKUP(AH266,menu!$O$2:$O$9,menu!$H$2:$H$9,"")</f>
        <v>Medium</v>
      </c>
      <c r="AH266" s="81" t="s">
        <v>72</v>
      </c>
      <c r="AI266" t="str">
        <f>_xlfn.LET(_xlpm.x,_xlfn.CONCAT(_xlfn.XLOOKUP(D266,beans!$A$2:$A$300,beans!$J$2:$J$300,"")," / ",_xlfn.XLOOKUP(D266,beans!$A$2:$A$300,beans!$K$2:$K$300,"")," - ",_xlfn.XLOOKUP(D266,beans!$A$2:$A$300,beans!$L$2:$L$300,"")),IF(_xlpm.x=" /  - ","",_xlpm.x))</f>
        <v>班奇 馬吉 / 格林藝妓森林 - Gori Geisha Forest</v>
      </c>
      <c r="AJ266" s="23" t="s">
        <v>543</v>
      </c>
    </row>
    <row r="267" spans="1:36" x14ac:dyDescent="0.3">
      <c r="A267">
        <v>250</v>
      </c>
      <c r="B267">
        <v>500</v>
      </c>
      <c r="D267">
        <v>49</v>
      </c>
      <c r="E267" t="str">
        <f>_xlfn.LET(_xlpm.x,_xlfn.XLOOKUP(D267,beans!$A$2:$A$300,beans!$H$2:$H$300,""),IF(_xlpm.x="","",_xlpm.x))</f>
        <v>秘魯</v>
      </c>
      <c r="F267" s="22" t="str">
        <f>_xlfn.XLOOKUP(E267,menu!$A$2:$A$37,menu!$B$2:$B$37,"")</f>
        <v>Peru</v>
      </c>
      <c r="G267" t="str">
        <f>_xlfn.XLOOKUP(E267,menu!$A$2:$A$37,menu!$C$2:$C$37,"")</f>
        <v>per</v>
      </c>
      <c r="H267" t="str">
        <f>_xlfn.LET(_xlpm.x,_xlfn.XLOOKUP(_xlfn.XLOOKUP(D267,beans!$A$2:$A$300,beans!$I$2:$I$300),menu!$E$2:$E$20,menu!$F$2:$F$20),IF(_xlpm.x="","",_xlpm.x))</f>
        <v>natural</v>
      </c>
      <c r="I267">
        <v>210</v>
      </c>
      <c r="J267">
        <v>80</v>
      </c>
      <c r="K267">
        <v>45</v>
      </c>
      <c r="L267">
        <v>90</v>
      </c>
      <c r="T267" s="68" t="str">
        <f t="shared" si="44"/>
        <v/>
      </c>
      <c r="U267" t="str">
        <f t="shared" si="40"/>
        <v/>
      </c>
      <c r="V267">
        <f t="shared" si="45"/>
        <v>0</v>
      </c>
      <c r="W267" t="str">
        <f t="shared" si="41"/>
        <v/>
      </c>
      <c r="X267" s="19">
        <v>45417</v>
      </c>
      <c r="Y267" s="26">
        <v>433</v>
      </c>
      <c r="Z267" s="61">
        <v>0</v>
      </c>
      <c r="AA267" s="61">
        <v>0</v>
      </c>
      <c r="AB267" s="28">
        <f t="shared" si="42"/>
        <v>0.13400000000000001</v>
      </c>
      <c r="AE267" s="61" t="str">
        <f t="shared" si="43"/>
        <v/>
      </c>
      <c r="AF267" s="77" t="str">
        <f>_xlfn.XLOOKUP(AD267,menu!$K$2:$K$9,menu!$J$2:$J$9,"",1)</f>
        <v/>
      </c>
      <c r="AG267" s="80" t="str">
        <f>_xlfn.XLOOKUP(AH267,menu!$O$2:$O$9,menu!$H$2:$H$9,"")</f>
        <v>Cinamon</v>
      </c>
      <c r="AH267" s="81" t="s">
        <v>78</v>
      </c>
      <c r="AI267" t="str">
        <f>_xlfn.LET(_xlpm.x,_xlfn.CONCAT(_xlfn.XLOOKUP(D267,beans!$A$2:$A$300,beans!$J$2:$J$300,"")," / ",_xlfn.XLOOKUP(D267,beans!$A$2:$A$300,beans!$K$2:$K$300,"")," - ",_xlfn.XLOOKUP(D267,beans!$A$2:$A$300,beans!$L$2:$L$300,"")),IF(_xlpm.x=" /  - ","",_xlpm.x))</f>
        <v>Cultivar / 聖特蕾莎莊園 - Geisha</v>
      </c>
      <c r="AJ267" s="23" t="s">
        <v>544</v>
      </c>
    </row>
    <row r="268" spans="1:36" x14ac:dyDescent="0.3">
      <c r="A268">
        <v>251</v>
      </c>
      <c r="B268">
        <v>200</v>
      </c>
      <c r="D268">
        <v>63</v>
      </c>
      <c r="E268" t="str">
        <f>_xlfn.LET(_xlpm.x,_xlfn.XLOOKUP(D268,beans!$A$2:$A$300,beans!$H$2:$H$300,""),IF(_xlpm.x="","",_xlpm.x))</f>
        <v>衣索比亞</v>
      </c>
      <c r="F268" s="22" t="str">
        <f>_xlfn.XLOOKUP(E268,menu!$A$2:$A$37,menu!$B$2:$B$37,"")</f>
        <v>Ethiopia</v>
      </c>
      <c r="G268" t="str">
        <f>_xlfn.XLOOKUP(E268,menu!$A$2:$A$37,menu!$C$2:$C$37,"")</f>
        <v>eth</v>
      </c>
      <c r="H268" t="str">
        <f>_xlfn.LET(_xlpm.x,_xlfn.XLOOKUP(_xlfn.XLOOKUP(D268,beans!$A$2:$A$300,beans!$I$2:$I$300),menu!$E$2:$E$20,menu!$F$2:$F$20),IF(_xlpm.x="","",_xlpm.x))</f>
        <v>washed</v>
      </c>
      <c r="I268">
        <v>200</v>
      </c>
      <c r="J268">
        <v>70</v>
      </c>
      <c r="K268">
        <v>30</v>
      </c>
      <c r="L268">
        <v>60</v>
      </c>
      <c r="M268" s="68" t="s">
        <v>109</v>
      </c>
      <c r="N268">
        <v>87.1</v>
      </c>
      <c r="P268" s="67" t="s">
        <v>131</v>
      </c>
      <c r="Q268" s="68">
        <v>204.7</v>
      </c>
      <c r="R268" s="67" t="s">
        <v>545</v>
      </c>
      <c r="S268" s="68">
        <v>211.8</v>
      </c>
      <c r="T268" s="68">
        <f t="shared" si="44"/>
        <v>7.1000000000000227</v>
      </c>
      <c r="U268">
        <f t="shared" si="40"/>
        <v>40</v>
      </c>
      <c r="V268">
        <f t="shared" si="45"/>
        <v>10.7</v>
      </c>
      <c r="W268">
        <f t="shared" si="41"/>
        <v>6.29</v>
      </c>
      <c r="X268" s="19">
        <v>45437</v>
      </c>
      <c r="Y268" s="26">
        <v>178.4</v>
      </c>
      <c r="Z268" s="61">
        <v>0</v>
      </c>
      <c r="AA268" s="61">
        <v>0</v>
      </c>
      <c r="AB268" s="28">
        <f t="shared" si="42"/>
        <v>0.10799999999999997</v>
      </c>
      <c r="AC268" s="110">
        <v>62.7</v>
      </c>
      <c r="AD268" s="26">
        <v>82.7</v>
      </c>
      <c r="AE268" s="61">
        <f t="shared" si="43"/>
        <v>20</v>
      </c>
      <c r="AF268" s="77" t="str">
        <f>_xlfn.XLOOKUP(AD268,menu!$K$2:$K$9,menu!$J$2:$J$9,"",1)</f>
        <v>極淺</v>
      </c>
      <c r="AG268" s="80" t="str">
        <f>_xlfn.XLOOKUP(AH268,menu!$O$2:$O$9,menu!$H$2:$H$9,"")</f>
        <v>Cinamon</v>
      </c>
      <c r="AH268" s="81" t="s">
        <v>78</v>
      </c>
      <c r="AI268" t="str">
        <f>_xlfn.LET(_xlpm.x,_xlfn.CONCAT(_xlfn.XLOOKUP(D268,beans!$A$2:$A$300,beans!$J$2:$J$300,"")," / ",_xlfn.XLOOKUP(D268,beans!$A$2:$A$300,beans!$K$2:$K$300,"")," - ",_xlfn.XLOOKUP(D268,beans!$A$2:$A$300,beans!$L$2:$L$300,"")),IF(_xlpm.x=" /  - ","",_xlpm.x))</f>
        <v>班奇 馬吉 / 露西 - Geisha</v>
      </c>
      <c r="AJ268" s="23" t="s">
        <v>546</v>
      </c>
    </row>
    <row r="269" spans="1:36" x14ac:dyDescent="0.3">
      <c r="A269">
        <v>252</v>
      </c>
      <c r="B269">
        <v>500</v>
      </c>
      <c r="D269">
        <v>47</v>
      </c>
      <c r="E269" t="str">
        <f>_xlfn.LET(_xlpm.x,_xlfn.XLOOKUP(D269,beans!$A$2:$A$300,beans!$H$2:$H$300,""),IF(_xlpm.x="","",_xlpm.x))</f>
        <v>衣索比亞</v>
      </c>
      <c r="F269" s="22" t="str">
        <f>_xlfn.XLOOKUP(E269,menu!$A$2:$A$37,menu!$B$2:$B$37,"")</f>
        <v>Ethiopia</v>
      </c>
      <c r="G269" t="str">
        <f>_xlfn.XLOOKUP(E269,menu!$A$2:$A$37,menu!$C$2:$C$37,"")</f>
        <v>eth</v>
      </c>
      <c r="H269" t="str">
        <f>_xlfn.LET(_xlpm.x,_xlfn.XLOOKUP(_xlfn.XLOOKUP(D269,beans!$A$2:$A$300,beans!$I$2:$I$300),menu!$E$2:$E$20,menu!$F$2:$F$20),IF(_xlpm.x="","",_xlpm.x))</f>
        <v>washed</v>
      </c>
      <c r="I269">
        <v>200</v>
      </c>
      <c r="J269">
        <v>85</v>
      </c>
      <c r="K269">
        <v>35</v>
      </c>
      <c r="L269">
        <v>90</v>
      </c>
      <c r="M269" s="68" t="s">
        <v>54</v>
      </c>
      <c r="N269">
        <v>84.6</v>
      </c>
      <c r="P269" s="67" t="s">
        <v>547</v>
      </c>
      <c r="Q269" s="68">
        <v>197.3</v>
      </c>
      <c r="R269" s="67" t="s">
        <v>174</v>
      </c>
      <c r="S269" s="68">
        <v>213</v>
      </c>
      <c r="T269" s="68">
        <f t="shared" si="44"/>
        <v>15.699999999999989</v>
      </c>
      <c r="U269">
        <f t="shared" si="40"/>
        <v>99</v>
      </c>
      <c r="V269">
        <f t="shared" si="45"/>
        <v>9.5</v>
      </c>
      <c r="W269">
        <f t="shared" si="41"/>
        <v>15.52</v>
      </c>
      <c r="X269" s="19">
        <v>45437</v>
      </c>
      <c r="Y269" s="26">
        <v>422.2</v>
      </c>
      <c r="Z269" s="61">
        <v>0</v>
      </c>
      <c r="AA269" s="61">
        <v>0</v>
      </c>
      <c r="AB269" s="28">
        <f t="shared" si="42"/>
        <v>0.15560000000000002</v>
      </c>
      <c r="AC269" s="110">
        <v>53.4</v>
      </c>
      <c r="AD269" s="26">
        <v>69.5</v>
      </c>
      <c r="AE269" s="61">
        <f t="shared" si="43"/>
        <v>16.100000000000001</v>
      </c>
      <c r="AF269" s="77" t="str">
        <f>_xlfn.XLOOKUP(AD269,menu!$K$2:$K$9,menu!$J$2:$J$9,"",1)</f>
        <v>中淺</v>
      </c>
      <c r="AG269" s="80" t="str">
        <f>_xlfn.XLOOKUP(AH269,menu!$O$2:$O$9,menu!$H$2:$H$9,"")</f>
        <v>Cinamon</v>
      </c>
      <c r="AH269" s="81" t="s">
        <v>78</v>
      </c>
      <c r="AI269" t="str">
        <f>_xlfn.LET(_xlpm.x,_xlfn.CONCAT(_xlfn.XLOOKUP(D269,beans!$A$2:$A$300,beans!$J$2:$J$300,"")," / ",_xlfn.XLOOKUP(D269,beans!$A$2:$A$300,beans!$K$2:$K$300,"")," - ",_xlfn.XLOOKUP(D269,beans!$A$2:$A$300,beans!$L$2:$L$300,"")),IF(_xlpm.x=" /  - ","",_xlpm.x))</f>
        <v>吉馬莉姆 / 果美村 - 寶貝藝妓</v>
      </c>
      <c r="AJ269" s="23" t="s">
        <v>548</v>
      </c>
    </row>
    <row r="270" spans="1:36" x14ac:dyDescent="0.3">
      <c r="A270">
        <v>253</v>
      </c>
      <c r="B270">
        <v>500</v>
      </c>
      <c r="D270">
        <v>6</v>
      </c>
      <c r="E270" t="str">
        <f>_xlfn.LET(_xlpm.x,_xlfn.XLOOKUP(D270,beans!$A$2:$A$300,beans!$H$2:$H$300,""),IF(_xlpm.x="","",_xlpm.x))</f>
        <v>肯亞</v>
      </c>
      <c r="F270" s="22" t="str">
        <f>_xlfn.XLOOKUP(E270,menu!$A$2:$A$37,menu!$B$2:$B$37,"")</f>
        <v>Kenya</v>
      </c>
      <c r="G270" t="str">
        <f>_xlfn.XLOOKUP(E270,menu!$A$2:$A$37,menu!$C$2:$C$37,"")</f>
        <v>ken</v>
      </c>
      <c r="H270" t="str">
        <f>_xlfn.LET(_xlpm.x,_xlfn.XLOOKUP(_xlfn.XLOOKUP(D270,beans!$A$2:$A$300,beans!$I$2:$I$300),menu!$E$2:$E$20,menu!$F$2:$F$20),IF(_xlpm.x="","",_xlpm.x))</f>
        <v>washed</v>
      </c>
      <c r="I270">
        <v>200</v>
      </c>
      <c r="J270">
        <v>85</v>
      </c>
      <c r="K270">
        <v>35</v>
      </c>
      <c r="L270">
        <v>90</v>
      </c>
      <c r="M270" s="68" t="s">
        <v>121</v>
      </c>
      <c r="N270">
        <v>86.6</v>
      </c>
      <c r="P270" s="67" t="s">
        <v>549</v>
      </c>
      <c r="Q270" s="68">
        <v>202.1</v>
      </c>
      <c r="R270" s="67" t="s">
        <v>268</v>
      </c>
      <c r="S270" s="68">
        <v>213.9</v>
      </c>
      <c r="T270" s="68">
        <f t="shared" si="44"/>
        <v>11.800000000000011</v>
      </c>
      <c r="U270">
        <f t="shared" si="40"/>
        <v>91</v>
      </c>
      <c r="V270">
        <f t="shared" si="45"/>
        <v>7.8</v>
      </c>
      <c r="W270">
        <f t="shared" si="41"/>
        <v>14.24</v>
      </c>
      <c r="X270" s="19">
        <v>45437</v>
      </c>
      <c r="Y270" s="26">
        <v>424.9</v>
      </c>
      <c r="Z270" s="61">
        <v>0</v>
      </c>
      <c r="AA270" s="61">
        <v>0</v>
      </c>
      <c r="AB270" s="28">
        <f t="shared" si="42"/>
        <v>0.15020000000000006</v>
      </c>
      <c r="AC270" s="110">
        <v>53.2</v>
      </c>
      <c r="AD270" s="26">
        <v>60.9</v>
      </c>
      <c r="AE270" s="61">
        <f t="shared" si="43"/>
        <v>7.6999999999999957</v>
      </c>
      <c r="AF270" s="77" t="str">
        <f>_xlfn.XLOOKUP(AD270,menu!$K$2:$K$9,menu!$J$2:$J$9,"",1)</f>
        <v>中淺</v>
      </c>
      <c r="AG270" s="80" t="str">
        <f>_xlfn.XLOOKUP(AH270,menu!$O$2:$O$9,menu!$H$2:$H$9,"")</f>
        <v>Cinamon</v>
      </c>
      <c r="AH270" s="81" t="s">
        <v>78</v>
      </c>
      <c r="AI270" t="str">
        <f>_xlfn.LET(_xlpm.x,_xlfn.CONCAT(_xlfn.XLOOKUP(D270,beans!$A$2:$A$300,beans!$J$2:$J$300,"")," / ",_xlfn.XLOOKUP(D270,beans!$A$2:$A$300,beans!$K$2:$K$300,"")," - ",_xlfn.XLOOKUP(D270,beans!$A$2:$A$300,beans!$L$2:$L$300,"")),IF(_xlpm.x=" /  - ","",_xlpm.x))</f>
        <v>東非大裂谷產區 / 烏克栗栗/黑莓皇后 - SL28, SL34, 少許Ruiru以及Batian</v>
      </c>
      <c r="AJ270" s="23" t="s">
        <v>550</v>
      </c>
    </row>
    <row r="271" spans="1:36" x14ac:dyDescent="0.3">
      <c r="A271">
        <v>254</v>
      </c>
      <c r="B271">
        <v>500</v>
      </c>
      <c r="D271">
        <v>60</v>
      </c>
      <c r="E271" t="str">
        <f>_xlfn.LET(_xlpm.x,_xlfn.XLOOKUP(D271,beans!$A$2:$A$300,beans!$H$2:$H$300,""),IF(_xlpm.x="","",_xlpm.x))</f>
        <v>肯亞</v>
      </c>
      <c r="F271" s="22" t="str">
        <f>_xlfn.XLOOKUP(E271,menu!$A$2:$A$37,menu!$B$2:$B$37,"")</f>
        <v>Kenya</v>
      </c>
      <c r="G271" t="str">
        <f>_xlfn.XLOOKUP(E271,menu!$A$2:$A$37,menu!$C$2:$C$37,"")</f>
        <v>ken</v>
      </c>
      <c r="H271" t="str">
        <f>_xlfn.LET(_xlpm.x,_xlfn.XLOOKUP(_xlfn.XLOOKUP(D271,beans!$A$2:$A$300,beans!$I$2:$I$300),menu!$E$2:$E$20,menu!$F$2:$F$20),IF(_xlpm.x="","",_xlpm.x))</f>
        <v>washed</v>
      </c>
      <c r="I271">
        <v>200</v>
      </c>
      <c r="J271">
        <v>95</v>
      </c>
      <c r="K271">
        <v>40</v>
      </c>
      <c r="L271">
        <v>90</v>
      </c>
      <c r="M271" s="68" t="s">
        <v>121</v>
      </c>
      <c r="N271">
        <v>89.4</v>
      </c>
      <c r="P271" s="67" t="s">
        <v>551</v>
      </c>
      <c r="Q271" s="68">
        <v>199.2</v>
      </c>
      <c r="R271" s="67" t="s">
        <v>327</v>
      </c>
      <c r="S271" s="68">
        <v>214.7</v>
      </c>
      <c r="T271" s="68">
        <f t="shared" si="44"/>
        <v>15.5</v>
      </c>
      <c r="U271">
        <f t="shared" si="40"/>
        <v>93</v>
      </c>
      <c r="V271">
        <f t="shared" si="45"/>
        <v>10</v>
      </c>
      <c r="W271">
        <f t="shared" si="41"/>
        <v>15.42</v>
      </c>
      <c r="X271" s="19">
        <v>45437</v>
      </c>
      <c r="Y271" s="26">
        <v>426.7</v>
      </c>
      <c r="Z271" s="61">
        <v>0</v>
      </c>
      <c r="AA271" s="61">
        <v>0</v>
      </c>
      <c r="AB271" s="28">
        <f t="shared" si="42"/>
        <v>0.14660000000000004</v>
      </c>
      <c r="AC271" s="110">
        <v>51.4</v>
      </c>
      <c r="AD271" s="26">
        <v>68.400000000000006</v>
      </c>
      <c r="AE271" s="61">
        <f t="shared" si="43"/>
        <v>17.000000000000007</v>
      </c>
      <c r="AF271" s="77" t="str">
        <f>_xlfn.XLOOKUP(AD271,menu!$K$2:$K$9,menu!$J$2:$J$9,"",1)</f>
        <v>中淺</v>
      </c>
      <c r="AG271" s="80" t="str">
        <f>_xlfn.XLOOKUP(AH271,menu!$O$2:$O$9,menu!$H$2:$H$9,"")</f>
        <v>Cinamon</v>
      </c>
      <c r="AH271" s="81" t="s">
        <v>78</v>
      </c>
      <c r="AI271" t="str">
        <f>_xlfn.LET(_xlpm.x,_xlfn.CONCAT(_xlfn.XLOOKUP(D271,beans!$A$2:$A$300,beans!$J$2:$J$300,"")," / ",_xlfn.XLOOKUP(D271,beans!$A$2:$A$300,beans!$K$2:$K$300,"")," - ",_xlfn.XLOOKUP(D271,beans!$A$2:$A$300,beans!$L$2:$L$300,"")),IF(_xlpm.x=" /  - ","",_xlpm.x))</f>
        <v>冽里 / 吉恰薩尼 - SL28</v>
      </c>
      <c r="AJ271" s="23" t="s">
        <v>552</v>
      </c>
    </row>
    <row r="272" spans="1:36" x14ac:dyDescent="0.3">
      <c r="A272">
        <v>255</v>
      </c>
      <c r="B272">
        <v>500</v>
      </c>
      <c r="D272">
        <v>57</v>
      </c>
      <c r="E272" t="str">
        <f>_xlfn.LET(_xlpm.x,_xlfn.XLOOKUP(D272,beans!$A$2:$A$300,beans!$H$2:$H$300,""),IF(_xlpm.x="","",_xlpm.x))</f>
        <v>宏都拉斯</v>
      </c>
      <c r="F272" s="22" t="str">
        <f>_xlfn.XLOOKUP(E272,menu!$A$2:$A$37,menu!$B$2:$B$37,"")</f>
        <v>Honduras</v>
      </c>
      <c r="G272" t="str">
        <f>_xlfn.XLOOKUP(E272,menu!$A$2:$A$37,menu!$C$2:$C$37,"")</f>
        <v>hnd</v>
      </c>
      <c r="H272" t="str">
        <f>_xlfn.LET(_xlpm.x,_xlfn.XLOOKUP(_xlfn.XLOOKUP(D272,beans!$A$2:$A$300,beans!$I$2:$I$300),menu!$E$2:$E$20,menu!$F$2:$F$20),IF(_xlpm.x="","",_xlpm.x))</f>
        <v>washed</v>
      </c>
      <c r="I272">
        <v>200</v>
      </c>
      <c r="J272">
        <v>95</v>
      </c>
      <c r="K272">
        <v>40</v>
      </c>
      <c r="L272">
        <v>90</v>
      </c>
      <c r="M272" s="68" t="s">
        <v>125</v>
      </c>
      <c r="N272">
        <v>90.9</v>
      </c>
      <c r="P272" s="67" t="s">
        <v>553</v>
      </c>
      <c r="Q272" s="68">
        <v>199.7</v>
      </c>
      <c r="R272" s="67" t="s">
        <v>89</v>
      </c>
      <c r="S272" s="68">
        <v>217</v>
      </c>
      <c r="T272" s="68">
        <f t="shared" si="44"/>
        <v>17.300000000000011</v>
      </c>
      <c r="U272">
        <f t="shared" si="40"/>
        <v>98</v>
      </c>
      <c r="V272">
        <f t="shared" si="45"/>
        <v>10.6</v>
      </c>
      <c r="W272">
        <f t="shared" si="41"/>
        <v>16.420000000000002</v>
      </c>
      <c r="X272" s="19">
        <v>45437</v>
      </c>
      <c r="Y272" s="26">
        <v>427.4</v>
      </c>
      <c r="Z272" s="61">
        <v>0</v>
      </c>
      <c r="AA272" s="61">
        <v>0</v>
      </c>
      <c r="AB272" s="28">
        <f t="shared" si="42"/>
        <v>0.14520000000000005</v>
      </c>
      <c r="AC272" s="110">
        <v>53.3</v>
      </c>
      <c r="AD272" s="26">
        <v>67.5</v>
      </c>
      <c r="AE272" s="61">
        <f t="shared" si="43"/>
        <v>14.200000000000003</v>
      </c>
      <c r="AF272" s="77" t="str">
        <f>_xlfn.XLOOKUP(AD272,menu!$K$2:$K$9,menu!$J$2:$J$9,"",1)</f>
        <v>中淺</v>
      </c>
      <c r="AG272" s="80" t="str">
        <f>_xlfn.XLOOKUP(AH272,menu!$O$2:$O$9,menu!$H$2:$H$9,"")</f>
        <v>Cinamon</v>
      </c>
      <c r="AH272" s="81" t="s">
        <v>78</v>
      </c>
      <c r="AI272" t="str">
        <f>_xlfn.LET(_xlpm.x,_xlfn.CONCAT(_xlfn.XLOOKUP(D272,beans!$A$2:$A$300,beans!$J$2:$J$300,"")," / ",_xlfn.XLOOKUP(D272,beans!$A$2:$A$300,beans!$K$2:$K$300,"")," - ",_xlfn.XLOOKUP(D272,beans!$A$2:$A$300,beans!$L$2:$L$300,"")),IF(_xlpm.x=" /  - ","",_xlpm.x))</f>
        <v>柯瑪亞果省 / 波提花莊園 - 帕卡瑪拉種</v>
      </c>
    </row>
    <row r="273" spans="1:36" x14ac:dyDescent="0.3">
      <c r="A273">
        <v>256</v>
      </c>
      <c r="B273">
        <v>500</v>
      </c>
      <c r="D273">
        <v>43</v>
      </c>
      <c r="E273" t="str">
        <f>_xlfn.LET(_xlpm.x,_xlfn.XLOOKUP(D273,beans!$A$2:$A$300,beans!$H$2:$H$300,""),IF(_xlpm.x="","",_xlpm.x))</f>
        <v>衣索比亞</v>
      </c>
      <c r="F273" s="22" t="str">
        <f>_xlfn.XLOOKUP(E273,menu!$A$2:$A$37,menu!$B$2:$B$37,"")</f>
        <v>Ethiopia</v>
      </c>
      <c r="G273" t="str">
        <f>_xlfn.XLOOKUP(E273,menu!$A$2:$A$37,menu!$C$2:$C$37,"")</f>
        <v>eth</v>
      </c>
      <c r="H273" t="str">
        <f>_xlfn.LET(_xlpm.x,_xlfn.XLOOKUP(_xlfn.XLOOKUP(D273,beans!$A$2:$A$300,beans!$I$2:$I$300),menu!$E$2:$E$20,menu!$F$2:$F$20),IF(_xlpm.x="","",_xlpm.x))</f>
        <v>natural</v>
      </c>
      <c r="I273">
        <v>200</v>
      </c>
      <c r="J273">
        <v>95</v>
      </c>
      <c r="K273">
        <v>40</v>
      </c>
      <c r="L273">
        <v>90</v>
      </c>
      <c r="M273" s="68" t="s">
        <v>96</v>
      </c>
      <c r="N273">
        <v>89</v>
      </c>
      <c r="P273" s="67" t="s">
        <v>116</v>
      </c>
      <c r="Q273" s="68">
        <v>209</v>
      </c>
      <c r="R273" s="67" t="s">
        <v>554</v>
      </c>
      <c r="S273" s="68">
        <v>219.3</v>
      </c>
      <c r="T273" s="68">
        <f t="shared" si="44"/>
        <v>10.300000000000011</v>
      </c>
      <c r="U273">
        <f t="shared" si="40"/>
        <v>53</v>
      </c>
      <c r="V273">
        <f t="shared" si="45"/>
        <v>11.7</v>
      </c>
      <c r="W273">
        <f t="shared" si="41"/>
        <v>8.83</v>
      </c>
      <c r="X273" s="19">
        <v>45437</v>
      </c>
      <c r="Y273" s="26">
        <v>430</v>
      </c>
      <c r="Z273" s="61">
        <v>0</v>
      </c>
      <c r="AA273" s="61">
        <v>0</v>
      </c>
      <c r="AB273" s="28">
        <f t="shared" si="42"/>
        <v>0.14000000000000001</v>
      </c>
      <c r="AC273" s="110">
        <v>43.8</v>
      </c>
      <c r="AD273" s="26">
        <v>66.900000000000006</v>
      </c>
      <c r="AE273" s="61">
        <f t="shared" si="43"/>
        <v>23.100000000000009</v>
      </c>
      <c r="AF273" s="77" t="str">
        <f>_xlfn.XLOOKUP(AD273,menu!$K$2:$K$9,menu!$J$2:$J$9,"",1)</f>
        <v>中淺</v>
      </c>
      <c r="AG273" s="80" t="str">
        <f>_xlfn.XLOOKUP(AH273,menu!$O$2:$O$9,menu!$H$2:$H$9,"")</f>
        <v>Cinamon</v>
      </c>
      <c r="AH273" s="81" t="s">
        <v>78</v>
      </c>
      <c r="AI273" t="str">
        <f>_xlfn.LET(_xlpm.x,_xlfn.CONCAT(_xlfn.XLOOKUP(D273,beans!$A$2:$A$300,beans!$J$2:$J$300,"")," / ",_xlfn.XLOOKUP(D273,beans!$A$2:$A$300,beans!$K$2:$K$300,"")," - ",_xlfn.XLOOKUP(D273,beans!$A$2:$A$300,beans!$L$2:$L$300,"")),IF(_xlpm.x=" /  - ","",_xlpm.x))</f>
        <v>西達馬 / 朵望丘合作社 - 74110</v>
      </c>
      <c r="AJ273" s="23" t="s">
        <v>555</v>
      </c>
    </row>
    <row r="274" spans="1:36" x14ac:dyDescent="0.3">
      <c r="A274">
        <v>257</v>
      </c>
      <c r="B274">
        <v>500</v>
      </c>
      <c r="D274">
        <v>45</v>
      </c>
      <c r="E274" t="str">
        <f>_xlfn.LET(_xlpm.x,_xlfn.XLOOKUP(D274,beans!$A$2:$A$300,beans!$H$2:$H$300,""),IF(_xlpm.x="","",_xlpm.x))</f>
        <v>哥倫比亞</v>
      </c>
      <c r="F274" s="22" t="str">
        <f>_xlfn.XLOOKUP(E274,menu!$A$2:$A$37,menu!$B$2:$B$37,"")</f>
        <v>Colombia</v>
      </c>
      <c r="G274" t="str">
        <f>_xlfn.XLOOKUP(E274,menu!$A$2:$A$37,menu!$C$2:$C$37,"")</f>
        <v>col</v>
      </c>
      <c r="H274" t="str">
        <f>_xlfn.LET(_xlpm.x,_xlfn.XLOOKUP(_xlfn.XLOOKUP(D274,beans!$A$2:$A$300,beans!$I$2:$I$300),menu!$E$2:$E$20,menu!$F$2:$F$20),IF(_xlpm.x="","",_xlpm.x))</f>
        <v>Special</v>
      </c>
      <c r="I274">
        <v>200</v>
      </c>
      <c r="J274">
        <v>90</v>
      </c>
      <c r="K274">
        <v>40</v>
      </c>
      <c r="L274">
        <v>90</v>
      </c>
      <c r="M274" s="68" t="s">
        <v>54</v>
      </c>
      <c r="N274">
        <v>88.7</v>
      </c>
      <c r="P274" s="67" t="s">
        <v>274</v>
      </c>
      <c r="Q274" s="68">
        <v>207.2</v>
      </c>
      <c r="R274" s="67" t="s">
        <v>98</v>
      </c>
      <c r="S274" s="68">
        <v>218.4</v>
      </c>
      <c r="T274" s="68">
        <f t="shared" si="44"/>
        <v>11.200000000000017</v>
      </c>
      <c r="U274">
        <f t="shared" si="40"/>
        <v>64</v>
      </c>
      <c r="V274">
        <f t="shared" si="45"/>
        <v>10.5</v>
      </c>
      <c r="W274">
        <f t="shared" si="41"/>
        <v>9.91</v>
      </c>
      <c r="X274" s="19">
        <v>45437</v>
      </c>
      <c r="Y274" s="26">
        <v>419</v>
      </c>
      <c r="Z274" s="61">
        <v>0</v>
      </c>
      <c r="AA274" s="61">
        <v>0</v>
      </c>
      <c r="AB274" s="28">
        <f t="shared" si="42"/>
        <v>0.16200000000000001</v>
      </c>
      <c r="AC274" s="110">
        <v>48.4</v>
      </c>
      <c r="AD274" s="26">
        <v>70.5</v>
      </c>
      <c r="AE274" s="61">
        <f t="shared" si="43"/>
        <v>22.1</v>
      </c>
      <c r="AF274" s="77" t="str">
        <f>_xlfn.XLOOKUP(AD274,menu!$K$2:$K$9,menu!$J$2:$J$9,"",1)</f>
        <v>淺</v>
      </c>
      <c r="AG274" s="80" t="str">
        <f>_xlfn.XLOOKUP(AH274,menu!$O$2:$O$9,menu!$H$2:$H$9,"")</f>
        <v>Cinamon</v>
      </c>
      <c r="AH274" s="81" t="s">
        <v>78</v>
      </c>
      <c r="AI274" t="str">
        <f>_xlfn.LET(_xlpm.x,_xlfn.CONCAT(_xlfn.XLOOKUP(D274,beans!$A$2:$A$300,beans!$J$2:$J$300,"")," / ",_xlfn.XLOOKUP(D274,beans!$A$2:$A$300,beans!$K$2:$K$300,"")," - ",_xlfn.XLOOKUP(D274,beans!$A$2:$A$300,beans!$L$2:$L$300,"")),IF(_xlpm.x=" /  - ","",_xlpm.x))</f>
        <v>薇拉省 / 蒙大布蘭蔻莊園 - 紫卡杜拉</v>
      </c>
      <c r="AJ274" s="23" t="s">
        <v>556</v>
      </c>
    </row>
    <row r="275" spans="1:36" x14ac:dyDescent="0.3">
      <c r="A275">
        <v>258</v>
      </c>
      <c r="B275">
        <v>500</v>
      </c>
      <c r="D275">
        <v>9</v>
      </c>
      <c r="E275" t="str">
        <f>_xlfn.LET(_xlpm.x,_xlfn.XLOOKUP(D275,beans!$A$2:$A$300,beans!$H$2:$H$300,""),IF(_xlpm.x="","",_xlpm.x))</f>
        <v>衣索比亞</v>
      </c>
      <c r="F275" s="22" t="str">
        <f>_xlfn.XLOOKUP(E275,menu!$A$2:$A$37,menu!$B$2:$B$37,"")</f>
        <v>Ethiopia</v>
      </c>
      <c r="G275" t="str">
        <f>_xlfn.XLOOKUP(E275,menu!$A$2:$A$37,menu!$C$2:$C$37,"")</f>
        <v>eth</v>
      </c>
      <c r="H275" t="str">
        <f>_xlfn.LET(_xlpm.x,_xlfn.XLOOKUP(_xlfn.XLOOKUP(D275,beans!$A$2:$A$300,beans!$I$2:$I$300),menu!$E$2:$E$20,menu!$F$2:$F$20),IF(_xlpm.x="","",_xlpm.x))</f>
        <v>natural</v>
      </c>
      <c r="I275">
        <v>200</v>
      </c>
      <c r="J275">
        <v>90</v>
      </c>
      <c r="K275">
        <v>40</v>
      </c>
      <c r="L275">
        <v>90</v>
      </c>
      <c r="M275" s="68" t="s">
        <v>157</v>
      </c>
      <c r="N275">
        <v>92.8</v>
      </c>
      <c r="P275" s="67" t="s">
        <v>343</v>
      </c>
      <c r="Q275" s="68">
        <v>207.1</v>
      </c>
      <c r="R275" s="67" t="s">
        <v>509</v>
      </c>
      <c r="S275" s="68">
        <v>218.7</v>
      </c>
      <c r="T275" s="68">
        <f t="shared" si="44"/>
        <v>11.599999999999994</v>
      </c>
      <c r="U275">
        <f t="shared" si="40"/>
        <v>51</v>
      </c>
      <c r="V275">
        <f t="shared" si="45"/>
        <v>13.6</v>
      </c>
      <c r="W275">
        <f t="shared" si="41"/>
        <v>7.97</v>
      </c>
      <c r="X275" s="19">
        <v>45437</v>
      </c>
      <c r="Y275" s="26">
        <v>418.4</v>
      </c>
      <c r="Z275" s="61">
        <v>0</v>
      </c>
      <c r="AA275" s="61">
        <v>0</v>
      </c>
      <c r="AB275" s="28">
        <f t="shared" si="42"/>
        <v>0.16320000000000004</v>
      </c>
      <c r="AC275" s="110">
        <v>49.3</v>
      </c>
      <c r="AD275" s="26">
        <v>70.900000000000006</v>
      </c>
      <c r="AE275" s="61">
        <f t="shared" si="43"/>
        <v>21.600000000000009</v>
      </c>
      <c r="AF275" s="77" t="str">
        <f>_xlfn.XLOOKUP(AD275,menu!$K$2:$K$9,menu!$J$2:$J$9,"",1)</f>
        <v>淺</v>
      </c>
      <c r="AG275" s="80" t="str">
        <f>_xlfn.XLOOKUP(AH275,menu!$O$2:$O$9,menu!$H$2:$H$9,"")</f>
        <v>Cinamon</v>
      </c>
      <c r="AH275" s="81" t="s">
        <v>78</v>
      </c>
      <c r="AI275" t="str">
        <f>_xlfn.LET(_xlpm.x,_xlfn.CONCAT(_xlfn.XLOOKUP(D275,beans!$A$2:$A$300,beans!$J$2:$J$300,"")," / ",_xlfn.XLOOKUP(D275,beans!$A$2:$A$300,beans!$K$2:$K$300,"")," - ",_xlfn.XLOOKUP(D275,beans!$A$2:$A$300,beans!$L$2:$L$300,"")),IF(_xlpm.x=" /  - ","",_xlpm.x))</f>
        <v>吉瑪 利姆 / 果美村 - 寶貝藝妓</v>
      </c>
      <c r="AJ275" s="23" t="s">
        <v>557</v>
      </c>
    </row>
    <row r="276" spans="1:36" x14ac:dyDescent="0.3">
      <c r="A276">
        <v>259</v>
      </c>
      <c r="B276">
        <v>500</v>
      </c>
      <c r="D276">
        <v>32</v>
      </c>
      <c r="E276" t="str">
        <f>_xlfn.LET(_xlpm.x,_xlfn.XLOOKUP(D276,beans!$A$2:$A$300,beans!$H$2:$H$300,""),IF(_xlpm.x="","",_xlpm.x))</f>
        <v>哥倫比亞</v>
      </c>
      <c r="F276" s="22" t="str">
        <f>_xlfn.XLOOKUP(E276,menu!$A$2:$A$37,menu!$B$2:$B$37,"")</f>
        <v>Colombia</v>
      </c>
      <c r="G276" t="str">
        <f>_xlfn.XLOOKUP(E276,menu!$A$2:$A$37,menu!$C$2:$C$37,"")</f>
        <v>col</v>
      </c>
      <c r="H276" t="str">
        <f>_xlfn.LET(_xlpm.x,_xlfn.XLOOKUP(_xlfn.XLOOKUP(D276,beans!$A$2:$A$300,beans!$I$2:$I$300),menu!$E$2:$E$20,menu!$F$2:$F$20),IF(_xlpm.x="","",_xlpm.x))</f>
        <v>semi-washed</v>
      </c>
      <c r="I276">
        <v>200</v>
      </c>
      <c r="J276">
        <v>90</v>
      </c>
      <c r="K276">
        <v>40</v>
      </c>
      <c r="L276">
        <v>90</v>
      </c>
      <c r="M276" s="68" t="s">
        <v>67</v>
      </c>
      <c r="N276">
        <v>89.6</v>
      </c>
      <c r="P276" s="67" t="s">
        <v>558</v>
      </c>
      <c r="Q276" s="68">
        <v>206.1</v>
      </c>
      <c r="R276" s="67" t="s">
        <v>350</v>
      </c>
      <c r="S276" s="68">
        <v>220.4</v>
      </c>
      <c r="T276" s="68">
        <f t="shared" si="44"/>
        <v>14.300000000000011</v>
      </c>
      <c r="U276">
        <f t="shared" si="40"/>
        <v>89</v>
      </c>
      <c r="V276">
        <f t="shared" si="45"/>
        <v>9.6</v>
      </c>
      <c r="W276">
        <f t="shared" si="41"/>
        <v>13.67</v>
      </c>
      <c r="X276" s="19">
        <v>45437</v>
      </c>
      <c r="Y276" s="26">
        <v>426.6</v>
      </c>
      <c r="Z276" s="61">
        <v>0</v>
      </c>
      <c r="AA276" s="61">
        <v>0</v>
      </c>
      <c r="AB276" s="28">
        <f t="shared" si="42"/>
        <v>0.14679999999999996</v>
      </c>
      <c r="AC276" s="110">
        <v>50.3</v>
      </c>
      <c r="AD276" s="26">
        <v>58.6</v>
      </c>
      <c r="AE276" s="61">
        <f t="shared" si="43"/>
        <v>8.3000000000000043</v>
      </c>
      <c r="AF276" s="77" t="str">
        <f>_xlfn.XLOOKUP(AD276,menu!$K$2:$K$9,menu!$J$2:$J$9,"",1)</f>
        <v>中</v>
      </c>
      <c r="AG276" s="80" t="str">
        <f>_xlfn.XLOOKUP(AH276,menu!$O$2:$O$9,menu!$H$2:$H$9,"")</f>
        <v>Medium</v>
      </c>
      <c r="AH276" s="81" t="s">
        <v>72</v>
      </c>
      <c r="AI276" t="str">
        <f>_xlfn.LET(_xlpm.x,_xlfn.CONCAT(_xlfn.XLOOKUP(D276,beans!$A$2:$A$300,beans!$J$2:$J$300,"")," / ",_xlfn.XLOOKUP(D276,beans!$A$2:$A$300,beans!$K$2:$K$300,"")," - ",_xlfn.XLOOKUP(D276,beans!$A$2:$A$300,beans!$L$2:$L$300,"")),IF(_xlpm.x=" /  - ","",_xlpm.x))</f>
        <v>Huila, Pitalito / 薇拉 粉紅佳人 - Pink Bourbon</v>
      </c>
    </row>
    <row r="277" spans="1:36" x14ac:dyDescent="0.3">
      <c r="A277">
        <v>260</v>
      </c>
      <c r="B277">
        <v>500</v>
      </c>
      <c r="C277">
        <v>8</v>
      </c>
      <c r="D277">
        <v>34</v>
      </c>
      <c r="E277" t="str">
        <f>_xlfn.LET(_xlpm.x,_xlfn.XLOOKUP(D277,beans!$A$2:$A$300,beans!$H$2:$H$300,""),IF(_xlpm.x="","",_xlpm.x))</f>
        <v>哥倫比亞</v>
      </c>
      <c r="F277" s="22" t="str">
        <f>_xlfn.XLOOKUP(E277,menu!$A$2:$A$37,menu!$B$2:$B$37,"")</f>
        <v>Colombia</v>
      </c>
      <c r="G277" t="str">
        <f>_xlfn.XLOOKUP(E277,menu!$A$2:$A$37,menu!$C$2:$C$37,"")</f>
        <v>col</v>
      </c>
      <c r="H277" t="str">
        <f>_xlfn.LET(_xlpm.x,_xlfn.XLOOKUP(_xlfn.XLOOKUP(D277,beans!$A$2:$A$300,beans!$I$2:$I$300),menu!$E$2:$E$20,menu!$F$2:$F$20),IF(_xlpm.x="","",_xlpm.x))</f>
        <v>Honey Purple Pop</v>
      </c>
      <c r="I277">
        <v>200</v>
      </c>
      <c r="J277">
        <v>90</v>
      </c>
      <c r="K277">
        <v>40</v>
      </c>
      <c r="L277">
        <v>90</v>
      </c>
      <c r="M277" s="68" t="s">
        <v>125</v>
      </c>
      <c r="N277">
        <v>88.2</v>
      </c>
      <c r="P277" s="67" t="s">
        <v>537</v>
      </c>
      <c r="Q277" s="68">
        <v>206.2</v>
      </c>
      <c r="R277" s="67" t="s">
        <v>509</v>
      </c>
      <c r="S277" s="68">
        <v>213.2</v>
      </c>
      <c r="T277" s="68">
        <f t="shared" si="44"/>
        <v>7</v>
      </c>
      <c r="U277">
        <f t="shared" si="40"/>
        <v>46</v>
      </c>
      <c r="V277">
        <f t="shared" si="45"/>
        <v>9.1</v>
      </c>
      <c r="W277">
        <f t="shared" si="41"/>
        <v>7.19</v>
      </c>
      <c r="X277" s="19">
        <v>45437</v>
      </c>
      <c r="Y277" s="26">
        <v>428.1</v>
      </c>
      <c r="Z277" s="61">
        <v>0</v>
      </c>
      <c r="AA277" s="61">
        <v>0</v>
      </c>
      <c r="AB277" s="28">
        <f t="shared" si="42"/>
        <v>0.14379999999999996</v>
      </c>
      <c r="AC277" s="110">
        <v>44.4</v>
      </c>
      <c r="AD277" s="26">
        <v>67.099999999999994</v>
      </c>
      <c r="AE277" s="61">
        <f t="shared" si="43"/>
        <v>22.699999999999996</v>
      </c>
      <c r="AF277" s="77" t="str">
        <f>_xlfn.XLOOKUP(AD277,menu!$K$2:$K$9,menu!$J$2:$J$9,"",1)</f>
        <v>中淺</v>
      </c>
      <c r="AG277" s="80" t="str">
        <f>_xlfn.XLOOKUP(AH277,menu!$O$2:$O$9,menu!$H$2:$H$9,"")</f>
        <v>Cinamon</v>
      </c>
      <c r="AH277" s="81" t="s">
        <v>78</v>
      </c>
      <c r="AI277" t="str">
        <f>_xlfn.LET(_xlpm.x,_xlfn.CONCAT(_xlfn.XLOOKUP(D277,beans!$A$2:$A$300,beans!$J$2:$J$300,"")," / ",_xlfn.XLOOKUP(D277,beans!$A$2:$A$300,beans!$K$2:$K$300,"")," - ",_xlfn.XLOOKUP(D277,beans!$A$2:$A$300,beans!$L$2:$L$300,"")),IF(_xlpm.x=" /  - ","",_xlpm.x))</f>
        <v>Genova, Quindio / 蘇利亞莊園 粉紅波旁 白玉葡萄 蜜處理 - Pink Borubon</v>
      </c>
      <c r="AJ277" s="23" t="s">
        <v>559</v>
      </c>
    </row>
    <row r="278" spans="1:36" x14ac:dyDescent="0.3">
      <c r="A278">
        <v>261</v>
      </c>
      <c r="B278">
        <v>500</v>
      </c>
      <c r="D278">
        <v>46</v>
      </c>
      <c r="E278" t="str">
        <f>_xlfn.LET(_xlpm.x,_xlfn.XLOOKUP(D278,beans!$A$2:$A$300,beans!$H$2:$H$300,""),IF(_xlpm.x="","",_xlpm.x))</f>
        <v>哥倫比亞</v>
      </c>
      <c r="F278" s="22" t="str">
        <f>_xlfn.XLOOKUP(E278,menu!$A$2:$A$37,menu!$B$2:$B$37,"")</f>
        <v>Colombia</v>
      </c>
      <c r="G278" t="str">
        <f>_xlfn.XLOOKUP(E278,menu!$A$2:$A$37,menu!$C$2:$C$37,"")</f>
        <v>col</v>
      </c>
      <c r="H278" t="str">
        <f>_xlfn.LET(_xlpm.x,_xlfn.XLOOKUP(_xlfn.XLOOKUP(D278,beans!$A$2:$A$300,beans!$I$2:$I$300),menu!$E$2:$E$20,menu!$F$2:$F$20),IF(_xlpm.x="","",_xlpm.x))</f>
        <v>natural</v>
      </c>
      <c r="I278">
        <v>200</v>
      </c>
      <c r="J278">
        <v>90</v>
      </c>
      <c r="K278">
        <v>40</v>
      </c>
      <c r="L278">
        <v>90</v>
      </c>
      <c r="M278" s="68" t="s">
        <v>157</v>
      </c>
      <c r="N278">
        <v>86.9</v>
      </c>
      <c r="P278" s="67" t="s">
        <v>126</v>
      </c>
      <c r="Q278" s="68">
        <v>201.1</v>
      </c>
      <c r="R278" s="67" t="s">
        <v>369</v>
      </c>
      <c r="S278" s="68">
        <v>210.9</v>
      </c>
      <c r="T278" s="68">
        <f t="shared" si="44"/>
        <v>9.8000000000000114</v>
      </c>
      <c r="U278">
        <f t="shared" si="40"/>
        <v>65</v>
      </c>
      <c r="V278">
        <f t="shared" si="45"/>
        <v>9</v>
      </c>
      <c r="W278">
        <f t="shared" si="41"/>
        <v>10.32</v>
      </c>
      <c r="X278" s="19">
        <v>45437</v>
      </c>
      <c r="Y278" s="26">
        <v>426.2</v>
      </c>
      <c r="Z278" s="61">
        <v>0</v>
      </c>
      <c r="AA278" s="61">
        <v>0</v>
      </c>
      <c r="AB278" s="28">
        <f t="shared" si="42"/>
        <v>0.14760000000000001</v>
      </c>
      <c r="AC278" s="110">
        <v>37.9</v>
      </c>
      <c r="AD278" s="26">
        <v>66.5</v>
      </c>
      <c r="AE278" s="61">
        <f t="shared" si="43"/>
        <v>28.6</v>
      </c>
      <c r="AF278" s="77" t="str">
        <f>_xlfn.XLOOKUP(AD278,menu!$K$2:$K$9,menu!$J$2:$J$9,"",1)</f>
        <v>中淺</v>
      </c>
      <c r="AG278" s="80" t="str">
        <f>_xlfn.XLOOKUP(AH278,menu!$O$2:$O$9,menu!$H$2:$H$9,"")</f>
        <v>Cinamon</v>
      </c>
      <c r="AH278" s="81" t="s">
        <v>78</v>
      </c>
      <c r="AI278" t="str">
        <f>_xlfn.LET(_xlpm.x,_xlfn.CONCAT(_xlfn.XLOOKUP(D278,beans!$A$2:$A$300,beans!$J$2:$J$300,"")," / ",_xlfn.XLOOKUP(D278,beans!$A$2:$A$300,beans!$K$2:$K$300,"")," - ",_xlfn.XLOOKUP(D278,beans!$A$2:$A$300,beans!$L$2:$L$300,"")),IF(_xlpm.x=" /  - ","",_xlpm.x))</f>
        <v>昆迪瑪卡 / 緹比莉塔  - 卡斯提優</v>
      </c>
      <c r="AJ278" s="23" t="s">
        <v>548</v>
      </c>
    </row>
    <row r="279" spans="1:36" x14ac:dyDescent="0.3">
      <c r="A279">
        <v>262</v>
      </c>
      <c r="B279">
        <v>500</v>
      </c>
      <c r="D279">
        <v>44</v>
      </c>
      <c r="E279" t="str">
        <f>_xlfn.LET(_xlpm.x,_xlfn.XLOOKUP(D279,beans!$A$2:$A$300,beans!$H$2:$H$300,""),IF(_xlpm.x="","",_xlpm.x))</f>
        <v>衣索比亞</v>
      </c>
      <c r="F279" s="22" t="str">
        <f>_xlfn.XLOOKUP(E279,menu!$A$2:$A$37,menu!$B$2:$B$37,"")</f>
        <v>Ethiopia</v>
      </c>
      <c r="G279" t="str">
        <f>_xlfn.XLOOKUP(E279,menu!$A$2:$A$37,menu!$C$2:$C$37,"")</f>
        <v>eth</v>
      </c>
      <c r="H279" t="str">
        <f>_xlfn.LET(_xlpm.x,_xlfn.XLOOKUP(_xlfn.XLOOKUP(D279,beans!$A$2:$A$300,beans!$I$2:$I$300),menu!$E$2:$E$20,menu!$F$2:$F$20),IF(_xlpm.x="","",_xlpm.x))</f>
        <v>Special</v>
      </c>
      <c r="I279">
        <v>200</v>
      </c>
      <c r="J279">
        <v>90</v>
      </c>
      <c r="K279">
        <v>35</v>
      </c>
      <c r="L279">
        <v>90</v>
      </c>
      <c r="M279" s="68" t="s">
        <v>109</v>
      </c>
      <c r="N279">
        <v>87.9</v>
      </c>
      <c r="P279" s="67" t="s">
        <v>289</v>
      </c>
      <c r="Q279" s="68">
        <v>203.5</v>
      </c>
      <c r="R279" s="67" t="s">
        <v>77</v>
      </c>
      <c r="S279" s="68">
        <v>212.2</v>
      </c>
      <c r="T279" s="68">
        <f t="shared" si="44"/>
        <v>8.6999999999999886</v>
      </c>
      <c r="U279">
        <f t="shared" si="40"/>
        <v>68</v>
      </c>
      <c r="V279">
        <f t="shared" si="45"/>
        <v>7.7</v>
      </c>
      <c r="W279">
        <f t="shared" si="41"/>
        <v>10.54</v>
      </c>
      <c r="X279" s="19">
        <v>45444</v>
      </c>
      <c r="Y279" s="26">
        <v>420</v>
      </c>
      <c r="Z279" s="61">
        <v>0</v>
      </c>
      <c r="AB279" s="28">
        <f t="shared" si="42"/>
        <v>0.16</v>
      </c>
      <c r="AC279" s="110">
        <v>48.6</v>
      </c>
      <c r="AD279" s="26">
        <v>72.099999999999994</v>
      </c>
      <c r="AE279" s="61">
        <f t="shared" si="43"/>
        <v>23.499999999999993</v>
      </c>
      <c r="AF279" s="77" t="str">
        <f>_xlfn.XLOOKUP(AD279,menu!$K$2:$K$9,menu!$J$2:$J$9,"",1)</f>
        <v>淺</v>
      </c>
      <c r="AG279" s="80" t="str">
        <f>_xlfn.XLOOKUP(AH279,menu!$O$2:$O$9,menu!$H$2:$H$9,"")</f>
        <v>Cinamon</v>
      </c>
      <c r="AH279" s="81" t="s">
        <v>78</v>
      </c>
      <c r="AI279" t="str">
        <f>_xlfn.LET(_xlpm.x,_xlfn.CONCAT(_xlfn.XLOOKUP(D279,beans!$A$2:$A$300,beans!$J$2:$J$300,"")," / ",_xlfn.XLOOKUP(D279,beans!$A$2:$A$300,beans!$K$2:$K$300,"")," - ",_xlfn.XLOOKUP(D279,beans!$A$2:$A$300,beans!$L$2:$L$300,"")),IF(_xlpm.x=" /  - ","",_xlpm.x))</f>
        <v xml:space="preserve">耶加雪菲 / 百香果特殊發酵 厭氧日曬處理 G1 - </v>
      </c>
      <c r="AJ279" s="23" t="s">
        <v>548</v>
      </c>
    </row>
    <row r="280" spans="1:36" x14ac:dyDescent="0.3">
      <c r="A280">
        <v>263</v>
      </c>
      <c r="B280">
        <v>500</v>
      </c>
      <c r="D280">
        <v>41</v>
      </c>
      <c r="E280" t="str">
        <f>_xlfn.LET(_xlpm.x,_xlfn.XLOOKUP(D280,beans!$A$2:$A$300,beans!$H$2:$H$300,""),IF(_xlpm.x="","",_xlpm.x))</f>
        <v>衣索比亞</v>
      </c>
      <c r="F280" s="22" t="str">
        <f>_xlfn.XLOOKUP(E280,menu!$A$2:$A$37,menu!$B$2:$B$37,"")</f>
        <v>Ethiopia</v>
      </c>
      <c r="G280" t="str">
        <f>_xlfn.XLOOKUP(E280,menu!$A$2:$A$37,menu!$C$2:$C$37,"")</f>
        <v>eth</v>
      </c>
      <c r="H280" t="str">
        <f>_xlfn.LET(_xlpm.x,_xlfn.XLOOKUP(_xlfn.XLOOKUP(D280,beans!$A$2:$A$300,beans!$I$2:$I$300),menu!$E$2:$E$20,menu!$F$2:$F$20),IF(_xlpm.x="","",_xlpm.x))</f>
        <v>washed</v>
      </c>
      <c r="I280">
        <v>200</v>
      </c>
      <c r="J280">
        <v>90</v>
      </c>
      <c r="K280">
        <v>35</v>
      </c>
      <c r="L280">
        <v>90</v>
      </c>
      <c r="M280" s="68" t="s">
        <v>163</v>
      </c>
      <c r="N280">
        <v>84.2</v>
      </c>
      <c r="P280" s="67" t="s">
        <v>560</v>
      </c>
      <c r="Q280" s="68">
        <v>201.3</v>
      </c>
      <c r="R280" s="67" t="s">
        <v>295</v>
      </c>
      <c r="S280" s="68">
        <v>208.9</v>
      </c>
      <c r="T280" s="68">
        <f t="shared" si="44"/>
        <v>7.5999999999999943</v>
      </c>
      <c r="U280">
        <f t="shared" si="40"/>
        <v>49</v>
      </c>
      <c r="V280">
        <f t="shared" si="45"/>
        <v>9.3000000000000007</v>
      </c>
      <c r="W280">
        <f t="shared" si="41"/>
        <v>8.18</v>
      </c>
      <c r="X280" s="19">
        <v>45444</v>
      </c>
      <c r="Y280" s="26">
        <v>420</v>
      </c>
      <c r="Z280" s="61">
        <v>0</v>
      </c>
      <c r="AB280" s="28">
        <f t="shared" si="42"/>
        <v>0.16</v>
      </c>
      <c r="AC280" s="110">
        <v>61.9</v>
      </c>
      <c r="AD280" s="26">
        <v>83.8</v>
      </c>
      <c r="AE280" s="61">
        <f t="shared" si="43"/>
        <v>21.9</v>
      </c>
      <c r="AF280" s="77" t="str">
        <f>_xlfn.XLOOKUP(AD280,menu!$K$2:$K$9,menu!$J$2:$J$9,"",1)</f>
        <v>極淺</v>
      </c>
      <c r="AG280" s="80" t="str">
        <f>_xlfn.XLOOKUP(AH280,menu!$O$2:$O$9,menu!$H$2:$H$9,"")</f>
        <v>Cinamon</v>
      </c>
      <c r="AH280" s="81" t="s">
        <v>78</v>
      </c>
      <c r="AI280" t="str">
        <f>_xlfn.LET(_xlpm.x,_xlfn.CONCAT(_xlfn.XLOOKUP(D280,beans!$A$2:$A$300,beans!$J$2:$J$300,"")," / ",_xlfn.XLOOKUP(D280,beans!$A$2:$A$300,beans!$K$2:$K$300,"")," - ",_xlfn.XLOOKUP(D280,beans!$A$2:$A$300,beans!$L$2:$L$300,"")),IF(_xlpm.x=" /  - ","",_xlpm.x))</f>
        <v xml:space="preserve">耶加雪菲 / 阿若默 - </v>
      </c>
      <c r="AJ280" s="23" t="s">
        <v>548</v>
      </c>
    </row>
    <row r="281" spans="1:36" x14ac:dyDescent="0.3">
      <c r="A281">
        <v>264</v>
      </c>
      <c r="B281">
        <v>250</v>
      </c>
      <c r="D281">
        <v>40</v>
      </c>
      <c r="E281" t="str">
        <f>_xlfn.LET(_xlpm.x,_xlfn.XLOOKUP(D281,beans!$A$2:$A$300,beans!$H$2:$H$300,""),IF(_xlpm.x="","",_xlpm.x))</f>
        <v>巴西</v>
      </c>
      <c r="F281" s="22" t="str">
        <f>_xlfn.XLOOKUP(E281,menu!$A$2:$A$37,menu!$B$2:$B$37,"")</f>
        <v>Brazli</v>
      </c>
      <c r="G281" t="str">
        <f>_xlfn.XLOOKUP(E281,menu!$A$2:$A$37,menu!$C$2:$C$37,"")</f>
        <v>bra</v>
      </c>
      <c r="H281" t="str">
        <f>_xlfn.LET(_xlpm.x,_xlfn.XLOOKUP(_xlfn.XLOOKUP(D281,beans!$A$2:$A$300,beans!$I$2:$I$300),menu!$E$2:$E$20,menu!$F$2:$F$20),IF(_xlpm.x="","",_xlpm.x))</f>
        <v>natural</v>
      </c>
      <c r="I281">
        <v>200</v>
      </c>
      <c r="J281">
        <v>80</v>
      </c>
      <c r="K281">
        <v>35</v>
      </c>
      <c r="L281">
        <v>65</v>
      </c>
      <c r="M281" s="68" t="s">
        <v>109</v>
      </c>
      <c r="N281">
        <v>88.1</v>
      </c>
      <c r="P281" s="67" t="s">
        <v>561</v>
      </c>
      <c r="Q281" s="68">
        <v>202.3</v>
      </c>
      <c r="R281" s="67" t="s">
        <v>315</v>
      </c>
      <c r="S281" s="68">
        <v>229.7</v>
      </c>
      <c r="T281" s="68">
        <f t="shared" si="44"/>
        <v>27.399999999999977</v>
      </c>
      <c r="U281">
        <f t="shared" si="40"/>
        <v>167</v>
      </c>
      <c r="V281">
        <f t="shared" si="45"/>
        <v>9.8000000000000007</v>
      </c>
      <c r="W281">
        <f t="shared" si="41"/>
        <v>21.92</v>
      </c>
      <c r="X281" s="19">
        <v>45445</v>
      </c>
      <c r="Y281" s="26">
        <v>200</v>
      </c>
      <c r="Z281" s="61">
        <v>0</v>
      </c>
      <c r="AB281" s="28">
        <f t="shared" si="42"/>
        <v>0.2</v>
      </c>
      <c r="AE281" s="61" t="str">
        <f t="shared" si="43"/>
        <v/>
      </c>
      <c r="AF281" s="77" t="str">
        <f>_xlfn.XLOOKUP(AD281,menu!$K$2:$K$9,menu!$J$2:$J$9,"",1)</f>
        <v/>
      </c>
      <c r="AG281" s="80" t="str">
        <f>_xlfn.XLOOKUP(AH281,menu!$O$2:$O$9,menu!$H$2:$H$9,"")</f>
        <v/>
      </c>
      <c r="AI281" t="str">
        <f>_xlfn.LET(_xlpm.x,_xlfn.CONCAT(_xlfn.XLOOKUP(D281,beans!$A$2:$A$300,beans!$J$2:$J$300,"")," / ",_xlfn.XLOOKUP(D281,beans!$A$2:$A$300,beans!$K$2:$K$300,"")," - ",_xlfn.XLOOKUP(D281,beans!$A$2:$A$300,beans!$L$2:$L$300,"")),IF(_xlpm.x=" /  - ","",_xlpm.x))</f>
        <v xml:space="preserve"> / 巴烏莊園 維多莉亞農場 - Red Catuai</v>
      </c>
      <c r="AJ281" s="23" t="s">
        <v>483</v>
      </c>
    </row>
    <row r="282" spans="1:36" x14ac:dyDescent="0.3">
      <c r="A282">
        <v>265</v>
      </c>
      <c r="B282">
        <v>500</v>
      </c>
      <c r="E282" t="s">
        <v>562</v>
      </c>
      <c r="F282" s="22" t="str">
        <f>_xlfn.XLOOKUP(E282,menu!$A$2:$A$37,menu!$B$2:$B$37,"")</f>
        <v>Brazli</v>
      </c>
      <c r="G282" t="str">
        <f>_xlfn.XLOOKUP(E282,menu!$A$2:$A$37,menu!$C$2:$C$37,"")</f>
        <v>bra</v>
      </c>
      <c r="H282" t="str">
        <f>_xlfn.LET(_xlpm.x,_xlfn.XLOOKUP(_xlfn.XLOOKUP(D282,beans!$A$2:$A$300,beans!$I$2:$I$300),menu!$E$2:$E$20,menu!$F$2:$F$20),IF(_xlpm.x="","",_xlpm.x))</f>
        <v/>
      </c>
      <c r="T282" s="68" t="str">
        <f t="shared" si="44"/>
        <v/>
      </c>
      <c r="U282" t="str">
        <f t="shared" si="40"/>
        <v/>
      </c>
      <c r="V282">
        <f t="shared" si="45"/>
        <v>0</v>
      </c>
      <c r="W282" t="str">
        <f t="shared" si="41"/>
        <v/>
      </c>
      <c r="X282" s="19">
        <v>45445</v>
      </c>
      <c r="Y282" s="26">
        <v>430</v>
      </c>
      <c r="Z282" s="61">
        <v>0</v>
      </c>
      <c r="AB282" s="28">
        <f t="shared" si="42"/>
        <v>0.14000000000000001</v>
      </c>
      <c r="AE282" s="61" t="str">
        <f t="shared" si="43"/>
        <v/>
      </c>
      <c r="AF282" s="77" t="str">
        <f>_xlfn.XLOOKUP(AD282,menu!$K$2:$K$9,menu!$J$2:$J$9,"",1)</f>
        <v/>
      </c>
      <c r="AG282" s="80" t="str">
        <f>_xlfn.XLOOKUP(AH282,menu!$O$2:$O$9,menu!$H$2:$H$9,"")</f>
        <v/>
      </c>
      <c r="AI282" t="str">
        <f>_xlfn.LET(_xlpm.x,_xlfn.CONCAT(_xlfn.XLOOKUP(D282,beans!$A$2:$A$300,beans!$J$2:$J$300,"")," / ",_xlfn.XLOOKUP(D282,beans!$A$2:$A$300,beans!$K$2:$K$300,"")," - ",_xlfn.XLOOKUP(D282,beans!$A$2:$A$300,beans!$L$2:$L$300,"")),IF(_xlpm.x=" /  - ","",_xlpm.x))</f>
        <v/>
      </c>
      <c r="AJ282" s="23" t="s">
        <v>563</v>
      </c>
    </row>
    <row r="283" spans="1:36" x14ac:dyDescent="0.3">
      <c r="A283">
        <v>266</v>
      </c>
      <c r="B283">
        <v>500</v>
      </c>
      <c r="E283" t="s">
        <v>564</v>
      </c>
      <c r="F283" s="22" t="str">
        <f>_xlfn.XLOOKUP(E283,menu!$A$2:$A$37,menu!$B$2:$B$37,"")</f>
        <v>Ethiopia</v>
      </c>
      <c r="G283" t="str">
        <f>_xlfn.XLOOKUP(E283,menu!$A$2:$A$37,menu!$C$2:$C$37,"")</f>
        <v>eth</v>
      </c>
      <c r="H283" t="s">
        <v>44</v>
      </c>
      <c r="I283">
        <v>200</v>
      </c>
      <c r="J283">
        <v>80</v>
      </c>
      <c r="K283">
        <v>35</v>
      </c>
      <c r="L283">
        <v>90</v>
      </c>
      <c r="M283" s="68" t="s">
        <v>207</v>
      </c>
      <c r="N283">
        <v>92.7</v>
      </c>
      <c r="P283" s="67" t="s">
        <v>116</v>
      </c>
      <c r="Q283" s="68">
        <v>205.5</v>
      </c>
      <c r="R283" s="67" t="s">
        <v>295</v>
      </c>
      <c r="S283" s="68">
        <v>219</v>
      </c>
      <c r="T283" s="68">
        <f t="shared" si="44"/>
        <v>13.5</v>
      </c>
      <c r="U283">
        <f t="shared" si="40"/>
        <v>52</v>
      </c>
      <c r="V283">
        <f t="shared" si="45"/>
        <v>15.6</v>
      </c>
      <c r="W283">
        <f t="shared" si="41"/>
        <v>8.68</v>
      </c>
      <c r="X283" s="19">
        <v>45445</v>
      </c>
      <c r="Y283" s="26">
        <v>430</v>
      </c>
      <c r="Z283" s="61">
        <v>0</v>
      </c>
      <c r="AB283" s="28">
        <f t="shared" si="42"/>
        <v>0.14000000000000001</v>
      </c>
      <c r="AE283" s="61" t="str">
        <f t="shared" si="43"/>
        <v/>
      </c>
      <c r="AF283" s="77" t="str">
        <f>_xlfn.XLOOKUP(AD283,menu!$K$2:$K$9,menu!$J$2:$J$9,"",1)</f>
        <v/>
      </c>
      <c r="AG283" s="80" t="str">
        <f>_xlfn.XLOOKUP(AH283,menu!$O$2:$O$9,menu!$H$2:$H$9,"")</f>
        <v/>
      </c>
      <c r="AI283" t="str">
        <f>_xlfn.LET(_xlpm.x,_xlfn.CONCAT(_xlfn.XLOOKUP(D283,beans!$A$2:$A$300,beans!$J$2:$J$300,"")," / ",_xlfn.XLOOKUP(D283,beans!$A$2:$A$300,beans!$K$2:$K$300,"")," - ",_xlfn.XLOOKUP(D283,beans!$A$2:$A$300,beans!$L$2:$L$300,"")),IF(_xlpm.x=" /  - ","",_xlpm.x))</f>
        <v/>
      </c>
      <c r="AJ283" s="23" t="s">
        <v>565</v>
      </c>
    </row>
    <row r="284" spans="1:36" x14ac:dyDescent="0.3">
      <c r="A284">
        <v>267</v>
      </c>
      <c r="B284">
        <v>500</v>
      </c>
      <c r="E284" t="s">
        <v>566</v>
      </c>
      <c r="F284" s="22" t="str">
        <f>_xlfn.XLOOKUP(E284,menu!$A$2:$A$37,menu!$B$2:$B$37,"")</f>
        <v>Costa Rica</v>
      </c>
      <c r="G284" t="str">
        <f>_xlfn.XLOOKUP(E284,menu!$A$2:$A$37,menu!$C$2:$C$37,"")</f>
        <v>cri</v>
      </c>
      <c r="H284" t="s">
        <v>59</v>
      </c>
      <c r="I284">
        <v>200</v>
      </c>
      <c r="J284">
        <v>90</v>
      </c>
      <c r="K284">
        <v>40</v>
      </c>
      <c r="L284">
        <v>90</v>
      </c>
      <c r="M284" s="68" t="s">
        <v>160</v>
      </c>
      <c r="N284">
        <v>90</v>
      </c>
      <c r="P284" s="67" t="s">
        <v>512</v>
      </c>
      <c r="Q284" s="68">
        <v>206.5</v>
      </c>
      <c r="R284" s="67" t="s">
        <v>424</v>
      </c>
      <c r="S284" s="68">
        <v>214.4</v>
      </c>
      <c r="T284" s="68">
        <f t="shared" si="44"/>
        <v>7.9000000000000057</v>
      </c>
      <c r="U284">
        <f t="shared" si="40"/>
        <v>86</v>
      </c>
      <c r="V284">
        <f t="shared" si="45"/>
        <v>5.5</v>
      </c>
      <c r="W284">
        <f t="shared" si="41"/>
        <v>12.82</v>
      </c>
      <c r="X284" s="19">
        <v>45445</v>
      </c>
      <c r="Y284" s="26">
        <v>430</v>
      </c>
      <c r="Z284" s="61">
        <v>0</v>
      </c>
      <c r="AB284" s="28">
        <f t="shared" si="42"/>
        <v>0.14000000000000001</v>
      </c>
      <c r="AE284" s="61" t="str">
        <f t="shared" si="43"/>
        <v/>
      </c>
      <c r="AF284" s="77" t="str">
        <f>_xlfn.XLOOKUP(AD284,menu!$K$2:$K$9,menu!$J$2:$J$9,"",1)</f>
        <v/>
      </c>
      <c r="AG284" s="80" t="str">
        <f>_xlfn.XLOOKUP(AH284,menu!$O$2:$O$9,menu!$H$2:$H$9,"")</f>
        <v/>
      </c>
      <c r="AI284" t="str">
        <f>_xlfn.LET(_xlpm.x,_xlfn.CONCAT(_xlfn.XLOOKUP(D284,beans!$A$2:$A$300,beans!$J$2:$J$300,"")," / ",_xlfn.XLOOKUP(D284,beans!$A$2:$A$300,beans!$K$2:$K$300,"")," - ",_xlfn.XLOOKUP(D284,beans!$A$2:$A$300,beans!$L$2:$L$300,"")),IF(_xlpm.x=" /  - ","",_xlpm.x))</f>
        <v/>
      </c>
      <c r="AJ284" s="23" t="s">
        <v>567</v>
      </c>
    </row>
    <row r="285" spans="1:36" x14ac:dyDescent="0.3">
      <c r="A285">
        <v>268</v>
      </c>
      <c r="B285">
        <v>500</v>
      </c>
      <c r="E285" t="s">
        <v>564</v>
      </c>
      <c r="F285" s="22" t="str">
        <f>_xlfn.XLOOKUP(E285,menu!$A$2:$A$37,menu!$B$2:$B$37,"")</f>
        <v>Ethiopia</v>
      </c>
      <c r="G285" t="str">
        <f>_xlfn.XLOOKUP(E285,menu!$A$2:$A$37,menu!$C$2:$C$37,"")</f>
        <v>eth</v>
      </c>
      <c r="H285" t="s">
        <v>44</v>
      </c>
      <c r="I285">
        <v>200</v>
      </c>
      <c r="J285">
        <v>85</v>
      </c>
      <c r="K285">
        <v>40</v>
      </c>
      <c r="L285">
        <v>90</v>
      </c>
      <c r="M285" s="68" t="s">
        <v>67</v>
      </c>
      <c r="N285">
        <v>90.9</v>
      </c>
      <c r="P285" s="67" t="s">
        <v>46</v>
      </c>
      <c r="Q285" s="68">
        <v>209.3</v>
      </c>
      <c r="R285" s="67" t="s">
        <v>484</v>
      </c>
      <c r="S285" s="68">
        <v>225.3</v>
      </c>
      <c r="T285" s="68">
        <f t="shared" si="44"/>
        <v>16</v>
      </c>
      <c r="U285">
        <f t="shared" si="40"/>
        <v>69</v>
      </c>
      <c r="V285">
        <f t="shared" si="45"/>
        <v>13.9</v>
      </c>
      <c r="W285">
        <f t="shared" si="41"/>
        <v>10.73</v>
      </c>
      <c r="X285" s="19">
        <v>45445</v>
      </c>
      <c r="Y285" s="26">
        <v>430</v>
      </c>
      <c r="Z285" s="61">
        <v>0</v>
      </c>
      <c r="AB285" s="28">
        <f t="shared" si="42"/>
        <v>0.14000000000000001</v>
      </c>
      <c r="AE285" s="61" t="str">
        <f t="shared" si="43"/>
        <v/>
      </c>
      <c r="AF285" s="77" t="str">
        <f>_xlfn.XLOOKUP(AD285,menu!$K$2:$K$9,menu!$J$2:$J$9,"",1)</f>
        <v/>
      </c>
      <c r="AG285" s="80" t="str">
        <f>_xlfn.XLOOKUP(AH285,menu!$O$2:$O$9,menu!$H$2:$H$9,"")</f>
        <v/>
      </c>
      <c r="AI285" t="str">
        <f>_xlfn.LET(_xlpm.x,_xlfn.CONCAT(_xlfn.XLOOKUP(D285,beans!$A$2:$A$300,beans!$J$2:$J$300,"")," / ",_xlfn.XLOOKUP(D285,beans!$A$2:$A$300,beans!$K$2:$K$300,"")," - ",_xlfn.XLOOKUP(D285,beans!$A$2:$A$300,beans!$L$2:$L$300,"")),IF(_xlpm.x=" /  - ","",_xlpm.x))</f>
        <v/>
      </c>
      <c r="AJ285" s="23" t="s">
        <v>565</v>
      </c>
    </row>
    <row r="286" spans="1:36" x14ac:dyDescent="0.3">
      <c r="A286">
        <v>269</v>
      </c>
      <c r="B286">
        <v>500</v>
      </c>
      <c r="E286" t="s">
        <v>566</v>
      </c>
      <c r="F286" s="22" t="str">
        <f>_xlfn.XLOOKUP(E286,menu!$A$2:$A$37,menu!$B$2:$B$37,"")</f>
        <v>Costa Rica</v>
      </c>
      <c r="G286" t="str">
        <f>_xlfn.XLOOKUP(E286,menu!$A$2:$A$37,menu!$C$2:$C$37,"")</f>
        <v>cri</v>
      </c>
      <c r="H286" t="s">
        <v>568</v>
      </c>
      <c r="I286">
        <v>200</v>
      </c>
      <c r="J286">
        <v>85</v>
      </c>
      <c r="K286">
        <v>40</v>
      </c>
      <c r="L286">
        <v>90</v>
      </c>
      <c r="M286" s="68" t="s">
        <v>160</v>
      </c>
      <c r="N286">
        <v>88.4</v>
      </c>
      <c r="P286" s="67" t="s">
        <v>569</v>
      </c>
      <c r="Q286" s="68">
        <v>202</v>
      </c>
      <c r="R286" s="67" t="s">
        <v>570</v>
      </c>
      <c r="S286" s="68">
        <v>213.2</v>
      </c>
      <c r="T286" s="68">
        <f t="shared" si="44"/>
        <v>11.199999999999989</v>
      </c>
      <c r="U286">
        <f t="shared" si="40"/>
        <v>63</v>
      </c>
      <c r="V286">
        <f t="shared" si="45"/>
        <v>10.7</v>
      </c>
      <c r="W286">
        <f t="shared" si="41"/>
        <v>10.24</v>
      </c>
      <c r="X286" s="19">
        <v>45445</v>
      </c>
      <c r="Y286" s="26">
        <v>430</v>
      </c>
      <c r="Z286" s="61">
        <v>0</v>
      </c>
      <c r="AB286" s="28">
        <f t="shared" si="42"/>
        <v>0.14000000000000001</v>
      </c>
      <c r="AE286" s="61" t="str">
        <f t="shared" si="43"/>
        <v/>
      </c>
      <c r="AF286" s="77" t="str">
        <f>_xlfn.XLOOKUP(AD286,menu!$K$2:$K$9,menu!$J$2:$J$9,"",1)</f>
        <v/>
      </c>
      <c r="AG286" s="80" t="str">
        <f>_xlfn.XLOOKUP(AH286,menu!$O$2:$O$9,menu!$H$2:$H$9,"")</f>
        <v/>
      </c>
      <c r="AI286" t="str">
        <f>_xlfn.LET(_xlpm.x,_xlfn.CONCAT(_xlfn.XLOOKUP(D286,beans!$A$2:$A$300,beans!$J$2:$J$300,"")," / ",_xlfn.XLOOKUP(D286,beans!$A$2:$A$300,beans!$K$2:$K$300,"")," - ",_xlfn.XLOOKUP(D286,beans!$A$2:$A$300,beans!$L$2:$L$300,"")),IF(_xlpm.x=" /  - ","",_xlpm.x))</f>
        <v/>
      </c>
      <c r="AJ286" s="23" t="s">
        <v>571</v>
      </c>
    </row>
    <row r="287" spans="1:36" x14ac:dyDescent="0.3">
      <c r="A287">
        <v>270</v>
      </c>
      <c r="B287">
        <v>250</v>
      </c>
      <c r="D287">
        <v>62</v>
      </c>
      <c r="E287" t="str">
        <f>_xlfn.LET(_xlpm.x,_xlfn.XLOOKUP(D287,beans!$A$2:$A$300,beans!$H$2:$H$300,""),IF(_xlpm.x="","",_xlpm.x))</f>
        <v>瓜地馬拉</v>
      </c>
      <c r="F287" s="22" t="str">
        <f>_xlfn.XLOOKUP(E287,menu!$A$2:$A$37,menu!$B$2:$B$37,"")</f>
        <v>Guatemala</v>
      </c>
      <c r="G287" t="str">
        <f>_xlfn.XLOOKUP(E287,menu!$A$2:$A$37,menu!$C$2:$C$37,"")</f>
        <v>gtm</v>
      </c>
      <c r="H287" t="str">
        <f>_xlfn.LET(_xlpm.x,_xlfn.XLOOKUP(_xlfn.XLOOKUP(D287,beans!$A$2:$A$300,beans!$I$2:$I$300),menu!$E$2:$E$20,menu!$F$2:$F$20),IF(_xlpm.x="","",_xlpm.x))</f>
        <v>washed</v>
      </c>
      <c r="I287">
        <v>190</v>
      </c>
      <c r="J287">
        <v>80</v>
      </c>
      <c r="K287">
        <v>35</v>
      </c>
      <c r="L287">
        <v>80</v>
      </c>
      <c r="M287" s="68" t="s">
        <v>71</v>
      </c>
      <c r="N287">
        <v>89.7</v>
      </c>
      <c r="P287" s="67" t="s">
        <v>252</v>
      </c>
      <c r="Q287" s="68">
        <v>200.8</v>
      </c>
      <c r="R287" s="67" t="s">
        <v>344</v>
      </c>
      <c r="S287" s="68">
        <v>219.6</v>
      </c>
      <c r="T287" s="68">
        <f t="shared" si="44"/>
        <v>18.799999999999983</v>
      </c>
      <c r="U287">
        <f t="shared" si="40"/>
        <v>120</v>
      </c>
      <c r="V287">
        <f t="shared" si="45"/>
        <v>9.4</v>
      </c>
      <c r="W287">
        <f t="shared" si="41"/>
        <v>17.75</v>
      </c>
      <c r="X287" s="19">
        <v>45453</v>
      </c>
      <c r="Y287" s="26">
        <v>207</v>
      </c>
      <c r="Z287" s="61">
        <v>0</v>
      </c>
      <c r="AB287" s="28">
        <f t="shared" si="42"/>
        <v>0.17199999999999999</v>
      </c>
      <c r="AE287" s="61" t="str">
        <f t="shared" si="43"/>
        <v/>
      </c>
      <c r="AF287" s="77" t="str">
        <f>_xlfn.XLOOKUP(AD287,menu!$K$2:$K$9,menu!$J$2:$J$9,"",1)</f>
        <v/>
      </c>
      <c r="AG287" s="80" t="str">
        <f>_xlfn.XLOOKUP(AH287,menu!$O$2:$O$9,menu!$H$2:$H$9,"")</f>
        <v>Medium</v>
      </c>
      <c r="AH287" s="81" t="s">
        <v>72</v>
      </c>
      <c r="AI287" t="str">
        <f>_xlfn.LET(_xlpm.x,_xlfn.CONCAT(_xlfn.XLOOKUP(D287,beans!$A$2:$A$300,beans!$J$2:$J$300,"")," / ",_xlfn.XLOOKUP(D287,beans!$A$2:$A$300,beans!$K$2:$K$300,"")," - ",_xlfn.XLOOKUP(D287,beans!$A$2:$A$300,beans!$L$2:$L$300,"")),IF(_xlpm.x=" /  - ","",_xlpm.x))</f>
        <v>拉拉波 / 芬卡 - 波旁</v>
      </c>
      <c r="AJ287" s="23" t="s">
        <v>572</v>
      </c>
    </row>
    <row r="288" spans="1:36" x14ac:dyDescent="0.3">
      <c r="A288">
        <v>271</v>
      </c>
      <c r="B288">
        <v>250</v>
      </c>
      <c r="D288">
        <v>60</v>
      </c>
      <c r="E288" t="str">
        <f>_xlfn.LET(_xlpm.x,_xlfn.XLOOKUP(D288,beans!$A$2:$A$300,beans!$H$2:$H$300,""),IF(_xlpm.x="","",_xlpm.x))</f>
        <v>肯亞</v>
      </c>
      <c r="F288" s="22" t="str">
        <f>_xlfn.XLOOKUP(E288,menu!$A$2:$A$37,menu!$B$2:$B$37,"")</f>
        <v>Kenya</v>
      </c>
      <c r="G288" t="str">
        <f>_xlfn.XLOOKUP(E288,menu!$A$2:$A$37,menu!$C$2:$C$37,"")</f>
        <v>ken</v>
      </c>
      <c r="H288" t="str">
        <f>_xlfn.LET(_xlpm.x,_xlfn.XLOOKUP(_xlfn.XLOOKUP(D288,beans!$A$2:$A$300,beans!$I$2:$I$300),menu!$E$2:$E$20,menu!$F$2:$F$20),IF(_xlpm.x="","",_xlpm.x))</f>
        <v>washed</v>
      </c>
      <c r="I288">
        <v>190</v>
      </c>
      <c r="J288">
        <v>80</v>
      </c>
      <c r="K288">
        <v>35</v>
      </c>
      <c r="L288">
        <v>80</v>
      </c>
      <c r="M288" s="68" t="s">
        <v>54</v>
      </c>
      <c r="N288">
        <v>92.3</v>
      </c>
      <c r="P288" s="67" t="s">
        <v>573</v>
      </c>
      <c r="Q288" s="68">
        <v>198.6</v>
      </c>
      <c r="R288" s="67" t="s">
        <v>91</v>
      </c>
      <c r="S288" s="68">
        <v>229.6</v>
      </c>
      <c r="T288" s="68">
        <f t="shared" si="44"/>
        <v>31</v>
      </c>
      <c r="U288">
        <f t="shared" si="40"/>
        <v>134</v>
      </c>
      <c r="V288">
        <f t="shared" si="45"/>
        <v>13.9</v>
      </c>
      <c r="W288">
        <f t="shared" si="41"/>
        <v>21.68</v>
      </c>
      <c r="X288" s="19">
        <v>45453</v>
      </c>
      <c r="Y288" s="26">
        <v>205.7</v>
      </c>
      <c r="Z288" s="61">
        <v>0</v>
      </c>
      <c r="AB288" s="28">
        <f t="shared" si="42"/>
        <v>0.17720000000000005</v>
      </c>
      <c r="AE288" s="61" t="str">
        <f t="shared" si="43"/>
        <v/>
      </c>
      <c r="AF288" s="77" t="str">
        <f>_xlfn.XLOOKUP(AD288,menu!$K$2:$K$9,menu!$J$2:$J$9,"",1)</f>
        <v/>
      </c>
      <c r="AG288" s="80" t="str">
        <f>_xlfn.XLOOKUP(AH288,menu!$O$2:$O$9,menu!$H$2:$H$9,"")</f>
        <v>Medium</v>
      </c>
      <c r="AH288" s="81" t="s">
        <v>72</v>
      </c>
      <c r="AI288" t="str">
        <f>_xlfn.LET(_xlpm.x,_xlfn.CONCAT(_xlfn.XLOOKUP(D288,beans!$A$2:$A$300,beans!$J$2:$J$300,"")," / ",_xlfn.XLOOKUP(D288,beans!$A$2:$A$300,beans!$K$2:$K$300,"")," - ",_xlfn.XLOOKUP(D288,beans!$A$2:$A$300,beans!$L$2:$L$300,"")),IF(_xlpm.x=" /  - ","",_xlpm.x))</f>
        <v>冽里 / 吉恰薩尼 - SL28</v>
      </c>
      <c r="AJ288" s="23" t="s">
        <v>572</v>
      </c>
    </row>
    <row r="289" spans="1:36" x14ac:dyDescent="0.3">
      <c r="A289">
        <v>272</v>
      </c>
      <c r="B289">
        <v>250</v>
      </c>
      <c r="D289">
        <v>64</v>
      </c>
      <c r="E289" t="str">
        <f>_xlfn.LET(_xlpm.x,_xlfn.XLOOKUP(D289,beans!$A$2:$A$300,beans!$H$2:$H$300,""),IF(_xlpm.x="","",_xlpm.x))</f>
        <v>衣索比亞</v>
      </c>
      <c r="F289" s="22" t="str">
        <f>_xlfn.XLOOKUP(E289,menu!$A$2:$A$37,menu!$B$2:$B$37,"")</f>
        <v>Ethiopia</v>
      </c>
      <c r="G289" t="str">
        <f>_xlfn.XLOOKUP(E289,menu!$A$2:$A$37,menu!$C$2:$C$37,"")</f>
        <v>eth</v>
      </c>
      <c r="H289" t="str">
        <f>_xlfn.LET(_xlpm.x,_xlfn.XLOOKUP(_xlfn.XLOOKUP(D289,beans!$A$2:$A$300,beans!$I$2:$I$300),menu!$E$2:$E$20,menu!$F$2:$F$20),IF(_xlpm.x="","",_xlpm.x))</f>
        <v>washed</v>
      </c>
      <c r="I289">
        <v>190</v>
      </c>
      <c r="J289">
        <v>80</v>
      </c>
      <c r="K289">
        <v>35</v>
      </c>
      <c r="L289">
        <v>80</v>
      </c>
      <c r="M289" s="68" t="s">
        <v>109</v>
      </c>
      <c r="N289">
        <v>90.4</v>
      </c>
      <c r="P289" s="67" t="s">
        <v>574</v>
      </c>
      <c r="Q289" s="68">
        <v>201.2</v>
      </c>
      <c r="R289" s="67" t="s">
        <v>82</v>
      </c>
      <c r="S289" s="68">
        <v>231.1</v>
      </c>
      <c r="T289" s="68">
        <f t="shared" si="44"/>
        <v>29.900000000000006</v>
      </c>
      <c r="U289">
        <f t="shared" si="40"/>
        <v>150</v>
      </c>
      <c r="V289">
        <f t="shared" si="45"/>
        <v>12</v>
      </c>
      <c r="W289">
        <f t="shared" si="41"/>
        <v>22.56</v>
      </c>
      <c r="X289" s="19">
        <v>45453</v>
      </c>
      <c r="Y289" s="26">
        <v>208.6</v>
      </c>
      <c r="Z289" s="61">
        <v>0</v>
      </c>
      <c r="AB289" s="28">
        <f t="shared" si="42"/>
        <v>0.16560000000000002</v>
      </c>
      <c r="AE289" s="61" t="str">
        <f t="shared" si="43"/>
        <v/>
      </c>
      <c r="AF289" s="77" t="str">
        <f>_xlfn.XLOOKUP(AD289,menu!$K$2:$K$9,menu!$J$2:$J$9,"",1)</f>
        <v/>
      </c>
      <c r="AG289" s="80" t="str">
        <f>_xlfn.XLOOKUP(AH289,menu!$O$2:$O$9,menu!$H$2:$H$9,"")</f>
        <v>Medium</v>
      </c>
      <c r="AH289" s="81" t="s">
        <v>72</v>
      </c>
      <c r="AI289" t="str">
        <f>_xlfn.LET(_xlpm.x,_xlfn.CONCAT(_xlfn.XLOOKUP(D289,beans!$A$2:$A$300,beans!$J$2:$J$300,"")," / ",_xlfn.XLOOKUP(D289,beans!$A$2:$A$300,beans!$K$2:$K$300,"")," - ",_xlfn.XLOOKUP(D289,beans!$A$2:$A$300,beans!$L$2:$L$300,"")),IF(_xlpm.x=" /  - ","",_xlpm.x))</f>
        <v>西達摩 / 花貝果娜 - 74158</v>
      </c>
      <c r="AJ289" s="23" t="s">
        <v>572</v>
      </c>
    </row>
    <row r="290" spans="1:36" x14ac:dyDescent="0.3">
      <c r="A290">
        <v>273</v>
      </c>
      <c r="B290">
        <v>250</v>
      </c>
      <c r="D290">
        <v>48</v>
      </c>
      <c r="E290" t="str">
        <f>_xlfn.LET(_xlpm.x,_xlfn.XLOOKUP(D290,beans!$A$2:$A$300,beans!$H$2:$H$300,""),IF(_xlpm.x="","",_xlpm.x))</f>
        <v>墨西哥</v>
      </c>
      <c r="F290" s="22" t="str">
        <f>_xlfn.XLOOKUP(E290,menu!$A$2:$A$37,menu!$B$2:$B$37,"")</f>
        <v>Mexico</v>
      </c>
      <c r="G290" t="str">
        <f>_xlfn.XLOOKUP(E290,menu!$A$2:$A$37,menu!$C$2:$C$37,"")</f>
        <v>mex</v>
      </c>
      <c r="H290" t="str">
        <f>_xlfn.LET(_xlpm.x,_xlfn.XLOOKUP(_xlfn.XLOOKUP(D290,beans!$A$2:$A$300,beans!$I$2:$I$300),menu!$E$2:$E$20,menu!$F$2:$F$20),IF(_xlpm.x="","",_xlpm.x))</f>
        <v>natural</v>
      </c>
      <c r="I290">
        <v>190</v>
      </c>
      <c r="J290">
        <v>80</v>
      </c>
      <c r="K290">
        <v>35</v>
      </c>
      <c r="L290">
        <v>80</v>
      </c>
      <c r="M290" s="68" t="s">
        <v>75</v>
      </c>
      <c r="N290">
        <v>91.5</v>
      </c>
      <c r="P290" s="67" t="s">
        <v>274</v>
      </c>
      <c r="Q290" s="68">
        <v>205.6</v>
      </c>
      <c r="R290" s="67" t="s">
        <v>98</v>
      </c>
      <c r="S290" s="68">
        <v>217.6</v>
      </c>
      <c r="T290" s="68">
        <f t="shared" si="44"/>
        <v>12</v>
      </c>
      <c r="U290">
        <f t="shared" si="40"/>
        <v>64</v>
      </c>
      <c r="V290">
        <f t="shared" si="45"/>
        <v>11.3</v>
      </c>
      <c r="W290">
        <f t="shared" si="41"/>
        <v>9.91</v>
      </c>
      <c r="X290" s="19">
        <v>45453</v>
      </c>
      <c r="Y290" s="26">
        <v>213.5</v>
      </c>
      <c r="Z290" s="61">
        <v>0</v>
      </c>
      <c r="AB290" s="28">
        <f t="shared" si="42"/>
        <v>0.14599999999999999</v>
      </c>
      <c r="AE290" s="61" t="str">
        <f t="shared" si="43"/>
        <v/>
      </c>
      <c r="AF290" s="77" t="str">
        <f>_xlfn.XLOOKUP(AD290,menu!$K$2:$K$9,menu!$J$2:$J$9,"",1)</f>
        <v/>
      </c>
      <c r="AG290" s="80" t="str">
        <f>_xlfn.XLOOKUP(AH290,menu!$O$2:$O$9,menu!$H$2:$H$9,"")</f>
        <v>Medium</v>
      </c>
      <c r="AH290" s="81" t="s">
        <v>72</v>
      </c>
      <c r="AI290" t="str">
        <f>_xlfn.LET(_xlpm.x,_xlfn.CONCAT(_xlfn.XLOOKUP(D290,beans!$A$2:$A$300,beans!$J$2:$J$300,"")," / ",_xlfn.XLOOKUP(D290,beans!$A$2:$A$300,beans!$K$2:$K$300,"")," - ",_xlfn.XLOOKUP(D290,beans!$A$2:$A$300,beans!$L$2:$L$300,"")),IF(_xlpm.x=" /  - ","",_xlpm.x))</f>
        <v>拉斯瑪格麗塔斯 /  - Pache</v>
      </c>
      <c r="AJ290" s="23" t="s">
        <v>572</v>
      </c>
    </row>
    <row r="291" spans="1:36" x14ac:dyDescent="0.3">
      <c r="A291">
        <v>274</v>
      </c>
      <c r="B291">
        <v>550</v>
      </c>
      <c r="D291">
        <v>63</v>
      </c>
      <c r="E291" t="str">
        <f>_xlfn.LET(_xlpm.x,_xlfn.XLOOKUP(D291,beans!$A$2:$A$300,beans!$H$2:$H$300,""),IF(_xlpm.x="","",_xlpm.x))</f>
        <v>衣索比亞</v>
      </c>
      <c r="F291" s="22" t="str">
        <f>_xlfn.XLOOKUP(E291,menu!$A$2:$A$37,menu!$B$2:$B$37,"")</f>
        <v>Ethiopia</v>
      </c>
      <c r="G291" t="str">
        <f>_xlfn.XLOOKUP(E291,menu!$A$2:$A$37,menu!$C$2:$C$37,"")</f>
        <v>eth</v>
      </c>
      <c r="H291" t="str">
        <f>_xlfn.LET(_xlpm.x,_xlfn.XLOOKUP(_xlfn.XLOOKUP(D291,beans!$A$2:$A$300,beans!$I$2:$I$300),menu!$E$2:$E$20,menu!$F$2:$F$20),IF(_xlpm.x="","",_xlpm.x))</f>
        <v>washed</v>
      </c>
      <c r="I291">
        <v>190</v>
      </c>
      <c r="J291">
        <v>80</v>
      </c>
      <c r="K291">
        <v>35</v>
      </c>
      <c r="L291">
        <v>90</v>
      </c>
      <c r="M291" s="68" t="s">
        <v>67</v>
      </c>
      <c r="N291">
        <v>86.2</v>
      </c>
      <c r="P291" s="67" t="s">
        <v>547</v>
      </c>
      <c r="Q291" s="68">
        <v>200.1</v>
      </c>
      <c r="R291" s="67" t="s">
        <v>575</v>
      </c>
      <c r="S291" s="68">
        <v>233.9</v>
      </c>
      <c r="T291" s="68">
        <f t="shared" si="44"/>
        <v>33.800000000000011</v>
      </c>
      <c r="U291">
        <f t="shared" si="40"/>
        <v>145</v>
      </c>
      <c r="V291">
        <f t="shared" si="45"/>
        <v>14</v>
      </c>
      <c r="W291">
        <f t="shared" si="41"/>
        <v>21.2</v>
      </c>
      <c r="X291" s="19">
        <v>45453</v>
      </c>
      <c r="Y291" s="26">
        <v>467</v>
      </c>
      <c r="Z291" s="61">
        <v>0</v>
      </c>
      <c r="AB291" s="28">
        <f t="shared" si="42"/>
        <v>0.15090909090909091</v>
      </c>
      <c r="AE291" s="61" t="str">
        <f t="shared" si="43"/>
        <v/>
      </c>
      <c r="AF291" s="77" t="str">
        <f>_xlfn.XLOOKUP(AD291,menu!$K$2:$K$9,menu!$J$2:$J$9,"",1)</f>
        <v/>
      </c>
      <c r="AG291" s="80" t="str">
        <f>_xlfn.XLOOKUP(AH291,menu!$O$2:$O$9,menu!$H$2:$H$9,"")</f>
        <v>High</v>
      </c>
      <c r="AH291" s="81" t="s">
        <v>93</v>
      </c>
      <c r="AI291" t="str">
        <f>_xlfn.LET(_xlpm.x,_xlfn.CONCAT(_xlfn.XLOOKUP(D291,beans!$A$2:$A$300,beans!$J$2:$J$300,"")," / ",_xlfn.XLOOKUP(D291,beans!$A$2:$A$300,beans!$K$2:$K$300,"")," - ",_xlfn.XLOOKUP(D291,beans!$A$2:$A$300,beans!$L$2:$L$300,"")),IF(_xlpm.x=" /  - ","",_xlpm.x))</f>
        <v>班奇 馬吉 / 露西 - Geisha</v>
      </c>
      <c r="AJ291" s="23" t="s">
        <v>483</v>
      </c>
    </row>
    <row r="292" spans="1:36" x14ac:dyDescent="0.3">
      <c r="A292">
        <v>275</v>
      </c>
      <c r="B292">
        <v>250</v>
      </c>
      <c r="D292">
        <v>9</v>
      </c>
      <c r="E292" t="str">
        <f>_xlfn.LET(_xlpm.x,_xlfn.XLOOKUP(D292,beans!$A$2:$A$300,beans!$H$2:$H$300,""),IF(_xlpm.x="","",_xlpm.x))</f>
        <v>衣索比亞</v>
      </c>
      <c r="F292" s="22" t="str">
        <f>_xlfn.XLOOKUP(E292,menu!$A$2:$A$37,menu!$B$2:$B$37,"")</f>
        <v>Ethiopia</v>
      </c>
      <c r="G292" t="str">
        <f>_xlfn.XLOOKUP(E292,menu!$A$2:$A$37,menu!$C$2:$C$37,"")</f>
        <v>eth</v>
      </c>
      <c r="H292" t="str">
        <f>_xlfn.LET(_xlpm.x,_xlfn.XLOOKUP(_xlfn.XLOOKUP(D292,beans!$A$2:$A$300,beans!$I$2:$I$300),menu!$E$2:$E$20,menu!$F$2:$F$20),IF(_xlpm.x="","",_xlpm.x))</f>
        <v>natural</v>
      </c>
      <c r="I292">
        <v>200</v>
      </c>
      <c r="J292">
        <v>80</v>
      </c>
      <c r="K292">
        <v>55</v>
      </c>
      <c r="L292">
        <v>80</v>
      </c>
      <c r="P292" s="67" t="s">
        <v>91</v>
      </c>
      <c r="Q292" s="68">
        <v>208.2</v>
      </c>
      <c r="R292" s="67" t="s">
        <v>392</v>
      </c>
      <c r="S292" s="68">
        <v>216.1</v>
      </c>
      <c r="T292" s="68">
        <f t="shared" si="44"/>
        <v>7.9000000000000057</v>
      </c>
      <c r="U292">
        <f t="shared" si="40"/>
        <v>40</v>
      </c>
      <c r="V292">
        <f t="shared" si="45"/>
        <v>11.9</v>
      </c>
      <c r="W292">
        <f t="shared" si="41"/>
        <v>6.08</v>
      </c>
      <c r="X292" s="19">
        <v>45459</v>
      </c>
      <c r="Y292" s="26">
        <v>211.1</v>
      </c>
      <c r="Z292" s="61">
        <v>0</v>
      </c>
      <c r="AB292" s="28">
        <f t="shared" si="42"/>
        <v>0.15560000000000002</v>
      </c>
      <c r="AC292" s="110">
        <v>50.2</v>
      </c>
      <c r="AD292" s="26">
        <v>72.7</v>
      </c>
      <c r="AE292" s="61">
        <f t="shared" si="43"/>
        <v>22.5</v>
      </c>
      <c r="AF292" s="77" t="str">
        <f>_xlfn.XLOOKUP(AD292,menu!$K$2:$K$9,menu!$J$2:$J$9,"",1)</f>
        <v>淺</v>
      </c>
      <c r="AG292" s="80" t="str">
        <f>_xlfn.XLOOKUP(AH292,menu!$O$2:$O$9,menu!$H$2:$H$9,"")</f>
        <v>Cinamon</v>
      </c>
      <c r="AH292" s="81" t="s">
        <v>78</v>
      </c>
      <c r="AI292" t="str">
        <f>_xlfn.LET(_xlpm.x,_xlfn.CONCAT(_xlfn.XLOOKUP(D292,beans!$A$2:$A$300,beans!$J$2:$J$300,"")," / ",_xlfn.XLOOKUP(D292,beans!$A$2:$A$300,beans!$K$2:$K$300,"")," - ",_xlfn.XLOOKUP(D292,beans!$A$2:$A$300,beans!$L$2:$L$300,"")),IF(_xlpm.x=" /  - ","",_xlpm.x))</f>
        <v>吉瑪 利姆 / 果美村 - 寶貝藝妓</v>
      </c>
    </row>
    <row r="293" spans="1:36" x14ac:dyDescent="0.3">
      <c r="A293">
        <v>276</v>
      </c>
      <c r="B293">
        <v>250</v>
      </c>
      <c r="D293">
        <v>47</v>
      </c>
      <c r="E293" t="str">
        <f>_xlfn.LET(_xlpm.x,_xlfn.XLOOKUP(D293,beans!$A$2:$A$300,beans!$H$2:$H$300,""),IF(_xlpm.x="","",_xlpm.x))</f>
        <v>衣索比亞</v>
      </c>
      <c r="F293" s="22" t="str">
        <f>_xlfn.XLOOKUP(E293,menu!$A$2:$A$37,menu!$B$2:$B$37,"")</f>
        <v>Ethiopia</v>
      </c>
      <c r="G293" t="str">
        <f>_xlfn.XLOOKUP(E293,menu!$A$2:$A$37,menu!$C$2:$C$37,"")</f>
        <v>eth</v>
      </c>
      <c r="H293" t="str">
        <f>_xlfn.LET(_xlpm.x,_xlfn.XLOOKUP(_xlfn.XLOOKUP(D293,beans!$A$2:$A$300,beans!$I$2:$I$300),menu!$E$2:$E$20,menu!$F$2:$F$20),IF(_xlpm.x="","",_xlpm.x))</f>
        <v>washed</v>
      </c>
      <c r="I293">
        <v>200</v>
      </c>
      <c r="J293">
        <v>80</v>
      </c>
      <c r="K293">
        <v>40</v>
      </c>
      <c r="L293">
        <v>80</v>
      </c>
      <c r="M293" s="68" t="s">
        <v>121</v>
      </c>
      <c r="N293">
        <v>93</v>
      </c>
      <c r="P293" s="67" t="s">
        <v>576</v>
      </c>
      <c r="Q293" s="68">
        <v>199.2</v>
      </c>
      <c r="R293" s="67" t="s">
        <v>177</v>
      </c>
      <c r="S293" s="68">
        <v>214.5</v>
      </c>
      <c r="T293" s="68">
        <f t="shared" si="44"/>
        <v>15.300000000000011</v>
      </c>
      <c r="U293">
        <f t="shared" si="40"/>
        <v>93</v>
      </c>
      <c r="V293">
        <f t="shared" si="45"/>
        <v>9.9</v>
      </c>
      <c r="W293">
        <f t="shared" si="41"/>
        <v>16.170000000000002</v>
      </c>
      <c r="X293" s="19">
        <v>45459</v>
      </c>
      <c r="Y293" s="26">
        <v>213</v>
      </c>
      <c r="Z293" s="61">
        <v>0</v>
      </c>
      <c r="AB293" s="28">
        <f t="shared" si="42"/>
        <v>0.14799999999999999</v>
      </c>
      <c r="AC293" s="110">
        <v>55.8</v>
      </c>
      <c r="AD293" s="26">
        <v>70.400000000000006</v>
      </c>
      <c r="AE293" s="61">
        <f t="shared" si="43"/>
        <v>14.600000000000009</v>
      </c>
      <c r="AF293" s="77" t="str">
        <f>_xlfn.XLOOKUP(AD293,menu!$K$2:$K$9,menu!$J$2:$J$9,"",1)</f>
        <v>淺</v>
      </c>
      <c r="AG293" s="80" t="str">
        <f>_xlfn.XLOOKUP(AH293,menu!$O$2:$O$9,menu!$H$2:$H$9,"")</f>
        <v>Cinamon</v>
      </c>
      <c r="AH293" s="81" t="s">
        <v>78</v>
      </c>
      <c r="AI293" t="str">
        <f>_xlfn.LET(_xlpm.x,_xlfn.CONCAT(_xlfn.XLOOKUP(D293,beans!$A$2:$A$300,beans!$J$2:$J$300,"")," / ",_xlfn.XLOOKUP(D293,beans!$A$2:$A$300,beans!$K$2:$K$300,"")," - ",_xlfn.XLOOKUP(D293,beans!$A$2:$A$300,beans!$L$2:$L$300,"")),IF(_xlpm.x=" /  - ","",_xlpm.x))</f>
        <v>吉馬莉姆 / 果美村 - 寶貝藝妓</v>
      </c>
      <c r="AJ293" s="23" t="s">
        <v>577</v>
      </c>
    </row>
    <row r="294" spans="1:36" x14ac:dyDescent="0.3">
      <c r="A294">
        <v>277</v>
      </c>
      <c r="B294">
        <v>250</v>
      </c>
      <c r="D294">
        <v>41</v>
      </c>
      <c r="E294" t="str">
        <f>_xlfn.LET(_xlpm.x,_xlfn.XLOOKUP(D294,beans!$A$2:$A$300,beans!$H$2:$H$300,""),IF(_xlpm.x="","",_xlpm.x))</f>
        <v>衣索比亞</v>
      </c>
      <c r="F294" s="22" t="str">
        <f>_xlfn.XLOOKUP(E294,menu!$A$2:$A$37,menu!$B$2:$B$37,"")</f>
        <v>Ethiopia</v>
      </c>
      <c r="G294" t="str">
        <f>_xlfn.XLOOKUP(E294,menu!$A$2:$A$37,menu!$C$2:$C$37,"")</f>
        <v>eth</v>
      </c>
      <c r="H294" t="str">
        <f>_xlfn.LET(_xlpm.x,_xlfn.XLOOKUP(_xlfn.XLOOKUP(D294,beans!$A$2:$A$300,beans!$I$2:$I$300),menu!$E$2:$E$20,menu!$F$2:$F$20),IF(_xlpm.x="","",_xlpm.x))</f>
        <v>washed</v>
      </c>
      <c r="I294">
        <v>200</v>
      </c>
      <c r="J294">
        <v>80</v>
      </c>
      <c r="K294">
        <v>40</v>
      </c>
      <c r="L294">
        <v>80</v>
      </c>
      <c r="M294" s="68" t="s">
        <v>125</v>
      </c>
      <c r="N294">
        <v>91.4</v>
      </c>
      <c r="P294" s="67" t="s">
        <v>578</v>
      </c>
      <c r="Q294" s="68">
        <v>199.8</v>
      </c>
      <c r="R294" s="67" t="s">
        <v>237</v>
      </c>
      <c r="S294" s="68">
        <v>216.8</v>
      </c>
      <c r="T294" s="68">
        <f t="shared" si="44"/>
        <v>17</v>
      </c>
      <c r="U294">
        <f t="shared" si="40"/>
        <v>100</v>
      </c>
      <c r="V294">
        <f t="shared" si="45"/>
        <v>10.199999999999999</v>
      </c>
      <c r="W294">
        <f t="shared" si="41"/>
        <v>16</v>
      </c>
      <c r="X294" s="19">
        <v>45459</v>
      </c>
      <c r="Y294" s="26">
        <v>211</v>
      </c>
      <c r="Z294" s="61">
        <f>200-150-50</f>
        <v>0</v>
      </c>
      <c r="AB294" s="28">
        <f t="shared" si="42"/>
        <v>0.156</v>
      </c>
      <c r="AE294" s="61" t="str">
        <f t="shared" si="43"/>
        <v/>
      </c>
      <c r="AF294" s="77" t="str">
        <f>_xlfn.XLOOKUP(AD294,menu!$K$2:$K$9,menu!$J$2:$J$9,"",1)</f>
        <v/>
      </c>
      <c r="AG294" s="80" t="str">
        <f>_xlfn.XLOOKUP(AH294,menu!$O$2:$O$9,menu!$H$2:$H$9,"")</f>
        <v>Medium</v>
      </c>
      <c r="AH294" s="81" t="s">
        <v>72</v>
      </c>
      <c r="AI294" t="str">
        <f>_xlfn.LET(_xlpm.x,_xlfn.CONCAT(_xlfn.XLOOKUP(D294,beans!$A$2:$A$300,beans!$J$2:$J$300,"")," / ",_xlfn.XLOOKUP(D294,beans!$A$2:$A$300,beans!$K$2:$K$300,"")," - ",_xlfn.XLOOKUP(D294,beans!$A$2:$A$300,beans!$L$2:$L$300,"")),IF(_xlpm.x=" /  - ","",_xlpm.x))</f>
        <v xml:space="preserve">耶加雪菲 / 阿若默 - </v>
      </c>
      <c r="AJ294" s="23" t="s">
        <v>579</v>
      </c>
    </row>
    <row r="295" spans="1:36" x14ac:dyDescent="0.3">
      <c r="A295">
        <v>278</v>
      </c>
      <c r="B295">
        <v>500</v>
      </c>
      <c r="D295">
        <v>63</v>
      </c>
      <c r="E295" t="str">
        <f>_xlfn.LET(_xlpm.x,_xlfn.XLOOKUP(D295,beans!$A$2:$A$300,beans!$H$2:$H$300,""),IF(_xlpm.x="","",_xlpm.x))</f>
        <v>衣索比亞</v>
      </c>
      <c r="F295" s="22" t="str">
        <f>_xlfn.XLOOKUP(E295,menu!$A$2:$A$37,menu!$B$2:$B$37,"")</f>
        <v>Ethiopia</v>
      </c>
      <c r="G295" t="str">
        <f>_xlfn.XLOOKUP(E295,menu!$A$2:$A$37,menu!$C$2:$C$37,"")</f>
        <v>eth</v>
      </c>
      <c r="H295" t="str">
        <f>_xlfn.LET(_xlpm.x,_xlfn.XLOOKUP(_xlfn.XLOOKUP(D295,beans!$A$2:$A$300,beans!$I$2:$I$300),menu!$E$2:$E$20,menu!$F$2:$F$20),IF(_xlpm.x="","",_xlpm.x))</f>
        <v>washed</v>
      </c>
      <c r="I295">
        <v>200</v>
      </c>
      <c r="J295">
        <v>85</v>
      </c>
      <c r="K295">
        <v>35</v>
      </c>
      <c r="L295">
        <v>90</v>
      </c>
      <c r="M295" s="68" t="s">
        <v>121</v>
      </c>
      <c r="N295">
        <v>87.8</v>
      </c>
      <c r="P295" s="67" t="s">
        <v>116</v>
      </c>
      <c r="Q295" s="68">
        <v>198.9</v>
      </c>
      <c r="R295" s="67" t="s">
        <v>237</v>
      </c>
      <c r="S295" s="68">
        <v>215.7</v>
      </c>
      <c r="T295" s="68">
        <f t="shared" si="44"/>
        <v>16.799999999999983</v>
      </c>
      <c r="U295">
        <f t="shared" si="40"/>
        <v>78</v>
      </c>
      <c r="V295">
        <f t="shared" si="45"/>
        <v>12.9</v>
      </c>
      <c r="W295">
        <f t="shared" si="41"/>
        <v>12.48</v>
      </c>
      <c r="X295" s="19">
        <v>45468</v>
      </c>
      <c r="Y295" s="26">
        <v>434.6</v>
      </c>
      <c r="Z295" s="61">
        <v>0</v>
      </c>
      <c r="AB295" s="28">
        <f t="shared" si="42"/>
        <v>0.13079999999999994</v>
      </c>
      <c r="AC295" s="110">
        <v>52.8</v>
      </c>
      <c r="AD295" s="26">
        <v>68.5</v>
      </c>
      <c r="AE295" s="61">
        <f t="shared" si="43"/>
        <v>15.700000000000003</v>
      </c>
      <c r="AF295" s="77" t="str">
        <f>_xlfn.XLOOKUP(AD295,menu!$K$2:$K$9,menu!$J$2:$J$9,"",1)</f>
        <v>中淺</v>
      </c>
      <c r="AG295" s="80" t="str">
        <f>_xlfn.XLOOKUP(AH295,menu!$O$2:$O$9,menu!$H$2:$H$9,"")</f>
        <v>Medium</v>
      </c>
      <c r="AH295" s="81" t="s">
        <v>72</v>
      </c>
      <c r="AI295" t="str">
        <f>_xlfn.LET(_xlpm.x,_xlfn.CONCAT(_xlfn.XLOOKUP(D295,beans!$A$2:$A$300,beans!$J$2:$J$300,"")," / ",_xlfn.XLOOKUP(D295,beans!$A$2:$A$300,beans!$K$2:$K$300,"")," - ",_xlfn.XLOOKUP(D295,beans!$A$2:$A$300,beans!$L$2:$L$300,"")),IF(_xlpm.x=" /  - ","",_xlpm.x))</f>
        <v>班奇 馬吉 / 露西 - Geisha</v>
      </c>
      <c r="AJ295" s="23" t="s">
        <v>580</v>
      </c>
    </row>
    <row r="296" spans="1:36" x14ac:dyDescent="0.3">
      <c r="A296">
        <v>279</v>
      </c>
      <c r="B296">
        <v>500</v>
      </c>
      <c r="D296">
        <v>63</v>
      </c>
      <c r="E296" t="str">
        <f>_xlfn.LET(_xlpm.x,_xlfn.XLOOKUP(D296,beans!$A$2:$A$300,beans!$H$2:$H$300,""),IF(_xlpm.x="","",_xlpm.x))</f>
        <v>衣索比亞</v>
      </c>
      <c r="F296" s="22" t="str">
        <f>_xlfn.XLOOKUP(E296,menu!$A$2:$A$37,menu!$B$2:$B$37,"")</f>
        <v>Ethiopia</v>
      </c>
      <c r="G296" t="str">
        <f>_xlfn.XLOOKUP(E296,menu!$A$2:$A$37,menu!$C$2:$C$37,"")</f>
        <v>eth</v>
      </c>
      <c r="H296" t="str">
        <f>_xlfn.LET(_xlpm.x,_xlfn.XLOOKUP(_xlfn.XLOOKUP(D296,beans!$A$2:$A$300,beans!$I$2:$I$300),menu!$E$2:$E$20,menu!$F$2:$F$20),IF(_xlpm.x="","",_xlpm.x))</f>
        <v>washed</v>
      </c>
      <c r="I296">
        <v>200</v>
      </c>
      <c r="J296">
        <v>85</v>
      </c>
      <c r="K296">
        <v>35</v>
      </c>
      <c r="L296">
        <v>90</v>
      </c>
      <c r="M296" s="68" t="s">
        <v>87</v>
      </c>
      <c r="N296">
        <v>84.8</v>
      </c>
      <c r="P296" s="67" t="s">
        <v>581</v>
      </c>
      <c r="Q296" s="68">
        <v>199.3</v>
      </c>
      <c r="R296" s="67" t="s">
        <v>570</v>
      </c>
      <c r="S296" s="68">
        <v>215.8</v>
      </c>
      <c r="T296" s="68">
        <f t="shared" si="44"/>
        <v>16.5</v>
      </c>
      <c r="U296">
        <f t="shared" si="40"/>
        <v>79</v>
      </c>
      <c r="V296">
        <f t="shared" si="45"/>
        <v>12.5</v>
      </c>
      <c r="W296">
        <f t="shared" si="41"/>
        <v>12.85</v>
      </c>
      <c r="X296" s="19">
        <v>45468</v>
      </c>
      <c r="Y296" s="26">
        <v>438.4</v>
      </c>
      <c r="Z296" s="61">
        <v>0</v>
      </c>
      <c r="AB296" s="28">
        <f t="shared" si="42"/>
        <v>0.12320000000000005</v>
      </c>
      <c r="AC296" s="110">
        <v>56.9</v>
      </c>
      <c r="AD296" s="26">
        <v>78</v>
      </c>
      <c r="AE296" s="61">
        <f t="shared" si="43"/>
        <v>21.1</v>
      </c>
      <c r="AF296" s="77" t="str">
        <f>_xlfn.XLOOKUP(AD296,menu!$K$2:$K$9,menu!$J$2:$J$9,"",1)</f>
        <v>淺</v>
      </c>
      <c r="AG296" s="80" t="str">
        <f>_xlfn.XLOOKUP(AH296,menu!$O$2:$O$9,menu!$H$2:$H$9,"")</f>
        <v>Medium</v>
      </c>
      <c r="AH296" s="81" t="s">
        <v>72</v>
      </c>
      <c r="AI296" t="str">
        <f>_xlfn.LET(_xlpm.x,_xlfn.CONCAT(_xlfn.XLOOKUP(D296,beans!$A$2:$A$300,beans!$J$2:$J$300,"")," / ",_xlfn.XLOOKUP(D296,beans!$A$2:$A$300,beans!$K$2:$K$300,"")," - ",_xlfn.XLOOKUP(D296,beans!$A$2:$A$300,beans!$L$2:$L$300,"")),IF(_xlpm.x=" /  - ","",_xlpm.x))</f>
        <v>班奇 馬吉 / 露西 - Geisha</v>
      </c>
      <c r="AJ296" s="23" t="s">
        <v>582</v>
      </c>
    </row>
    <row r="297" spans="1:36" x14ac:dyDescent="0.3">
      <c r="A297">
        <v>280</v>
      </c>
      <c r="B297">
        <v>500</v>
      </c>
      <c r="D297">
        <v>63</v>
      </c>
      <c r="E297" t="str">
        <f>_xlfn.LET(_xlpm.x,_xlfn.XLOOKUP(D297,beans!$A$2:$A$300,beans!$H$2:$H$300,""),IF(_xlpm.x="","",_xlpm.x))</f>
        <v>衣索比亞</v>
      </c>
      <c r="F297" s="22" t="str">
        <f>_xlfn.XLOOKUP(E297,menu!$A$2:$A$37,menu!$B$2:$B$37,"")</f>
        <v>Ethiopia</v>
      </c>
      <c r="G297" t="str">
        <f>_xlfn.XLOOKUP(E297,menu!$A$2:$A$37,menu!$C$2:$C$37,"")</f>
        <v>eth</v>
      </c>
      <c r="H297" t="str">
        <f>_xlfn.LET(_xlpm.x,_xlfn.XLOOKUP(_xlfn.XLOOKUP(D297,beans!$A$2:$A$300,beans!$I$2:$I$300),menu!$E$2:$E$20,menu!$F$2:$F$20),IF(_xlpm.x="","",_xlpm.x))</f>
        <v>washed</v>
      </c>
      <c r="I297">
        <v>200</v>
      </c>
      <c r="J297">
        <v>85</v>
      </c>
      <c r="K297">
        <v>35</v>
      </c>
      <c r="L297">
        <v>90</v>
      </c>
      <c r="M297" s="68" t="s">
        <v>125</v>
      </c>
      <c r="N297">
        <v>86.7</v>
      </c>
      <c r="P297" s="67" t="s">
        <v>560</v>
      </c>
      <c r="Q297" s="68">
        <v>200.9</v>
      </c>
      <c r="R297" s="67" t="s">
        <v>583</v>
      </c>
      <c r="S297" s="68">
        <v>216.3</v>
      </c>
      <c r="T297" s="68">
        <f t="shared" si="44"/>
        <v>15.400000000000006</v>
      </c>
      <c r="U297">
        <f t="shared" si="40"/>
        <v>110</v>
      </c>
      <c r="V297">
        <f t="shared" si="45"/>
        <v>8.4</v>
      </c>
      <c r="W297">
        <f t="shared" si="41"/>
        <v>16.670000000000002</v>
      </c>
      <c r="X297" s="19">
        <v>45468</v>
      </c>
      <c r="Y297" s="26">
        <v>424</v>
      </c>
      <c r="Z297" s="61">
        <v>0</v>
      </c>
      <c r="AB297" s="28">
        <f t="shared" si="42"/>
        <v>0.152</v>
      </c>
      <c r="AC297" s="110">
        <v>47.4</v>
      </c>
      <c r="AD297" s="26">
        <v>70.7</v>
      </c>
      <c r="AE297" s="61">
        <f t="shared" si="43"/>
        <v>23.300000000000004</v>
      </c>
      <c r="AF297" s="77" t="str">
        <f>_xlfn.XLOOKUP(AD297,menu!$K$2:$K$9,menu!$J$2:$J$9,"",1)</f>
        <v>淺</v>
      </c>
      <c r="AG297" s="80" t="str">
        <f>_xlfn.XLOOKUP(AH297,menu!$O$2:$O$9,menu!$H$2:$H$9,"")</f>
        <v>Medium</v>
      </c>
      <c r="AH297" s="81" t="s">
        <v>72</v>
      </c>
      <c r="AI297" t="str">
        <f>_xlfn.LET(_xlpm.x,_xlfn.CONCAT(_xlfn.XLOOKUP(D297,beans!$A$2:$A$300,beans!$J$2:$J$300,"")," / ",_xlfn.XLOOKUP(D297,beans!$A$2:$A$300,beans!$K$2:$K$300,"")," - ",_xlfn.XLOOKUP(D297,beans!$A$2:$A$300,beans!$L$2:$L$300,"")),IF(_xlpm.x=" /  - ","",_xlpm.x))</f>
        <v>班奇 馬吉 / 露西 - Geisha</v>
      </c>
      <c r="AJ297" s="23" t="s">
        <v>582</v>
      </c>
    </row>
    <row r="298" spans="1:36" x14ac:dyDescent="0.3">
      <c r="A298">
        <v>281</v>
      </c>
      <c r="B298">
        <v>250</v>
      </c>
      <c r="D298">
        <v>19</v>
      </c>
      <c r="E298" t="str">
        <f>_xlfn.LET(_xlpm.x,_xlfn.XLOOKUP(D298,beans!$A$2:$A$300,beans!$H$2:$H$300,""),IF(_xlpm.x="","",_xlpm.x))</f>
        <v>衣索比亞</v>
      </c>
      <c r="F298" s="22" t="str">
        <f>_xlfn.XLOOKUP(E298,menu!$A$2:$A$37,menu!$B$2:$B$37,"")</f>
        <v>Ethiopia</v>
      </c>
      <c r="G298" t="str">
        <f>_xlfn.XLOOKUP(E298,menu!$A$2:$A$37,menu!$C$2:$C$37,"")</f>
        <v>eth</v>
      </c>
      <c r="H298" t="str">
        <f>_xlfn.LET(_xlpm.x,_xlfn.XLOOKUP(_xlfn.XLOOKUP(D298,beans!$A$2:$A$300,beans!$I$2:$I$300),menu!$E$2:$E$20,menu!$F$2:$F$20),IF(_xlpm.x="","",_xlpm.x))</f>
        <v>Alcoholic Natural</v>
      </c>
      <c r="I298">
        <v>200</v>
      </c>
      <c r="J298">
        <v>80</v>
      </c>
      <c r="K298">
        <v>35</v>
      </c>
      <c r="L298">
        <v>85</v>
      </c>
      <c r="M298" s="68" t="s">
        <v>75</v>
      </c>
      <c r="N298">
        <v>91</v>
      </c>
      <c r="P298" s="67" t="s">
        <v>194</v>
      </c>
      <c r="Q298" s="68">
        <v>205.6</v>
      </c>
      <c r="R298" s="67" t="s">
        <v>122</v>
      </c>
      <c r="S298" s="68">
        <v>220.2</v>
      </c>
      <c r="T298" s="68">
        <f t="shared" si="44"/>
        <v>14.599999999999994</v>
      </c>
      <c r="U298">
        <f t="shared" si="40"/>
        <v>55</v>
      </c>
      <c r="V298">
        <f t="shared" si="45"/>
        <v>15.9</v>
      </c>
      <c r="W298">
        <f t="shared" si="41"/>
        <v>9.6999999999999993</v>
      </c>
      <c r="X298" s="19">
        <v>45472</v>
      </c>
      <c r="Y298" s="26">
        <v>218</v>
      </c>
      <c r="Z298" s="61">
        <v>0</v>
      </c>
      <c r="AB298" s="28">
        <f t="shared" si="42"/>
        <v>0.128</v>
      </c>
      <c r="AC298" s="110">
        <v>46.5</v>
      </c>
      <c r="AD298" s="26">
        <v>69</v>
      </c>
      <c r="AE298" s="61">
        <f t="shared" si="43"/>
        <v>22.5</v>
      </c>
      <c r="AF298" s="77" t="str">
        <f>_xlfn.XLOOKUP(AD298,menu!$K$2:$K$9,menu!$J$2:$J$9,"",1)</f>
        <v>中淺</v>
      </c>
      <c r="AG298" s="80" t="str">
        <f>_xlfn.XLOOKUP(AH298,menu!$O$2:$O$9,menu!$H$2:$H$9,"")</f>
        <v/>
      </c>
      <c r="AI298" t="str">
        <f>_xlfn.LET(_xlpm.x,_xlfn.CONCAT(_xlfn.XLOOKUP(D298,beans!$A$2:$A$300,beans!$J$2:$J$300,"")," / ",_xlfn.XLOOKUP(D298,beans!$A$2:$A$300,beans!$K$2:$K$300,"")," - ",_xlfn.XLOOKUP(D298,beans!$A$2:$A$300,beans!$L$2:$L$300,"")),IF(_xlpm.x=" /  - ","",_xlpm.x))</f>
        <v>古吉 / 艾德 - Heirloom</v>
      </c>
      <c r="AJ298" s="23" t="s">
        <v>584</v>
      </c>
    </row>
    <row r="299" spans="1:36" x14ac:dyDescent="0.3">
      <c r="A299">
        <v>282</v>
      </c>
      <c r="B299">
        <v>500</v>
      </c>
      <c r="E299" t="s">
        <v>43</v>
      </c>
      <c r="F299" s="22" t="str">
        <f>_xlfn.XLOOKUP(E299,menu!$A$2:$A$37,menu!$B$2:$B$37,"")</f>
        <v>Brazli</v>
      </c>
      <c r="G299" t="str">
        <f>_xlfn.XLOOKUP(E299,menu!$A$2:$A$37,menu!$C$2:$C$37,"")</f>
        <v>bra</v>
      </c>
      <c r="H299" t="s">
        <v>44</v>
      </c>
      <c r="T299" s="68" t="str">
        <f t="shared" si="44"/>
        <v/>
      </c>
      <c r="U299" t="str">
        <f t="shared" si="40"/>
        <v/>
      </c>
      <c r="V299">
        <f t="shared" si="45"/>
        <v>0</v>
      </c>
      <c r="W299" t="str">
        <f t="shared" si="41"/>
        <v/>
      </c>
      <c r="X299" s="19">
        <v>45472</v>
      </c>
      <c r="Y299" s="26">
        <v>420</v>
      </c>
      <c r="Z299" s="61">
        <v>0</v>
      </c>
      <c r="AB299" s="28">
        <f t="shared" si="42"/>
        <v>0.16</v>
      </c>
      <c r="AC299" s="110">
        <v>48.3</v>
      </c>
      <c r="AD299" s="26">
        <v>71.400000000000006</v>
      </c>
      <c r="AE299" s="61">
        <f t="shared" si="43"/>
        <v>23.100000000000009</v>
      </c>
      <c r="AF299" s="77" t="str">
        <f>_xlfn.XLOOKUP(AD299,menu!$K$2:$K$9,menu!$J$2:$J$9,"",1)</f>
        <v>淺</v>
      </c>
      <c r="AG299" s="80" t="str">
        <f>_xlfn.XLOOKUP(AH299,menu!$O$2:$O$9,menu!$H$2:$H$9,"")</f>
        <v/>
      </c>
      <c r="AI299" t="str">
        <f>_xlfn.LET(_xlpm.x,_xlfn.CONCAT(_xlfn.XLOOKUP(D299,beans!$A$2:$A$300,beans!$J$2:$J$300,"")," / ",_xlfn.XLOOKUP(D299,beans!$A$2:$A$300,beans!$K$2:$K$300,"")," - ",_xlfn.XLOOKUP(D299,beans!$A$2:$A$300,beans!$L$2:$L$300,"")),IF(_xlpm.x=" /  - ","",_xlpm.x))</f>
        <v/>
      </c>
      <c r="AJ299" s="23" t="s">
        <v>585</v>
      </c>
    </row>
    <row r="300" spans="1:36" x14ac:dyDescent="0.3">
      <c r="A300">
        <v>283</v>
      </c>
      <c r="B300">
        <v>500</v>
      </c>
      <c r="E300" t="s">
        <v>43</v>
      </c>
      <c r="F300" s="22" t="str">
        <f>_xlfn.XLOOKUP(E300,menu!$A$2:$A$37,menu!$B$2:$B$37,"")</f>
        <v>Brazli</v>
      </c>
      <c r="G300" t="str">
        <f>_xlfn.XLOOKUP(E300,menu!$A$2:$A$37,menu!$C$2:$C$37,"")</f>
        <v>bra</v>
      </c>
      <c r="H300" t="s">
        <v>44</v>
      </c>
      <c r="T300" s="68" t="str">
        <f t="shared" si="44"/>
        <v/>
      </c>
      <c r="U300" t="str">
        <f t="shared" si="40"/>
        <v/>
      </c>
      <c r="V300">
        <f t="shared" si="45"/>
        <v>0</v>
      </c>
      <c r="W300" t="str">
        <f t="shared" si="41"/>
        <v/>
      </c>
      <c r="X300" s="19">
        <v>45472</v>
      </c>
      <c r="Y300" s="26">
        <v>418.5</v>
      </c>
      <c r="Z300" s="61">
        <v>0</v>
      </c>
      <c r="AB300" s="28">
        <f t="shared" si="42"/>
        <v>0.16300000000000001</v>
      </c>
      <c r="AC300" s="110">
        <v>32.9</v>
      </c>
      <c r="AD300" s="26">
        <v>55.9</v>
      </c>
      <c r="AE300" s="61">
        <f t="shared" si="43"/>
        <v>23</v>
      </c>
      <c r="AF300" s="77" t="str">
        <f>_xlfn.XLOOKUP(AD300,menu!$K$2:$K$9,menu!$J$2:$J$9,"",1)</f>
        <v>中</v>
      </c>
      <c r="AG300" s="80" t="str">
        <f>_xlfn.XLOOKUP(AH300,menu!$O$2:$O$9,menu!$H$2:$H$9,"")</f>
        <v/>
      </c>
      <c r="AI300" t="str">
        <f>_xlfn.LET(_xlpm.x,_xlfn.CONCAT(_xlfn.XLOOKUP(D300,beans!$A$2:$A$300,beans!$J$2:$J$300,"")," / ",_xlfn.XLOOKUP(D300,beans!$A$2:$A$300,beans!$K$2:$K$300,"")," - ",_xlfn.XLOOKUP(D300,beans!$A$2:$A$300,beans!$L$2:$L$300,"")),IF(_xlpm.x=" /  - ","",_xlpm.x))</f>
        <v/>
      </c>
      <c r="AJ300" s="23" t="s">
        <v>585</v>
      </c>
    </row>
    <row r="301" spans="1:36" x14ac:dyDescent="0.3">
      <c r="A301">
        <v>284</v>
      </c>
      <c r="B301">
        <v>500</v>
      </c>
      <c r="E301" t="s">
        <v>43</v>
      </c>
      <c r="F301" s="22" t="str">
        <f>_xlfn.XLOOKUP(E301,menu!$A$2:$A$37,menu!$B$2:$B$37,"")</f>
        <v>Brazli</v>
      </c>
      <c r="G301" t="str">
        <f>_xlfn.XLOOKUP(E301,menu!$A$2:$A$37,menu!$C$2:$C$37,"")</f>
        <v>bra</v>
      </c>
      <c r="H301" t="s">
        <v>44</v>
      </c>
      <c r="T301" s="68" t="str">
        <f t="shared" si="44"/>
        <v/>
      </c>
      <c r="U301" t="str">
        <f t="shared" si="40"/>
        <v/>
      </c>
      <c r="V301">
        <f t="shared" si="45"/>
        <v>0</v>
      </c>
      <c r="W301" t="str">
        <f t="shared" si="41"/>
        <v/>
      </c>
      <c r="X301" s="19">
        <v>45472</v>
      </c>
      <c r="Y301" s="26">
        <v>420.2</v>
      </c>
      <c r="Z301" s="61">
        <v>0</v>
      </c>
      <c r="AB301" s="28">
        <f t="shared" si="42"/>
        <v>0.15960000000000002</v>
      </c>
      <c r="AC301" s="110">
        <v>40.200000000000003</v>
      </c>
      <c r="AD301" s="26">
        <v>59.3</v>
      </c>
      <c r="AE301" s="61">
        <f t="shared" si="43"/>
        <v>19.099999999999994</v>
      </c>
      <c r="AF301" s="77" t="str">
        <f>_xlfn.XLOOKUP(AD301,menu!$K$2:$K$9,menu!$J$2:$J$9,"",1)</f>
        <v>中</v>
      </c>
      <c r="AG301" s="80" t="str">
        <f>_xlfn.XLOOKUP(AH301,menu!$O$2:$O$9,menu!$H$2:$H$9,"")</f>
        <v/>
      </c>
      <c r="AI301" t="str">
        <f>_xlfn.LET(_xlpm.x,_xlfn.CONCAT(_xlfn.XLOOKUP(D301,beans!$A$2:$A$300,beans!$J$2:$J$300,"")," / ",_xlfn.XLOOKUP(D301,beans!$A$2:$A$300,beans!$K$2:$K$300,"")," - ",_xlfn.XLOOKUP(D301,beans!$A$2:$A$300,beans!$L$2:$L$300,"")),IF(_xlpm.x=" /  - ","",_xlpm.x))</f>
        <v/>
      </c>
      <c r="AJ301" s="23" t="s">
        <v>585</v>
      </c>
    </row>
    <row r="302" spans="1:36" x14ac:dyDescent="0.3">
      <c r="A302">
        <v>285</v>
      </c>
      <c r="B302">
        <v>500</v>
      </c>
      <c r="E302" t="s">
        <v>43</v>
      </c>
      <c r="F302" s="22" t="str">
        <f>_xlfn.XLOOKUP(E302,menu!$A$2:$A$37,menu!$B$2:$B$37,"")</f>
        <v>Brazli</v>
      </c>
      <c r="G302" t="str">
        <f>_xlfn.XLOOKUP(E302,menu!$A$2:$A$37,menu!$C$2:$C$37,"")</f>
        <v>bra</v>
      </c>
      <c r="H302" t="s">
        <v>44</v>
      </c>
      <c r="T302" s="68" t="str">
        <f t="shared" si="44"/>
        <v/>
      </c>
      <c r="U302" t="str">
        <f t="shared" si="40"/>
        <v/>
      </c>
      <c r="V302">
        <f t="shared" si="45"/>
        <v>0</v>
      </c>
      <c r="W302" t="str">
        <f t="shared" si="41"/>
        <v/>
      </c>
      <c r="X302" s="19">
        <v>45472</v>
      </c>
      <c r="Y302" s="26">
        <v>401.5</v>
      </c>
      <c r="Z302" s="61">
        <v>0</v>
      </c>
      <c r="AB302" s="28">
        <f t="shared" si="42"/>
        <v>0.19700000000000001</v>
      </c>
      <c r="AC302" s="110">
        <v>47</v>
      </c>
      <c r="AD302" s="26">
        <v>64.7</v>
      </c>
      <c r="AE302" s="61">
        <f t="shared" si="43"/>
        <v>17.700000000000003</v>
      </c>
      <c r="AF302" s="77" t="str">
        <f>_xlfn.XLOOKUP(AD302,menu!$K$2:$K$9,menu!$J$2:$J$9,"",1)</f>
        <v>中淺</v>
      </c>
      <c r="AG302" s="80" t="str">
        <f>_xlfn.XLOOKUP(AH302,menu!$O$2:$O$9,menu!$H$2:$H$9,"")</f>
        <v/>
      </c>
      <c r="AI302" t="str">
        <f>_xlfn.LET(_xlpm.x,_xlfn.CONCAT(_xlfn.XLOOKUP(D302,beans!$A$2:$A$300,beans!$J$2:$J$300,"")," / ",_xlfn.XLOOKUP(D302,beans!$A$2:$A$300,beans!$K$2:$K$300,"")," - ",_xlfn.XLOOKUP(D302,beans!$A$2:$A$300,beans!$L$2:$L$300,"")),IF(_xlpm.x=" /  - ","",_xlpm.x))</f>
        <v/>
      </c>
      <c r="AJ302" s="23" t="s">
        <v>585</v>
      </c>
    </row>
    <row r="303" spans="1:36" x14ac:dyDescent="0.3">
      <c r="A303">
        <v>286</v>
      </c>
      <c r="B303">
        <v>500</v>
      </c>
      <c r="E303" t="s">
        <v>304</v>
      </c>
      <c r="F303" s="22" t="str">
        <f>_xlfn.XLOOKUP(E303,menu!$A$2:$A$37,menu!$B$2:$B$37,"")</f>
        <v>Guatemala</v>
      </c>
      <c r="G303" t="str">
        <f>_xlfn.XLOOKUP(E303,menu!$A$2:$A$37,menu!$C$2:$C$37,"")</f>
        <v>gtm</v>
      </c>
      <c r="H303" t="s">
        <v>59</v>
      </c>
      <c r="T303" s="68" t="str">
        <f t="shared" si="44"/>
        <v/>
      </c>
      <c r="U303" t="str">
        <f t="shared" si="40"/>
        <v/>
      </c>
      <c r="V303">
        <f t="shared" si="45"/>
        <v>0</v>
      </c>
      <c r="W303" t="str">
        <f t="shared" si="41"/>
        <v/>
      </c>
      <c r="X303" s="19">
        <v>45472</v>
      </c>
      <c r="Y303" s="26">
        <v>429.2</v>
      </c>
      <c r="Z303" s="61">
        <v>0</v>
      </c>
      <c r="AB303" s="28">
        <f t="shared" si="42"/>
        <v>0.14160000000000003</v>
      </c>
      <c r="AC303" s="110">
        <v>54.1</v>
      </c>
      <c r="AD303" s="26">
        <v>70.5</v>
      </c>
      <c r="AE303" s="61">
        <f t="shared" si="43"/>
        <v>16.399999999999999</v>
      </c>
      <c r="AF303" s="77" t="str">
        <f>_xlfn.XLOOKUP(AD303,menu!$K$2:$K$9,menu!$J$2:$J$9,"",1)</f>
        <v>淺</v>
      </c>
      <c r="AG303" s="80" t="str">
        <f>_xlfn.XLOOKUP(AH303,menu!$O$2:$O$9,menu!$H$2:$H$9,"")</f>
        <v/>
      </c>
      <c r="AI303" t="str">
        <f>_xlfn.LET(_xlpm.x,_xlfn.CONCAT(_xlfn.XLOOKUP(D303,beans!$A$2:$A$300,beans!$J$2:$J$300,"")," / ",_xlfn.XLOOKUP(D303,beans!$A$2:$A$300,beans!$K$2:$K$300,"")," - ",_xlfn.XLOOKUP(D303,beans!$A$2:$A$300,beans!$L$2:$L$300,"")),IF(_xlpm.x=" /  - ","",_xlpm.x))</f>
        <v/>
      </c>
      <c r="AJ303" s="23" t="s">
        <v>585</v>
      </c>
    </row>
    <row r="304" spans="1:36" x14ac:dyDescent="0.3">
      <c r="A304">
        <v>287</v>
      </c>
      <c r="B304">
        <v>500</v>
      </c>
      <c r="E304" t="s">
        <v>304</v>
      </c>
      <c r="F304" s="22" t="str">
        <f>_xlfn.XLOOKUP(E304,menu!$A$2:$A$37,menu!$B$2:$B$37,"")</f>
        <v>Guatemala</v>
      </c>
      <c r="G304" t="str">
        <f>_xlfn.XLOOKUP(E304,menu!$A$2:$A$37,menu!$C$2:$C$37,"")</f>
        <v>gtm</v>
      </c>
      <c r="H304" t="s">
        <v>59</v>
      </c>
      <c r="T304" s="68" t="str">
        <f t="shared" si="44"/>
        <v/>
      </c>
      <c r="U304" t="str">
        <f t="shared" si="40"/>
        <v/>
      </c>
      <c r="V304">
        <f t="shared" si="45"/>
        <v>0</v>
      </c>
      <c r="W304" t="str">
        <f t="shared" si="41"/>
        <v/>
      </c>
      <c r="X304" s="19">
        <v>45472</v>
      </c>
      <c r="Y304" s="26">
        <v>420</v>
      </c>
      <c r="Z304" s="61">
        <v>0</v>
      </c>
      <c r="AB304" s="28">
        <f t="shared" si="42"/>
        <v>0.16</v>
      </c>
      <c r="AC304" s="110">
        <v>59.7</v>
      </c>
      <c r="AD304" s="26">
        <v>68.3</v>
      </c>
      <c r="AE304" s="61">
        <f t="shared" si="43"/>
        <v>8.5999999999999943</v>
      </c>
      <c r="AF304" s="77" t="str">
        <f>_xlfn.XLOOKUP(AD304,menu!$K$2:$K$9,menu!$J$2:$J$9,"",1)</f>
        <v>中淺</v>
      </c>
      <c r="AG304" s="80" t="str">
        <f>_xlfn.XLOOKUP(AH304,menu!$O$2:$O$9,menu!$H$2:$H$9,"")</f>
        <v/>
      </c>
      <c r="AI304" t="str">
        <f>_xlfn.LET(_xlpm.x,_xlfn.CONCAT(_xlfn.XLOOKUP(D304,beans!$A$2:$A$300,beans!$J$2:$J$300,"")," / ",_xlfn.XLOOKUP(D304,beans!$A$2:$A$300,beans!$K$2:$K$300,"")," - ",_xlfn.XLOOKUP(D304,beans!$A$2:$A$300,beans!$L$2:$L$300,"")),IF(_xlpm.x=" /  - ","",_xlpm.x))</f>
        <v/>
      </c>
      <c r="AJ304" s="23" t="s">
        <v>585</v>
      </c>
    </row>
    <row r="305" spans="1:36" x14ac:dyDescent="0.3">
      <c r="A305">
        <v>288</v>
      </c>
      <c r="B305">
        <v>500</v>
      </c>
      <c r="E305" t="s">
        <v>304</v>
      </c>
      <c r="F305" s="22" t="str">
        <f>_xlfn.XLOOKUP(E305,menu!$A$2:$A$37,menu!$B$2:$B$37,"")</f>
        <v>Guatemala</v>
      </c>
      <c r="G305" t="str">
        <f>_xlfn.XLOOKUP(E305,menu!$A$2:$A$37,menu!$C$2:$C$37,"")</f>
        <v>gtm</v>
      </c>
      <c r="H305" t="s">
        <v>59</v>
      </c>
      <c r="T305" s="68" t="str">
        <f t="shared" si="44"/>
        <v/>
      </c>
      <c r="U305" t="str">
        <f t="shared" si="40"/>
        <v/>
      </c>
      <c r="V305">
        <f t="shared" si="45"/>
        <v>0</v>
      </c>
      <c r="W305" t="str">
        <f t="shared" si="41"/>
        <v/>
      </c>
      <c r="X305" s="19">
        <v>45472</v>
      </c>
      <c r="Y305" s="26">
        <v>428</v>
      </c>
      <c r="Z305" s="61">
        <v>0</v>
      </c>
      <c r="AB305" s="28">
        <f t="shared" si="42"/>
        <v>0.14399999999999999</v>
      </c>
      <c r="AE305" s="61" t="str">
        <f t="shared" si="43"/>
        <v/>
      </c>
      <c r="AF305" s="77" t="str">
        <f>_xlfn.XLOOKUP(AD305,menu!$K$2:$K$9,menu!$J$2:$J$9,"",1)</f>
        <v/>
      </c>
      <c r="AG305" s="80" t="str">
        <f>_xlfn.XLOOKUP(AH305,menu!$O$2:$O$9,menu!$H$2:$H$9,"")</f>
        <v/>
      </c>
      <c r="AI305" t="str">
        <f>_xlfn.LET(_xlpm.x,_xlfn.CONCAT(_xlfn.XLOOKUP(D305,beans!$A$2:$A$300,beans!$J$2:$J$300,"")," / ",_xlfn.XLOOKUP(D305,beans!$A$2:$A$300,beans!$K$2:$K$300,"")," - ",_xlfn.XLOOKUP(D305,beans!$A$2:$A$300,beans!$L$2:$L$300,"")),IF(_xlpm.x=" /  - ","",_xlpm.x))</f>
        <v/>
      </c>
      <c r="AJ305" s="23" t="s">
        <v>585</v>
      </c>
    </row>
    <row r="306" spans="1:36" x14ac:dyDescent="0.3">
      <c r="A306">
        <v>289</v>
      </c>
      <c r="B306">
        <v>500</v>
      </c>
      <c r="E306" t="s">
        <v>304</v>
      </c>
      <c r="F306" s="22" t="str">
        <f>_xlfn.XLOOKUP(E306,menu!$A$2:$A$37,menu!$B$2:$B$37,"")</f>
        <v>Guatemala</v>
      </c>
      <c r="G306" t="str">
        <f>_xlfn.XLOOKUP(E306,menu!$A$2:$A$37,menu!$C$2:$C$37,"")</f>
        <v>gtm</v>
      </c>
      <c r="H306" t="s">
        <v>59</v>
      </c>
      <c r="T306" s="68" t="str">
        <f t="shared" si="44"/>
        <v/>
      </c>
      <c r="U306" t="str">
        <f t="shared" si="40"/>
        <v/>
      </c>
      <c r="V306">
        <f t="shared" si="45"/>
        <v>0</v>
      </c>
      <c r="W306" t="str">
        <f t="shared" si="41"/>
        <v/>
      </c>
      <c r="X306" s="19">
        <v>45472</v>
      </c>
      <c r="Y306" s="26">
        <v>433</v>
      </c>
      <c r="Z306" s="61">
        <v>0</v>
      </c>
      <c r="AB306" s="28">
        <f t="shared" si="42"/>
        <v>0.13400000000000001</v>
      </c>
      <c r="AE306" s="61" t="str">
        <f t="shared" si="43"/>
        <v/>
      </c>
      <c r="AF306" s="77" t="str">
        <f>_xlfn.XLOOKUP(AD306,menu!$K$2:$K$9,menu!$J$2:$J$9,"",1)</f>
        <v/>
      </c>
      <c r="AG306" s="80" t="str">
        <f>_xlfn.XLOOKUP(AH306,menu!$O$2:$O$9,menu!$H$2:$H$9,"")</f>
        <v/>
      </c>
      <c r="AI306" t="str">
        <f>_xlfn.LET(_xlpm.x,_xlfn.CONCAT(_xlfn.XLOOKUP(D306,beans!$A$2:$A$300,beans!$J$2:$J$300,"")," / ",_xlfn.XLOOKUP(D306,beans!$A$2:$A$300,beans!$K$2:$K$300,"")," - ",_xlfn.XLOOKUP(D306,beans!$A$2:$A$300,beans!$L$2:$L$300,"")),IF(_xlpm.x=" /  - ","",_xlpm.x))</f>
        <v/>
      </c>
      <c r="AJ306" s="23" t="s">
        <v>585</v>
      </c>
    </row>
    <row r="307" spans="1:36" x14ac:dyDescent="0.3">
      <c r="A307">
        <v>290</v>
      </c>
      <c r="B307">
        <v>500</v>
      </c>
      <c r="D307">
        <v>6</v>
      </c>
      <c r="E307" t="str">
        <f>_xlfn.LET(_xlpm.x,_xlfn.XLOOKUP(D307,beans!$A$2:$A$300,beans!$H$2:$H$300,""),IF(_xlpm.x="","",_xlpm.x))</f>
        <v>肯亞</v>
      </c>
      <c r="F307" s="22" t="str">
        <f>_xlfn.XLOOKUP(E307,menu!$A$2:$A$37,menu!$B$2:$B$37,"")</f>
        <v>Kenya</v>
      </c>
      <c r="G307" t="str">
        <f>_xlfn.XLOOKUP(E307,menu!$A$2:$A$37,menu!$C$2:$C$37,"")</f>
        <v>ken</v>
      </c>
      <c r="H307" t="str">
        <f>_xlfn.LET(_xlpm.x,_xlfn.XLOOKUP(_xlfn.XLOOKUP(D307,beans!$A$2:$A$300,beans!$I$2:$I$300),menu!$E$2:$E$20,menu!$F$2:$F$20),IF(_xlpm.x="","",_xlpm.x))</f>
        <v>washed</v>
      </c>
      <c r="I307">
        <v>200</v>
      </c>
      <c r="J307">
        <v>80</v>
      </c>
      <c r="K307">
        <v>35</v>
      </c>
      <c r="L307">
        <v>90</v>
      </c>
      <c r="M307" s="68" t="s">
        <v>71</v>
      </c>
      <c r="N307">
        <v>83.8</v>
      </c>
      <c r="P307" s="67" t="s">
        <v>586</v>
      </c>
      <c r="Q307" s="68">
        <v>196</v>
      </c>
      <c r="R307" s="67" t="s">
        <v>450</v>
      </c>
      <c r="S307" s="68">
        <v>213.5</v>
      </c>
      <c r="T307" s="68">
        <f t="shared" si="44"/>
        <v>17.5</v>
      </c>
      <c r="U307">
        <f t="shared" si="40"/>
        <v>112</v>
      </c>
      <c r="V307">
        <f t="shared" si="45"/>
        <v>9.4</v>
      </c>
      <c r="W307">
        <f t="shared" si="41"/>
        <v>16.02</v>
      </c>
      <c r="X307" s="19">
        <v>45473</v>
      </c>
      <c r="Y307" s="26">
        <v>432.6</v>
      </c>
      <c r="Z307" s="61">
        <v>0</v>
      </c>
      <c r="AB307" s="28">
        <f t="shared" si="42"/>
        <v>0.13479999999999995</v>
      </c>
      <c r="AC307" s="110">
        <v>49.3</v>
      </c>
      <c r="AD307" s="26">
        <v>68.099999999999994</v>
      </c>
      <c r="AE307" s="61">
        <f t="shared" si="43"/>
        <v>18.799999999999997</v>
      </c>
      <c r="AF307" s="77" t="str">
        <f>_xlfn.XLOOKUP(AD307,menu!$K$2:$K$9,menu!$J$2:$J$9,"",1)</f>
        <v>中淺</v>
      </c>
      <c r="AG307" s="80" t="str">
        <f>_xlfn.XLOOKUP(AH307,menu!$O$2:$O$9,menu!$H$2:$H$9,"")</f>
        <v/>
      </c>
      <c r="AI307" t="str">
        <f>_xlfn.LET(_xlpm.x,_xlfn.CONCAT(_xlfn.XLOOKUP(D307,beans!$A$2:$A$300,beans!$J$2:$J$300,"")," / ",_xlfn.XLOOKUP(D307,beans!$A$2:$A$300,beans!$K$2:$K$300,"")," - ",_xlfn.XLOOKUP(D307,beans!$A$2:$A$300,beans!$L$2:$L$300,"")),IF(_xlpm.x=" /  - ","",_xlpm.x))</f>
        <v>東非大裂谷產區 / 烏克栗栗/黑莓皇后 - SL28, SL34, 少許Ruiru以及Batian</v>
      </c>
      <c r="AJ307" s="23" t="s">
        <v>587</v>
      </c>
    </row>
    <row r="308" spans="1:36" x14ac:dyDescent="0.3">
      <c r="A308">
        <v>291</v>
      </c>
      <c r="B308">
        <v>500</v>
      </c>
      <c r="D308">
        <v>53</v>
      </c>
      <c r="E308" t="str">
        <f>_xlfn.LET(_xlpm.x,_xlfn.XLOOKUP(D308,beans!$A$2:$A$300,beans!$H$2:$H$300,""),IF(_xlpm.x="","",_xlpm.x))</f>
        <v>衣索比亞</v>
      </c>
      <c r="F308" s="22" t="str">
        <f>_xlfn.XLOOKUP(E308,menu!$A$2:$A$37,menu!$B$2:$B$37,"")</f>
        <v>Ethiopia</v>
      </c>
      <c r="G308" t="str">
        <f>_xlfn.XLOOKUP(E308,menu!$A$2:$A$37,menu!$C$2:$C$37,"")</f>
        <v>eth</v>
      </c>
      <c r="H308" t="str">
        <f>_xlfn.LET(_xlpm.x,_xlfn.XLOOKUP(_xlfn.XLOOKUP(D308,beans!$A$2:$A$300,beans!$I$2:$I$300),menu!$E$2:$E$20,menu!$F$2:$F$20),IF(_xlpm.x="","",_xlpm.x))</f>
        <v>Anaerobic Natural</v>
      </c>
      <c r="I308">
        <v>200</v>
      </c>
      <c r="J308">
        <v>80</v>
      </c>
      <c r="K308">
        <v>35</v>
      </c>
      <c r="L308">
        <v>90</v>
      </c>
      <c r="M308" s="68" t="s">
        <v>121</v>
      </c>
      <c r="N308">
        <v>88.4</v>
      </c>
      <c r="P308" s="67" t="s">
        <v>134</v>
      </c>
      <c r="Q308" s="68">
        <v>207.2</v>
      </c>
      <c r="R308" s="67" t="s">
        <v>123</v>
      </c>
      <c r="S308" s="68">
        <v>217.7</v>
      </c>
      <c r="T308" s="68">
        <f t="shared" si="44"/>
        <v>10.5</v>
      </c>
      <c r="U308">
        <f t="shared" si="40"/>
        <v>52</v>
      </c>
      <c r="V308">
        <f t="shared" si="45"/>
        <v>12.1</v>
      </c>
      <c r="W308">
        <f t="shared" si="41"/>
        <v>7.95</v>
      </c>
      <c r="X308" s="19">
        <v>45473</v>
      </c>
      <c r="Y308" s="26">
        <v>430</v>
      </c>
      <c r="Z308" s="61">
        <v>0</v>
      </c>
      <c r="AB308" s="28">
        <f t="shared" si="42"/>
        <v>0.14000000000000001</v>
      </c>
      <c r="AC308" s="110">
        <v>52.4</v>
      </c>
      <c r="AD308" s="26">
        <v>67</v>
      </c>
      <c r="AE308" s="61">
        <f t="shared" si="43"/>
        <v>14.600000000000001</v>
      </c>
      <c r="AF308" s="77" t="str">
        <f>_xlfn.XLOOKUP(AD308,menu!$K$2:$K$9,menu!$J$2:$J$9,"",1)</f>
        <v>中淺</v>
      </c>
      <c r="AG308" s="80" t="str">
        <f>_xlfn.XLOOKUP(AH308,menu!$O$2:$O$9,menu!$H$2:$H$9,"")</f>
        <v/>
      </c>
      <c r="AI308" t="str">
        <f>_xlfn.LET(_xlpm.x,_xlfn.CONCAT(_xlfn.XLOOKUP(D308,beans!$A$2:$A$300,beans!$J$2:$J$300,"")," / ",_xlfn.XLOOKUP(D308,beans!$A$2:$A$300,beans!$K$2:$K$300,"")," - ",_xlfn.XLOOKUP(D308,beans!$A$2:$A$300,beans!$L$2:$L$300,"")),IF(_xlpm.x=" /  - ","",_xlpm.x))</f>
        <v>耶加雪菲 / 切切雷(Chelchele) - 原生種</v>
      </c>
      <c r="AJ308" s="23" t="s">
        <v>241</v>
      </c>
    </row>
    <row r="309" spans="1:36" x14ac:dyDescent="0.3">
      <c r="A309">
        <v>292</v>
      </c>
      <c r="B309">
        <v>500</v>
      </c>
      <c r="D309">
        <v>53</v>
      </c>
      <c r="E309" t="str">
        <f>_xlfn.LET(_xlpm.x,_xlfn.XLOOKUP(D309,beans!$A$2:$A$300,beans!$H$2:$H$300,""),IF(_xlpm.x="","",_xlpm.x))</f>
        <v>衣索比亞</v>
      </c>
      <c r="F309" s="22" t="str">
        <f>_xlfn.XLOOKUP(E309,menu!$A$2:$A$37,menu!$B$2:$B$37,"")</f>
        <v>Ethiopia</v>
      </c>
      <c r="G309" t="str">
        <f>_xlfn.XLOOKUP(E309,menu!$A$2:$A$37,menu!$C$2:$C$37,"")</f>
        <v>eth</v>
      </c>
      <c r="H309" t="str">
        <f>_xlfn.LET(_xlpm.x,_xlfn.XLOOKUP(_xlfn.XLOOKUP(D309,beans!$A$2:$A$300,beans!$I$2:$I$300),menu!$E$2:$E$20,menu!$F$2:$F$20),IF(_xlpm.x="","",_xlpm.x))</f>
        <v>Anaerobic Natural</v>
      </c>
      <c r="I309">
        <v>200</v>
      </c>
      <c r="J309">
        <v>80</v>
      </c>
      <c r="K309">
        <v>35</v>
      </c>
      <c r="L309">
        <v>90</v>
      </c>
      <c r="M309" s="68" t="s">
        <v>207</v>
      </c>
      <c r="N309">
        <v>88.5</v>
      </c>
      <c r="P309" s="67" t="s">
        <v>524</v>
      </c>
      <c r="Q309" s="68">
        <v>208.3</v>
      </c>
      <c r="R309" s="67" t="s">
        <v>344</v>
      </c>
      <c r="S309" s="68">
        <v>221.8</v>
      </c>
      <c r="T309" s="68">
        <f t="shared" si="44"/>
        <v>13.5</v>
      </c>
      <c r="U309">
        <f t="shared" si="40"/>
        <v>60</v>
      </c>
      <c r="V309">
        <f t="shared" si="45"/>
        <v>13.5</v>
      </c>
      <c r="W309">
        <f t="shared" si="41"/>
        <v>8.8800000000000008</v>
      </c>
      <c r="X309" s="19">
        <v>45473</v>
      </c>
      <c r="Y309" s="26">
        <v>423.9</v>
      </c>
      <c r="Z309" s="61">
        <v>0</v>
      </c>
      <c r="AB309" s="28">
        <f t="shared" si="42"/>
        <v>0.15220000000000006</v>
      </c>
      <c r="AE309" s="61" t="str">
        <f t="shared" si="43"/>
        <v/>
      </c>
      <c r="AF309" s="77" t="str">
        <f>_xlfn.XLOOKUP(AD309,menu!$K$2:$K$9,menu!$J$2:$J$9,"",1)</f>
        <v/>
      </c>
      <c r="AG309" s="80" t="str">
        <f>_xlfn.XLOOKUP(AH309,menu!$O$2:$O$9,menu!$H$2:$H$9,"")</f>
        <v/>
      </c>
      <c r="AI309" t="str">
        <f>_xlfn.LET(_xlpm.x,_xlfn.CONCAT(_xlfn.XLOOKUP(D309,beans!$A$2:$A$300,beans!$J$2:$J$300,"")," / ",_xlfn.XLOOKUP(D309,beans!$A$2:$A$300,beans!$K$2:$K$300,"")," - ",_xlfn.XLOOKUP(D309,beans!$A$2:$A$300,beans!$L$2:$L$300,"")),IF(_xlpm.x=" /  - ","",_xlpm.x))</f>
        <v>耶加雪菲 / 切切雷(Chelchele) - 原生種</v>
      </c>
      <c r="AJ309" s="23" t="s">
        <v>241</v>
      </c>
    </row>
    <row r="310" spans="1:36" x14ac:dyDescent="0.3">
      <c r="A310">
        <v>293</v>
      </c>
      <c r="B310">
        <v>500</v>
      </c>
      <c r="E310" t="s">
        <v>53</v>
      </c>
      <c r="F310" s="22" t="str">
        <f>_xlfn.XLOOKUP(E310,menu!$A$2:$A$37,menu!$B$2:$B$37,"")</f>
        <v>Ethiopia</v>
      </c>
      <c r="G310" t="str">
        <f>_xlfn.XLOOKUP(E310,menu!$A$2:$A$37,menu!$C$2:$C$37,"")</f>
        <v>eth</v>
      </c>
      <c r="H310" t="s">
        <v>44</v>
      </c>
      <c r="I310">
        <v>200</v>
      </c>
      <c r="J310">
        <v>80</v>
      </c>
      <c r="K310">
        <v>35</v>
      </c>
      <c r="L310">
        <v>90</v>
      </c>
      <c r="M310" s="68" t="s">
        <v>75</v>
      </c>
      <c r="N310">
        <v>87.5</v>
      </c>
      <c r="P310" s="67" t="s">
        <v>588</v>
      </c>
      <c r="Q310" s="68">
        <v>100.4</v>
      </c>
      <c r="R310" s="67" t="s">
        <v>208</v>
      </c>
      <c r="S310" s="68">
        <v>218.4</v>
      </c>
      <c r="T310" s="68">
        <f t="shared" si="44"/>
        <v>118</v>
      </c>
      <c r="U310">
        <f t="shared" si="40"/>
        <v>86</v>
      </c>
      <c r="V310">
        <f t="shared" si="45"/>
        <v>82.3</v>
      </c>
      <c r="W310">
        <f t="shared" si="41"/>
        <v>13.29</v>
      </c>
      <c r="X310" s="19">
        <v>45473</v>
      </c>
      <c r="Y310" s="26">
        <v>440</v>
      </c>
      <c r="Z310" s="61">
        <v>0</v>
      </c>
      <c r="AB310" s="28">
        <f t="shared" si="42"/>
        <v>0.12</v>
      </c>
      <c r="AE310" s="61" t="str">
        <f t="shared" si="43"/>
        <v/>
      </c>
      <c r="AF310" s="77" t="str">
        <f>_xlfn.XLOOKUP(AD310,menu!$K$2:$K$9,menu!$J$2:$J$9,"",1)</f>
        <v/>
      </c>
      <c r="AG310" s="80" t="str">
        <f>_xlfn.XLOOKUP(AH310,menu!$O$2:$O$9,menu!$H$2:$H$9,"")</f>
        <v/>
      </c>
      <c r="AI310" t="s">
        <v>589</v>
      </c>
      <c r="AJ310" s="23" t="s">
        <v>503</v>
      </c>
    </row>
    <row r="311" spans="1:36" x14ac:dyDescent="0.3">
      <c r="A311">
        <v>294</v>
      </c>
      <c r="B311">
        <v>500</v>
      </c>
      <c r="E311" t="s">
        <v>53</v>
      </c>
      <c r="F311" s="22" t="str">
        <f>_xlfn.XLOOKUP(E311,menu!$A$2:$A$37,menu!$B$2:$B$37,"")</f>
        <v>Ethiopia</v>
      </c>
      <c r="G311" t="str">
        <f>_xlfn.XLOOKUP(E311,menu!$A$2:$A$37,menu!$C$2:$C$37,"")</f>
        <v>eth</v>
      </c>
      <c r="H311" t="s">
        <v>44</v>
      </c>
      <c r="I311">
        <v>200</v>
      </c>
      <c r="J311">
        <v>80</v>
      </c>
      <c r="K311">
        <v>35</v>
      </c>
      <c r="L311">
        <v>90</v>
      </c>
      <c r="M311" s="68" t="s">
        <v>121</v>
      </c>
      <c r="N311">
        <v>86.1</v>
      </c>
      <c r="P311" s="67" t="s">
        <v>97</v>
      </c>
      <c r="Q311" s="68">
        <v>203.6</v>
      </c>
      <c r="R311" s="67" t="s">
        <v>392</v>
      </c>
      <c r="S311" s="68">
        <v>218.9</v>
      </c>
      <c r="T311" s="68">
        <f t="shared" si="44"/>
        <v>15.300000000000011</v>
      </c>
      <c r="U311">
        <f t="shared" si="40"/>
        <v>82</v>
      </c>
      <c r="V311">
        <f t="shared" si="45"/>
        <v>11.2</v>
      </c>
      <c r="W311">
        <f t="shared" si="41"/>
        <v>12.46</v>
      </c>
      <c r="X311" s="19">
        <v>45473</v>
      </c>
      <c r="Y311" s="26">
        <v>437</v>
      </c>
      <c r="Z311" s="61">
        <v>0</v>
      </c>
      <c r="AB311" s="28">
        <f t="shared" si="42"/>
        <v>0.126</v>
      </c>
      <c r="AE311" s="61" t="str">
        <f t="shared" si="43"/>
        <v/>
      </c>
      <c r="AF311" s="77" t="str">
        <f>_xlfn.XLOOKUP(AD311,menu!$K$2:$K$9,menu!$J$2:$J$9,"",1)</f>
        <v/>
      </c>
      <c r="AG311" s="80" t="str">
        <f>_xlfn.XLOOKUP(AH311,menu!$O$2:$O$9,menu!$H$2:$H$9,"")</f>
        <v/>
      </c>
      <c r="AI311" t="s">
        <v>589</v>
      </c>
      <c r="AJ311" s="23" t="s">
        <v>503</v>
      </c>
    </row>
    <row r="312" spans="1:36" x14ac:dyDescent="0.3">
      <c r="A312">
        <v>295</v>
      </c>
      <c r="B312">
        <v>500</v>
      </c>
      <c r="E312" t="s">
        <v>53</v>
      </c>
      <c r="F312" s="22" t="str">
        <f>_xlfn.XLOOKUP(E312,menu!$A$2:$A$37,menu!$B$2:$B$37,"")</f>
        <v>Ethiopia</v>
      </c>
      <c r="G312" t="str">
        <f>_xlfn.XLOOKUP(E312,menu!$A$2:$A$37,menu!$C$2:$C$37,"")</f>
        <v>eth</v>
      </c>
      <c r="H312" t="s">
        <v>44</v>
      </c>
      <c r="I312">
        <v>200</v>
      </c>
      <c r="J312">
        <v>80</v>
      </c>
      <c r="K312">
        <v>35</v>
      </c>
      <c r="L312">
        <v>90</v>
      </c>
      <c r="M312" s="68" t="s">
        <v>160</v>
      </c>
      <c r="N312">
        <v>88</v>
      </c>
      <c r="P312" s="67" t="s">
        <v>88</v>
      </c>
      <c r="Q312" s="68">
        <v>202.5</v>
      </c>
      <c r="R312" s="67" t="s">
        <v>123</v>
      </c>
      <c r="S312" s="68">
        <v>224.6</v>
      </c>
      <c r="T312" s="68">
        <f t="shared" si="44"/>
        <v>22.099999999999994</v>
      </c>
      <c r="U312">
        <f t="shared" si="40"/>
        <v>117</v>
      </c>
      <c r="V312">
        <f t="shared" si="45"/>
        <v>11.3</v>
      </c>
      <c r="W312">
        <f t="shared" si="41"/>
        <v>17.89</v>
      </c>
      <c r="X312" s="19">
        <v>45473</v>
      </c>
      <c r="Y312" s="26">
        <v>432</v>
      </c>
      <c r="Z312" s="61">
        <v>0</v>
      </c>
      <c r="AB312" s="28">
        <f t="shared" si="42"/>
        <v>0.13600000000000001</v>
      </c>
      <c r="AE312" s="61" t="str">
        <f t="shared" si="43"/>
        <v/>
      </c>
      <c r="AF312" s="77" t="str">
        <f>_xlfn.XLOOKUP(AD312,menu!$K$2:$K$9,menu!$J$2:$J$9,"",1)</f>
        <v/>
      </c>
      <c r="AG312" s="80" t="str">
        <f>_xlfn.XLOOKUP(AH312,menu!$O$2:$O$9,menu!$H$2:$H$9,"")</f>
        <v/>
      </c>
      <c r="AI312" t="s">
        <v>589</v>
      </c>
      <c r="AJ312" s="23" t="s">
        <v>503</v>
      </c>
    </row>
    <row r="313" spans="1:36" x14ac:dyDescent="0.3">
      <c r="A313">
        <v>296</v>
      </c>
      <c r="B313">
        <v>500</v>
      </c>
      <c r="E313" t="s">
        <v>53</v>
      </c>
      <c r="F313" s="22" t="str">
        <f>_xlfn.XLOOKUP(E313,menu!$A$2:$A$37,menu!$B$2:$B$37,"")</f>
        <v>Ethiopia</v>
      </c>
      <c r="G313" t="str">
        <f>_xlfn.XLOOKUP(E313,menu!$A$2:$A$37,menu!$C$2:$C$37,"")</f>
        <v>eth</v>
      </c>
      <c r="H313" t="s">
        <v>44</v>
      </c>
      <c r="I313">
        <v>200</v>
      </c>
      <c r="J313">
        <v>80</v>
      </c>
      <c r="K313">
        <v>35</v>
      </c>
      <c r="L313">
        <v>90</v>
      </c>
      <c r="M313" s="68" t="s">
        <v>160</v>
      </c>
      <c r="N313">
        <v>90</v>
      </c>
      <c r="P313" s="67" t="s">
        <v>590</v>
      </c>
      <c r="Q313" s="68">
        <v>201.8</v>
      </c>
      <c r="R313" s="67" t="s">
        <v>174</v>
      </c>
      <c r="S313" s="68">
        <v>225.5</v>
      </c>
      <c r="T313" s="68">
        <f t="shared" si="44"/>
        <v>23.699999999999989</v>
      </c>
      <c r="U313">
        <f t="shared" si="40"/>
        <v>116</v>
      </c>
      <c r="V313">
        <f t="shared" si="45"/>
        <v>12.3</v>
      </c>
      <c r="W313">
        <f t="shared" si="41"/>
        <v>18.18</v>
      </c>
      <c r="X313" s="19">
        <v>45473</v>
      </c>
      <c r="Y313" s="26">
        <v>429.2</v>
      </c>
      <c r="Z313" s="61">
        <v>0</v>
      </c>
      <c r="AB313" s="28">
        <f t="shared" si="42"/>
        <v>0.14160000000000003</v>
      </c>
      <c r="AE313" s="61" t="str">
        <f t="shared" si="43"/>
        <v/>
      </c>
      <c r="AF313" s="77" t="str">
        <f>_xlfn.XLOOKUP(AD313,menu!$K$2:$K$9,menu!$J$2:$J$9,"",1)</f>
        <v/>
      </c>
      <c r="AG313" s="80" t="str">
        <f>_xlfn.XLOOKUP(AH313,menu!$O$2:$O$9,menu!$H$2:$H$9,"")</f>
        <v/>
      </c>
      <c r="AI313" t="s">
        <v>589</v>
      </c>
      <c r="AJ313" s="23" t="s">
        <v>503</v>
      </c>
    </row>
    <row r="314" spans="1:36" x14ac:dyDescent="0.3">
      <c r="A314">
        <v>297</v>
      </c>
      <c r="B314">
        <v>250</v>
      </c>
      <c r="D314">
        <v>42</v>
      </c>
      <c r="E314" t="str">
        <f>_xlfn.LET(_xlpm.x,_xlfn.XLOOKUP(D314,beans!$A$2:$A$300,beans!$H$2:$H$300,""),IF(_xlpm.x="","",_xlpm.x))</f>
        <v>瓜地馬拉</v>
      </c>
      <c r="F314" s="22" t="str">
        <f>_xlfn.XLOOKUP(E314,menu!$A$2:$A$37,menu!$B$2:$B$37,"")</f>
        <v>Guatemala</v>
      </c>
      <c r="G314" t="str">
        <f>_xlfn.XLOOKUP(E314,menu!$A$2:$A$37,menu!$C$2:$C$37,"")</f>
        <v>gtm</v>
      </c>
      <c r="H314" t="str">
        <f>_xlfn.LET(_xlpm.x,_xlfn.XLOOKUP(_xlfn.XLOOKUP(D314,beans!$A$2:$A$300,beans!$I$2:$I$300),menu!$E$2:$E$20,menu!$F$2:$F$20),IF(_xlpm.x="","",_xlpm.x))</f>
        <v>honey</v>
      </c>
      <c r="I314">
        <v>190</v>
      </c>
      <c r="J314">
        <v>75</v>
      </c>
      <c r="K314">
        <v>35</v>
      </c>
      <c r="L314">
        <v>70</v>
      </c>
      <c r="M314" s="68" t="s">
        <v>157</v>
      </c>
      <c r="N314">
        <v>87.2</v>
      </c>
      <c r="P314" s="67" t="s">
        <v>591</v>
      </c>
      <c r="Q314" s="68">
        <v>207.8</v>
      </c>
      <c r="R314" s="67" t="s">
        <v>355</v>
      </c>
      <c r="S314" s="68">
        <v>234.5</v>
      </c>
      <c r="T314" s="68">
        <f t="shared" si="44"/>
        <v>26.699999999999989</v>
      </c>
      <c r="U314">
        <f t="shared" si="40"/>
        <v>131</v>
      </c>
      <c r="V314">
        <f t="shared" si="45"/>
        <v>12.2</v>
      </c>
      <c r="W314">
        <f t="shared" si="41"/>
        <v>19.489999999999998</v>
      </c>
      <c r="X314" s="19">
        <v>45473</v>
      </c>
      <c r="Y314" s="26">
        <v>205.6</v>
      </c>
      <c r="Z314" s="61">
        <v>0</v>
      </c>
      <c r="AB314" s="28">
        <f t="shared" si="42"/>
        <v>0.17760000000000004</v>
      </c>
      <c r="AE314" s="61" t="str">
        <f t="shared" si="43"/>
        <v/>
      </c>
      <c r="AF314" s="77" t="str">
        <f>_xlfn.XLOOKUP(AD314,menu!$K$2:$K$9,menu!$J$2:$J$9,"",1)</f>
        <v/>
      </c>
      <c r="AG314" s="80" t="str">
        <f>_xlfn.XLOOKUP(AH314,menu!$O$2:$O$9,menu!$H$2:$H$9,"")</f>
        <v/>
      </c>
      <c r="AI314" t="str">
        <f>_xlfn.LET(_xlpm.x,_xlfn.CONCAT(_xlfn.XLOOKUP(D314,beans!$A$2:$A$300,beans!$J$2:$J$300,"")," / ",_xlfn.XLOOKUP(D314,beans!$A$2:$A$300,beans!$K$2:$K$300,"")," - ",_xlfn.XLOOKUP(D314,beans!$A$2:$A$300,beans!$L$2:$L$300,"")),IF(_xlpm.x=" /  - ","",_xlpm.x))</f>
        <v>薇微特南果 / 聖安東尼奧莊園 - 波旁,鐵皮卡</v>
      </c>
      <c r="AJ314" s="23" t="s">
        <v>483</v>
      </c>
    </row>
    <row r="315" spans="1:36" x14ac:dyDescent="0.3">
      <c r="A315">
        <v>298</v>
      </c>
      <c r="B315">
        <v>250</v>
      </c>
      <c r="D315">
        <v>53</v>
      </c>
      <c r="E315" t="str">
        <f>_xlfn.LET(_xlpm.x,_xlfn.XLOOKUP(D315,beans!$A$2:$A$300,beans!$H$2:$H$300,""),IF(_xlpm.x="","",_xlpm.x))</f>
        <v>衣索比亞</v>
      </c>
      <c r="F315" s="22" t="str">
        <f>_xlfn.XLOOKUP(E315,menu!$A$2:$A$37,menu!$B$2:$B$37,"")</f>
        <v>Ethiopia</v>
      </c>
      <c r="G315" t="str">
        <f>_xlfn.XLOOKUP(E315,menu!$A$2:$A$37,menu!$C$2:$C$37,"")</f>
        <v>eth</v>
      </c>
      <c r="H315" t="str">
        <f>_xlfn.LET(_xlpm.x,_xlfn.XLOOKUP(_xlfn.XLOOKUP(D315,beans!$A$2:$A$300,beans!$I$2:$I$300),menu!$E$2:$E$20,menu!$F$2:$F$20),IF(_xlpm.x="","",_xlpm.x))</f>
        <v>Anaerobic Natural</v>
      </c>
      <c r="I315">
        <v>200</v>
      </c>
      <c r="J315">
        <v>70</v>
      </c>
      <c r="K315">
        <v>35</v>
      </c>
      <c r="L315">
        <v>75</v>
      </c>
      <c r="M315" s="68" t="s">
        <v>146</v>
      </c>
      <c r="N315">
        <v>86.2</v>
      </c>
      <c r="P315" s="67" t="s">
        <v>443</v>
      </c>
      <c r="Q315" s="68">
        <v>202.5</v>
      </c>
      <c r="R315" s="67" t="s">
        <v>583</v>
      </c>
      <c r="S315" s="68">
        <v>217</v>
      </c>
      <c r="T315" s="68">
        <f t="shared" si="44"/>
        <v>14.5</v>
      </c>
      <c r="U315">
        <f t="shared" si="40"/>
        <v>67</v>
      </c>
      <c r="V315">
        <f t="shared" si="45"/>
        <v>13</v>
      </c>
      <c r="W315">
        <f t="shared" si="41"/>
        <v>10.15</v>
      </c>
      <c r="X315" s="19">
        <v>45480</v>
      </c>
      <c r="Y315" s="26">
        <v>215.3</v>
      </c>
      <c r="Z315" s="61">
        <v>0</v>
      </c>
      <c r="AB315" s="28">
        <f t="shared" si="42"/>
        <v>0.13879999999999995</v>
      </c>
      <c r="AC315" s="110">
        <v>52</v>
      </c>
      <c r="AD315" s="26">
        <v>83.3</v>
      </c>
      <c r="AE315" s="61">
        <f t="shared" si="43"/>
        <v>31.299999999999997</v>
      </c>
      <c r="AF315" s="77" t="str">
        <f>_xlfn.XLOOKUP(AD315,menu!$K$2:$K$9,menu!$J$2:$J$9,"",1)</f>
        <v>極淺</v>
      </c>
      <c r="AG315" s="80" t="str">
        <f>_xlfn.XLOOKUP(AH315,menu!$O$2:$O$9,menu!$H$2:$H$9,"")</f>
        <v/>
      </c>
      <c r="AI315" t="str">
        <f>_xlfn.LET(_xlpm.x,_xlfn.CONCAT(_xlfn.XLOOKUP(D315,beans!$A$2:$A$300,beans!$J$2:$J$300,"")," / ",_xlfn.XLOOKUP(D315,beans!$A$2:$A$300,beans!$K$2:$K$300,"")," - ",_xlfn.XLOOKUP(D315,beans!$A$2:$A$300,beans!$L$2:$L$300,"")),IF(_xlpm.x=" /  - ","",_xlpm.x))</f>
        <v>耶加雪菲 / 切切雷(Chelchele) - 原生種</v>
      </c>
      <c r="AJ315" s="23" t="s">
        <v>592</v>
      </c>
    </row>
    <row r="316" spans="1:36" x14ac:dyDescent="0.3">
      <c r="A316">
        <v>299</v>
      </c>
      <c r="B316">
        <v>500</v>
      </c>
      <c r="D316">
        <v>10</v>
      </c>
      <c r="E316" t="str">
        <f>_xlfn.LET(_xlpm.x,_xlfn.XLOOKUP(D316,beans!$A$2:$A$300,beans!$H$2:$H$300,""),IF(_xlpm.x="","",_xlpm.x))</f>
        <v>衣索比亞</v>
      </c>
      <c r="F316" s="22" t="str">
        <f>_xlfn.XLOOKUP(E316,menu!$A$2:$A$37,menu!$B$2:$B$37,"")</f>
        <v>Ethiopia</v>
      </c>
      <c r="G316" t="str">
        <f>_xlfn.XLOOKUP(E316,menu!$A$2:$A$37,menu!$C$2:$C$37,"")</f>
        <v>eth</v>
      </c>
      <c r="H316" t="str">
        <f>_xlfn.LET(_xlpm.x,_xlfn.XLOOKUP(_xlfn.XLOOKUP(D316,beans!$A$2:$A$300,beans!$I$2:$I$300),menu!$E$2:$E$20,menu!$F$2:$F$20),IF(_xlpm.x="","",_xlpm.x))</f>
        <v>natural</v>
      </c>
      <c r="I316">
        <v>190</v>
      </c>
      <c r="J316">
        <v>70</v>
      </c>
      <c r="K316">
        <v>35</v>
      </c>
      <c r="L316">
        <v>90</v>
      </c>
      <c r="M316" s="68" t="s">
        <v>54</v>
      </c>
      <c r="N316">
        <v>78.3</v>
      </c>
      <c r="P316" s="67" t="s">
        <v>319</v>
      </c>
      <c r="Q316" s="68">
        <v>202.1</v>
      </c>
      <c r="R316" s="67" t="s">
        <v>339</v>
      </c>
      <c r="S316" s="68">
        <v>221.2</v>
      </c>
      <c r="T316" s="68">
        <f t="shared" si="44"/>
        <v>19.099999999999994</v>
      </c>
      <c r="U316">
        <f t="shared" si="40"/>
        <v>103</v>
      </c>
      <c r="V316">
        <f t="shared" si="45"/>
        <v>11.1</v>
      </c>
      <c r="W316">
        <f t="shared" si="41"/>
        <v>13.62</v>
      </c>
      <c r="X316" s="19">
        <v>45480</v>
      </c>
      <c r="Y316" s="26">
        <v>420.6</v>
      </c>
      <c r="Z316" s="61">
        <v>0</v>
      </c>
      <c r="AB316" s="28">
        <f t="shared" si="42"/>
        <v>0.15879999999999994</v>
      </c>
      <c r="AC316" s="110">
        <v>40</v>
      </c>
      <c r="AD316" s="26">
        <v>70.400000000000006</v>
      </c>
      <c r="AE316" s="61">
        <f t="shared" si="43"/>
        <v>30.400000000000006</v>
      </c>
      <c r="AF316" s="77" t="str">
        <f>_xlfn.XLOOKUP(AD316,menu!$K$2:$K$9,menu!$J$2:$J$9,"",1)</f>
        <v>淺</v>
      </c>
      <c r="AG316" s="80" t="str">
        <f>_xlfn.XLOOKUP(AH316,menu!$O$2:$O$9,menu!$H$2:$H$9,"")</f>
        <v/>
      </c>
      <c r="AI316" t="str">
        <f>_xlfn.LET(_xlpm.x,_xlfn.CONCAT(_xlfn.XLOOKUP(D316,beans!$A$2:$A$300,beans!$J$2:$J$300,"")," / ",_xlfn.XLOOKUP(D316,beans!$A$2:$A$300,beans!$K$2:$K$300,"")," - ",_xlfn.XLOOKUP(D316,beans!$A$2:$A$300,beans!$L$2:$L$300,"")),IF(_xlpm.x=" /  - ","",_xlpm.x))</f>
        <v>古吉 罕貝拉 / 花蝶 - Heirloom</v>
      </c>
      <c r="AJ316" s="23" t="s">
        <v>592</v>
      </c>
    </row>
    <row r="317" spans="1:36" x14ac:dyDescent="0.3">
      <c r="A317">
        <v>300</v>
      </c>
      <c r="B317">
        <v>500</v>
      </c>
      <c r="D317">
        <v>9</v>
      </c>
      <c r="E317" t="str">
        <f>_xlfn.LET(_xlpm.x,_xlfn.XLOOKUP(D317,beans!$A$2:$A$300,beans!$H$2:$H$300,""),IF(_xlpm.x="","",_xlpm.x))</f>
        <v>衣索比亞</v>
      </c>
      <c r="F317" s="22" t="str">
        <f>_xlfn.XLOOKUP(E317,menu!$A$2:$A$37,menu!$B$2:$B$37,"")</f>
        <v>Ethiopia</v>
      </c>
      <c r="G317" t="str">
        <f>_xlfn.XLOOKUP(E317,menu!$A$2:$A$37,menu!$C$2:$C$37,"")</f>
        <v>eth</v>
      </c>
      <c r="H317" t="str">
        <f>_xlfn.LET(_xlpm.x,_xlfn.XLOOKUP(_xlfn.XLOOKUP(D317,beans!$A$2:$A$300,beans!$I$2:$I$300),menu!$E$2:$E$20,menu!$F$2:$F$20),IF(_xlpm.x="","",_xlpm.x))</f>
        <v>natural</v>
      </c>
      <c r="I317">
        <v>190</v>
      </c>
      <c r="J317">
        <v>80</v>
      </c>
      <c r="K317">
        <v>35</v>
      </c>
      <c r="L317">
        <v>90</v>
      </c>
      <c r="M317" s="68" t="s">
        <v>207</v>
      </c>
      <c r="N317">
        <v>86.5</v>
      </c>
      <c r="P317" s="67" t="s">
        <v>97</v>
      </c>
      <c r="Q317" s="68">
        <v>204.4</v>
      </c>
      <c r="R317" s="67" t="s">
        <v>396</v>
      </c>
      <c r="S317" s="68">
        <v>219</v>
      </c>
      <c r="T317" s="68">
        <f t="shared" si="44"/>
        <v>14.599999999999994</v>
      </c>
      <c r="U317">
        <f t="shared" si="40"/>
        <v>58</v>
      </c>
      <c r="V317">
        <f t="shared" si="45"/>
        <v>15.1</v>
      </c>
      <c r="W317">
        <f t="shared" si="41"/>
        <v>9.15</v>
      </c>
      <c r="X317" s="19">
        <v>45480</v>
      </c>
      <c r="Y317" s="26">
        <v>417.5</v>
      </c>
      <c r="Z317" s="61">
        <v>0</v>
      </c>
      <c r="AB317" s="28">
        <f t="shared" si="42"/>
        <v>0.16500000000000001</v>
      </c>
      <c r="AC317" s="110">
        <v>47.1</v>
      </c>
      <c r="AD317" s="26">
        <v>73.3</v>
      </c>
      <c r="AE317" s="61">
        <f t="shared" si="43"/>
        <v>26.199999999999996</v>
      </c>
      <c r="AF317" s="77" t="str">
        <f>_xlfn.XLOOKUP(AD317,menu!$K$2:$K$9,menu!$J$2:$J$9,"",1)</f>
        <v>淺</v>
      </c>
      <c r="AG317" s="80" t="str">
        <f>_xlfn.XLOOKUP(AH317,menu!$O$2:$O$9,menu!$H$2:$H$9,"")</f>
        <v/>
      </c>
      <c r="AI317" t="str">
        <f>_xlfn.LET(_xlpm.x,_xlfn.CONCAT(_xlfn.XLOOKUP(D317,beans!$A$2:$A$300,beans!$J$2:$J$300,"")," / ",_xlfn.XLOOKUP(D317,beans!$A$2:$A$300,beans!$K$2:$K$300,"")," - ",_xlfn.XLOOKUP(D317,beans!$A$2:$A$300,beans!$L$2:$L$300,"")),IF(_xlpm.x=" /  - ","",_xlpm.x))</f>
        <v>吉瑪 利姆 / 果美村 - 寶貝藝妓</v>
      </c>
      <c r="AJ317" s="23" t="s">
        <v>592</v>
      </c>
    </row>
    <row r="318" spans="1:36" x14ac:dyDescent="0.3">
      <c r="A318">
        <v>301</v>
      </c>
      <c r="B318">
        <v>250</v>
      </c>
      <c r="D318">
        <v>2</v>
      </c>
      <c r="E318" t="str">
        <f>_xlfn.LET(_xlpm.x,_xlfn.XLOOKUP(D318,beans!$A$2:$A$300,beans!$H$2:$H$300,""),IF(_xlpm.x="","",_xlpm.x))</f>
        <v>哥斯大黎加</v>
      </c>
      <c r="F318" s="22" t="str">
        <f>_xlfn.XLOOKUP(E318,menu!$A$2:$A$37,menu!$B$2:$B$37,"")</f>
        <v>Costa Rica</v>
      </c>
      <c r="G318" t="str">
        <f>_xlfn.XLOOKUP(E318,menu!$A$2:$A$37,menu!$C$2:$C$37,"")</f>
        <v>cri</v>
      </c>
      <c r="H318" t="str">
        <f>_xlfn.LET(_xlpm.x,_xlfn.XLOOKUP(_xlfn.XLOOKUP(D318,beans!$A$2:$A$300,beans!$I$2:$I$300),menu!$E$2:$E$20,menu!$F$2:$F$20),IF(_xlpm.x="","",_xlpm.x))</f>
        <v>raisin-honey</v>
      </c>
      <c r="I318">
        <v>190</v>
      </c>
      <c r="J318">
        <v>80</v>
      </c>
      <c r="K318">
        <v>35</v>
      </c>
      <c r="L318">
        <v>75</v>
      </c>
      <c r="M318" s="68" t="s">
        <v>75</v>
      </c>
      <c r="N318">
        <v>90.8</v>
      </c>
      <c r="P318" s="67" t="s">
        <v>593</v>
      </c>
      <c r="Q318" s="68">
        <v>199.6</v>
      </c>
      <c r="R318" s="67" t="s">
        <v>40</v>
      </c>
      <c r="S318" s="68">
        <v>218</v>
      </c>
      <c r="T318" s="68">
        <f t="shared" si="44"/>
        <v>18.400000000000006</v>
      </c>
      <c r="U318">
        <f t="shared" si="40"/>
        <v>81</v>
      </c>
      <c r="V318">
        <f t="shared" si="45"/>
        <v>13.6</v>
      </c>
      <c r="W318">
        <f t="shared" si="41"/>
        <v>13.55</v>
      </c>
      <c r="X318" s="19">
        <v>45480</v>
      </c>
      <c r="Y318" s="26">
        <v>217</v>
      </c>
      <c r="Z318" s="61">
        <v>0</v>
      </c>
      <c r="AB318" s="28">
        <f t="shared" si="42"/>
        <v>0.13200000000000001</v>
      </c>
      <c r="AC318" s="110">
        <v>46.6</v>
      </c>
      <c r="AD318" s="26">
        <v>76.400000000000006</v>
      </c>
      <c r="AE318" s="61">
        <f t="shared" si="43"/>
        <v>29.800000000000004</v>
      </c>
      <c r="AF318" s="77" t="str">
        <f>_xlfn.XLOOKUP(AD318,menu!$K$2:$K$9,menu!$J$2:$J$9,"",1)</f>
        <v>淺</v>
      </c>
      <c r="AG318" s="80" t="str">
        <f>_xlfn.XLOOKUP(AH318,menu!$O$2:$O$9,menu!$H$2:$H$9,"")</f>
        <v/>
      </c>
      <c r="AI318" t="str">
        <f>_xlfn.LET(_xlpm.x,_xlfn.CONCAT(_xlfn.XLOOKUP(D318,beans!$A$2:$A$300,beans!$J$2:$J$300,"")," / ",_xlfn.XLOOKUP(D318,beans!$A$2:$A$300,beans!$K$2:$K$300,"")," - ",_xlfn.XLOOKUP(D318,beans!$A$2:$A$300,beans!$L$2:$L$300,"")),IF(_xlpm.x=" /  - ","",_xlpm.x))</f>
        <v xml:space="preserve">Tarrazu / 卡內特 音樂家系列 莫札特 - </v>
      </c>
      <c r="AJ318" s="23" t="s">
        <v>592</v>
      </c>
    </row>
    <row r="319" spans="1:36" x14ac:dyDescent="0.3">
      <c r="A319">
        <v>302</v>
      </c>
      <c r="B319">
        <v>500</v>
      </c>
      <c r="D319">
        <v>46</v>
      </c>
      <c r="E319" t="str">
        <f>_xlfn.LET(_xlpm.x,_xlfn.XLOOKUP(D319,beans!$A$2:$A$300,beans!$H$2:$H$300,""),IF(_xlpm.x="","",_xlpm.x))</f>
        <v>哥倫比亞</v>
      </c>
      <c r="F319" s="22" t="str">
        <f>_xlfn.XLOOKUP(E319,menu!$A$2:$A$37,menu!$B$2:$B$37,"")</f>
        <v>Colombia</v>
      </c>
      <c r="G319" t="str">
        <f>_xlfn.XLOOKUP(E319,menu!$A$2:$A$37,menu!$C$2:$C$37,"")</f>
        <v>col</v>
      </c>
      <c r="H319" t="str">
        <f>_xlfn.LET(_xlpm.x,_xlfn.XLOOKUP(_xlfn.XLOOKUP(D319,beans!$A$2:$A$300,beans!$I$2:$I$300),menu!$E$2:$E$20,menu!$F$2:$F$20),IF(_xlpm.x="","",_xlpm.x))</f>
        <v>natural</v>
      </c>
      <c r="I319">
        <v>200</v>
      </c>
      <c r="J319">
        <v>90</v>
      </c>
      <c r="K319">
        <v>40</v>
      </c>
      <c r="L319">
        <v>90</v>
      </c>
      <c r="M319" s="68" t="s">
        <v>54</v>
      </c>
      <c r="N319">
        <v>86</v>
      </c>
      <c r="P319" s="67" t="s">
        <v>594</v>
      </c>
      <c r="Q319" s="68">
        <v>199</v>
      </c>
      <c r="R319" s="67" t="s">
        <v>292</v>
      </c>
      <c r="S319" s="68">
        <v>209.7</v>
      </c>
      <c r="T319" s="68">
        <f t="shared" si="44"/>
        <v>10.699999999999989</v>
      </c>
      <c r="U319">
        <f t="shared" si="40"/>
        <v>54</v>
      </c>
      <c r="V319">
        <f t="shared" si="45"/>
        <v>11.9</v>
      </c>
      <c r="W319">
        <f t="shared" si="41"/>
        <v>8.8699999999999992</v>
      </c>
      <c r="X319" s="19">
        <v>45500</v>
      </c>
      <c r="Y319" s="26">
        <v>432</v>
      </c>
      <c r="Z319" s="61">
        <v>0</v>
      </c>
      <c r="AB319" s="28">
        <f t="shared" si="42"/>
        <v>0.13600000000000001</v>
      </c>
      <c r="AC319" s="110">
        <v>43.7</v>
      </c>
      <c r="AD319" s="26">
        <v>67.900000000000006</v>
      </c>
      <c r="AE319" s="61">
        <f t="shared" si="43"/>
        <v>24.200000000000003</v>
      </c>
      <c r="AF319" s="77" t="str">
        <f>_xlfn.XLOOKUP(AD319,menu!$K$2:$K$9,menu!$J$2:$J$9,"",1)</f>
        <v>中淺</v>
      </c>
      <c r="AG319" s="80" t="str">
        <f>_xlfn.XLOOKUP(AH319,menu!$O$2:$O$9,menu!$H$2:$H$9,"")</f>
        <v>Medium</v>
      </c>
      <c r="AH319" s="81" t="s">
        <v>72</v>
      </c>
      <c r="AI319" t="str">
        <f>_xlfn.LET(_xlpm.x,_xlfn.CONCAT(_xlfn.XLOOKUP(D319,beans!$A$2:$A$300,beans!$J$2:$J$300,"")," / ",_xlfn.XLOOKUP(D319,beans!$A$2:$A$300,beans!$K$2:$K$300,"")," - ",_xlfn.XLOOKUP(D319,beans!$A$2:$A$300,beans!$L$2:$L$300,"")),IF(_xlpm.x=" /  - ","",_xlpm.x))</f>
        <v>昆迪瑪卡 / 緹比莉塔  - 卡斯提優</v>
      </c>
      <c r="AJ319" s="23" t="s">
        <v>595</v>
      </c>
    </row>
    <row r="320" spans="1:36" x14ac:dyDescent="0.3">
      <c r="A320">
        <v>303</v>
      </c>
      <c r="B320">
        <v>500</v>
      </c>
      <c r="D320">
        <v>47</v>
      </c>
      <c r="E320" t="str">
        <f>_xlfn.LET(_xlpm.x,_xlfn.XLOOKUP(D320,beans!$A$2:$A$300,beans!$H$2:$H$300,""),IF(_xlpm.x="","",_xlpm.x))</f>
        <v>衣索比亞</v>
      </c>
      <c r="F320" s="22" t="str">
        <f>_xlfn.XLOOKUP(E320,menu!$A$2:$A$37,menu!$B$2:$B$37,"")</f>
        <v>Ethiopia</v>
      </c>
      <c r="G320" t="str">
        <f>_xlfn.XLOOKUP(E320,menu!$A$2:$A$37,menu!$C$2:$C$37,"")</f>
        <v>eth</v>
      </c>
      <c r="H320" t="str">
        <f>_xlfn.LET(_xlpm.x,_xlfn.XLOOKUP(_xlfn.XLOOKUP(D320,beans!$A$2:$A$300,beans!$I$2:$I$300),menu!$E$2:$E$20,menu!$F$2:$F$20),IF(_xlpm.x="","",_xlpm.x))</f>
        <v>washed</v>
      </c>
      <c r="I320">
        <v>200</v>
      </c>
      <c r="J320">
        <v>90</v>
      </c>
      <c r="K320">
        <v>40</v>
      </c>
      <c r="L320">
        <v>90</v>
      </c>
      <c r="M320" s="68" t="s">
        <v>121</v>
      </c>
      <c r="N320">
        <v>86.6</v>
      </c>
      <c r="P320" s="67" t="s">
        <v>482</v>
      </c>
      <c r="Q320" s="68">
        <v>195.2</v>
      </c>
      <c r="R320" s="67" t="s">
        <v>457</v>
      </c>
      <c r="S320" s="68">
        <v>216.9</v>
      </c>
      <c r="T320" s="68">
        <f t="shared" si="44"/>
        <v>21.700000000000017</v>
      </c>
      <c r="U320">
        <f t="shared" si="40"/>
        <v>118</v>
      </c>
      <c r="V320">
        <f t="shared" si="45"/>
        <v>11</v>
      </c>
      <c r="W320">
        <f t="shared" si="41"/>
        <v>17.690000000000001</v>
      </c>
      <c r="X320" s="19">
        <v>45500</v>
      </c>
      <c r="Y320" s="26">
        <v>419</v>
      </c>
      <c r="Z320" s="61">
        <v>0</v>
      </c>
      <c r="AB320" s="28">
        <f t="shared" si="42"/>
        <v>0.16200000000000001</v>
      </c>
      <c r="AC320" s="110">
        <v>49.7</v>
      </c>
      <c r="AD320" s="26">
        <v>71.5</v>
      </c>
      <c r="AE320" s="61">
        <f t="shared" si="43"/>
        <v>21.799999999999997</v>
      </c>
      <c r="AF320" s="77" t="str">
        <f>_xlfn.XLOOKUP(AD320,menu!$K$2:$K$9,menu!$J$2:$J$9,"",1)</f>
        <v>淺</v>
      </c>
      <c r="AG320" s="80" t="str">
        <f>_xlfn.XLOOKUP(AH320,menu!$O$2:$O$9,menu!$H$2:$H$9,"")</f>
        <v>Cinamon</v>
      </c>
      <c r="AH320" s="81" t="s">
        <v>78</v>
      </c>
      <c r="AI320" t="str">
        <f>_xlfn.LET(_xlpm.x,_xlfn.CONCAT(_xlfn.XLOOKUP(D320,beans!$A$2:$A$300,beans!$J$2:$J$300,"")," / ",_xlfn.XLOOKUP(D320,beans!$A$2:$A$300,beans!$K$2:$K$300,"")," - ",_xlfn.XLOOKUP(D320,beans!$A$2:$A$300,beans!$L$2:$L$300,"")),IF(_xlpm.x=" /  - ","",_xlpm.x))</f>
        <v>吉馬莉姆 / 果美村 - 寶貝藝妓</v>
      </c>
      <c r="AJ320" s="23" t="s">
        <v>595</v>
      </c>
    </row>
    <row r="321" spans="1:36" x14ac:dyDescent="0.3">
      <c r="A321">
        <v>304</v>
      </c>
      <c r="B321">
        <v>250</v>
      </c>
      <c r="D321">
        <v>47</v>
      </c>
      <c r="E321" t="str">
        <f>_xlfn.LET(_xlpm.x,_xlfn.XLOOKUP(D321,beans!$A$2:$A$300,beans!$H$2:$H$300,""),IF(_xlpm.x="","",_xlpm.x))</f>
        <v>衣索比亞</v>
      </c>
      <c r="F321" s="22" t="str">
        <f>_xlfn.XLOOKUP(E321,menu!$A$2:$A$37,menu!$B$2:$B$37,"")</f>
        <v>Ethiopia</v>
      </c>
      <c r="G321" t="str">
        <f>_xlfn.XLOOKUP(E321,menu!$A$2:$A$37,menu!$C$2:$C$37,"")</f>
        <v>eth</v>
      </c>
      <c r="H321" t="str">
        <f>_xlfn.LET(_xlpm.x,_xlfn.XLOOKUP(_xlfn.XLOOKUP(D321,beans!$A$2:$A$300,beans!$I$2:$I$300),menu!$E$2:$E$20,menu!$F$2:$F$20),IF(_xlpm.x="","",_xlpm.x))</f>
        <v>washed</v>
      </c>
      <c r="I321">
        <v>200</v>
      </c>
      <c r="J321">
        <v>80</v>
      </c>
      <c r="K321">
        <v>40</v>
      </c>
      <c r="L321">
        <v>80</v>
      </c>
      <c r="M321" s="68" t="s">
        <v>207</v>
      </c>
      <c r="N321">
        <v>91.7</v>
      </c>
      <c r="P321" s="67" t="s">
        <v>596</v>
      </c>
      <c r="Q321" s="68">
        <v>197</v>
      </c>
      <c r="R321" s="67" t="s">
        <v>524</v>
      </c>
      <c r="S321" s="68">
        <v>219.6</v>
      </c>
      <c r="T321" s="68">
        <f t="shared" si="44"/>
        <v>22.599999999999994</v>
      </c>
      <c r="U321">
        <f t="shared" si="40"/>
        <v>130</v>
      </c>
      <c r="V321">
        <f t="shared" si="45"/>
        <v>10.4</v>
      </c>
      <c r="W321">
        <f t="shared" si="41"/>
        <v>21.1</v>
      </c>
      <c r="X321" s="19">
        <v>45500</v>
      </c>
      <c r="Y321" s="26">
        <v>215</v>
      </c>
      <c r="Z321" s="61">
        <v>0</v>
      </c>
      <c r="AA321" s="61">
        <v>0</v>
      </c>
      <c r="AB321" s="28">
        <f t="shared" si="42"/>
        <v>0.14000000000000001</v>
      </c>
      <c r="AE321" s="61" t="str">
        <f t="shared" si="43"/>
        <v/>
      </c>
      <c r="AF321" s="77" t="str">
        <f>_xlfn.XLOOKUP(AD321,menu!$K$2:$K$9,menu!$J$2:$J$9,"",1)</f>
        <v/>
      </c>
      <c r="AG321" s="80" t="str">
        <f>_xlfn.XLOOKUP(AH321,menu!$O$2:$O$9,menu!$H$2:$H$9,"")</f>
        <v>Medium</v>
      </c>
      <c r="AH321" s="81" t="s">
        <v>72</v>
      </c>
      <c r="AI321" t="str">
        <f>_xlfn.LET(_xlpm.x,_xlfn.CONCAT(_xlfn.XLOOKUP(D321,beans!$A$2:$A$300,beans!$J$2:$J$300,"")," / ",_xlfn.XLOOKUP(D321,beans!$A$2:$A$300,beans!$K$2:$K$300,"")," - ",_xlfn.XLOOKUP(D321,beans!$A$2:$A$300,beans!$L$2:$L$300,"")),IF(_xlpm.x=" /  - ","",_xlpm.x))</f>
        <v>吉馬莉姆 / 果美村 - 寶貝藝妓</v>
      </c>
      <c r="AJ321" s="23" t="s">
        <v>540</v>
      </c>
    </row>
    <row r="322" spans="1:36" x14ac:dyDescent="0.3">
      <c r="A322">
        <v>305</v>
      </c>
      <c r="B322">
        <v>250</v>
      </c>
      <c r="D322">
        <v>41</v>
      </c>
      <c r="E322" t="str">
        <f>_xlfn.LET(_xlpm.x,_xlfn.XLOOKUP(D322,beans!$A$2:$A$300,beans!$H$2:$H$300,""),IF(_xlpm.x="","",_xlpm.x))</f>
        <v>衣索比亞</v>
      </c>
      <c r="F322" s="22" t="str">
        <f>_xlfn.XLOOKUP(E322,menu!$A$2:$A$37,menu!$B$2:$B$37,"")</f>
        <v>Ethiopia</v>
      </c>
      <c r="G322" t="str">
        <f>_xlfn.XLOOKUP(E322,menu!$A$2:$A$37,menu!$C$2:$C$37,"")</f>
        <v>eth</v>
      </c>
      <c r="H322" t="str">
        <f>_xlfn.LET(_xlpm.x,_xlfn.XLOOKUP(_xlfn.XLOOKUP(D322,beans!$A$2:$A$300,beans!$I$2:$I$300),menu!$E$2:$E$20,menu!$F$2:$F$20),IF(_xlpm.x="","",_xlpm.x))</f>
        <v>washed</v>
      </c>
      <c r="I322">
        <v>200</v>
      </c>
      <c r="J322">
        <v>80</v>
      </c>
      <c r="K322">
        <v>40</v>
      </c>
      <c r="L322">
        <v>80</v>
      </c>
      <c r="M322" s="68" t="s">
        <v>160</v>
      </c>
      <c r="N322">
        <v>91.9</v>
      </c>
      <c r="R322" s="67" t="s">
        <v>173</v>
      </c>
      <c r="S322" s="68">
        <v>220.4</v>
      </c>
      <c r="T322" s="68">
        <f t="shared" si="44"/>
        <v>220.4</v>
      </c>
      <c r="U322">
        <f t="shared" ref="U322:U385" si="46">_xlfn.LET(_xlpm.x,(TIMEVALUE("0:"&amp;SUBSTITUTE(R322,"'",":"))-TIMEVALUE("0:"&amp;SUBSTITUTE(P322,"'",":")))*86400,IF(_xlpm.x=0,"",ROUND(_xlpm.x,2)))</f>
        <v>578</v>
      </c>
      <c r="V322">
        <f t="shared" si="45"/>
        <v>22.9</v>
      </c>
      <c r="W322">
        <f t="shared" ref="W322:W385" si="47">_xlfn.LET(_xlpm.x,(TIMEVALUE("0:"&amp;SUBSTITUTE(R322,"'",":"))-TIMEVALUE("0:"&amp;SUBSTITUTE(P322,"'",":")))*86400,IF(_xlpm.x=0,"",ROUND(_xlpm.x/((TIMEVALUE("0:"&amp;SUBSTITUTE(R322,"'",":"))-TIMEVALUE("0:0:0"))*864),2)))</f>
        <v>100</v>
      </c>
      <c r="X322" s="19">
        <v>45500</v>
      </c>
      <c r="Y322" s="26">
        <v>215.4</v>
      </c>
      <c r="Z322" s="61">
        <v>0</v>
      </c>
      <c r="AB322" s="28">
        <f t="shared" ref="AB322:AB385" si="48">IF(Y322 &gt; 0,(B322-Y322)/B322," ")</f>
        <v>0.13839999999999997</v>
      </c>
      <c r="AE322" s="61" t="str">
        <f t="shared" ref="AE322:AE385" si="49">_xlfn.LET(_xlpm.x,AD322-AC322,IF(_xlpm.x=0,"",_xlpm.x))</f>
        <v/>
      </c>
      <c r="AF322" s="77" t="str">
        <f>_xlfn.XLOOKUP(AD322,menu!$K$2:$K$9,menu!$J$2:$J$9,"",1)</f>
        <v/>
      </c>
      <c r="AG322" s="80" t="str">
        <f>_xlfn.XLOOKUP(AH322,menu!$O$2:$O$9,menu!$H$2:$H$9,"")</f>
        <v/>
      </c>
      <c r="AI322" t="str">
        <f>_xlfn.LET(_xlpm.x,_xlfn.CONCAT(_xlfn.XLOOKUP(D322,beans!$A$2:$A$300,beans!$J$2:$J$300,"")," / ",_xlfn.XLOOKUP(D322,beans!$A$2:$A$300,beans!$K$2:$K$300,"")," - ",_xlfn.XLOOKUP(D322,beans!$A$2:$A$300,beans!$L$2:$L$300,"")),IF(_xlpm.x=" /  - ","",_xlpm.x))</f>
        <v xml:space="preserve">耶加雪菲 / 阿若默 - </v>
      </c>
      <c r="AJ322" s="23" t="s">
        <v>597</v>
      </c>
    </row>
    <row r="323" spans="1:36" x14ac:dyDescent="0.3">
      <c r="A323">
        <v>306</v>
      </c>
      <c r="B323">
        <v>250</v>
      </c>
      <c r="D323">
        <v>42</v>
      </c>
      <c r="E323" t="str">
        <f>_xlfn.LET(_xlpm.x,_xlfn.XLOOKUP(D323,beans!$A$2:$A$300,beans!$H$2:$H$300,""),IF(_xlpm.x="","",_xlpm.x))</f>
        <v>瓜地馬拉</v>
      </c>
      <c r="F323" s="22" t="str">
        <f>_xlfn.XLOOKUP(E323,menu!$A$2:$A$37,menu!$B$2:$B$37,"")</f>
        <v>Guatemala</v>
      </c>
      <c r="G323" t="str">
        <f>_xlfn.XLOOKUP(E323,menu!$A$2:$A$37,menu!$C$2:$C$37,"")</f>
        <v>gtm</v>
      </c>
      <c r="H323" t="str">
        <f>_xlfn.LET(_xlpm.x,_xlfn.XLOOKUP(_xlfn.XLOOKUP(D323,beans!$A$2:$A$300,beans!$I$2:$I$300),menu!$E$2:$E$20,menu!$F$2:$F$20),IF(_xlpm.x="","",_xlpm.x))</f>
        <v>honey</v>
      </c>
      <c r="I323">
        <v>190</v>
      </c>
      <c r="J323">
        <v>80</v>
      </c>
      <c r="K323">
        <v>40</v>
      </c>
      <c r="L323">
        <v>80</v>
      </c>
      <c r="M323" s="68" t="s">
        <v>67</v>
      </c>
      <c r="N323">
        <v>89.6</v>
      </c>
      <c r="P323" s="67" t="s">
        <v>598</v>
      </c>
      <c r="Q323" s="68">
        <v>201.3</v>
      </c>
      <c r="R323" s="67" t="s">
        <v>599</v>
      </c>
      <c r="S323" s="68">
        <v>219</v>
      </c>
      <c r="T323" s="68">
        <f t="shared" ref="T323:T386" si="50">_xlfn.LET(_xlpm.x,S323-Q323,IF(_xlpm.x=0,"",_xlpm.x))</f>
        <v>17.699999999999989</v>
      </c>
      <c r="U323">
        <f t="shared" si="46"/>
        <v>65</v>
      </c>
      <c r="V323">
        <f t="shared" ref="V323:V386" si="51">IFERROR(ROUND(T323*60/U323,1), )</f>
        <v>16.3</v>
      </c>
      <c r="W323">
        <f t="shared" si="47"/>
        <v>11.36</v>
      </c>
      <c r="X323" s="19">
        <v>45500</v>
      </c>
      <c r="Y323" s="26">
        <v>214.4</v>
      </c>
      <c r="Z323" s="61">
        <v>0</v>
      </c>
      <c r="AB323" s="28">
        <f t="shared" si="48"/>
        <v>0.14239999999999997</v>
      </c>
      <c r="AE323" s="61" t="str">
        <f t="shared" si="49"/>
        <v/>
      </c>
      <c r="AF323" s="77" t="str">
        <f>_xlfn.XLOOKUP(AD323,menu!$K$2:$K$9,menu!$J$2:$J$9,"",1)</f>
        <v/>
      </c>
      <c r="AG323" s="80" t="str">
        <f>_xlfn.XLOOKUP(AH323,menu!$O$2:$O$9,menu!$H$2:$H$9,"")</f>
        <v/>
      </c>
      <c r="AI323" t="str">
        <f>_xlfn.LET(_xlpm.x,_xlfn.CONCAT(_xlfn.XLOOKUP(D323,beans!$A$2:$A$300,beans!$J$2:$J$300,"")," / ",_xlfn.XLOOKUP(D323,beans!$A$2:$A$300,beans!$K$2:$K$300,"")," - ",_xlfn.XLOOKUP(D323,beans!$A$2:$A$300,beans!$L$2:$L$300,"")),IF(_xlpm.x=" /  - ","",_xlpm.x))</f>
        <v>薇微特南果 / 聖安東尼奧莊園 - 波旁,鐵皮卡</v>
      </c>
      <c r="AJ323" s="23" t="s">
        <v>597</v>
      </c>
    </row>
    <row r="324" spans="1:36" x14ac:dyDescent="0.3">
      <c r="A324">
        <v>307</v>
      </c>
      <c r="B324">
        <v>250</v>
      </c>
      <c r="D324">
        <v>65</v>
      </c>
      <c r="E324" t="str">
        <f>_xlfn.LET(_xlpm.x,_xlfn.XLOOKUP(D324,beans!$A$2:$A$300,beans!$H$2:$H$300,""),IF(_xlpm.x="","",_xlpm.x))</f>
        <v>衣索比亞</v>
      </c>
      <c r="F324" s="22" t="str">
        <f>_xlfn.XLOOKUP(E324,menu!$A$2:$A$37,menu!$B$2:$B$37,"")</f>
        <v>Ethiopia</v>
      </c>
      <c r="G324" t="str">
        <f>_xlfn.XLOOKUP(E324,menu!$A$2:$A$37,menu!$C$2:$C$37,"")</f>
        <v>eth</v>
      </c>
      <c r="H324" t="str">
        <f>_xlfn.LET(_xlpm.x,_xlfn.XLOOKUP(_xlfn.XLOOKUP(D324,beans!$A$2:$A$300,beans!$I$2:$I$300),menu!$E$2:$E$20,menu!$F$2:$F$20),IF(_xlpm.x="","",_xlpm.x))</f>
        <v>natural</v>
      </c>
      <c r="I324">
        <v>190</v>
      </c>
      <c r="J324">
        <v>80</v>
      </c>
      <c r="K324">
        <v>40</v>
      </c>
      <c r="L324">
        <v>80</v>
      </c>
      <c r="M324" s="68" t="s">
        <v>67</v>
      </c>
      <c r="N324">
        <v>89.6</v>
      </c>
      <c r="P324" s="67" t="s">
        <v>600</v>
      </c>
      <c r="Q324" s="68">
        <v>204.9</v>
      </c>
      <c r="R324" s="67" t="s">
        <v>512</v>
      </c>
      <c r="S324" s="68">
        <v>219.4</v>
      </c>
      <c r="T324" s="68">
        <f t="shared" si="50"/>
        <v>14.5</v>
      </c>
      <c r="U324">
        <f t="shared" si="46"/>
        <v>66</v>
      </c>
      <c r="V324">
        <f t="shared" si="51"/>
        <v>13.2</v>
      </c>
      <c r="W324">
        <f t="shared" si="47"/>
        <v>11.28</v>
      </c>
      <c r="X324" s="19">
        <v>45500</v>
      </c>
      <c r="Y324" s="26">
        <v>211.2</v>
      </c>
      <c r="Z324" s="61">
        <v>0</v>
      </c>
      <c r="AB324" s="28">
        <f t="shared" si="48"/>
        <v>0.15520000000000003</v>
      </c>
      <c r="AC324" s="110">
        <v>54.9</v>
      </c>
      <c r="AD324" s="26">
        <v>83</v>
      </c>
      <c r="AE324" s="61">
        <f t="shared" si="49"/>
        <v>28.1</v>
      </c>
      <c r="AF324" s="77" t="str">
        <f>_xlfn.XLOOKUP(AD324,menu!$K$2:$K$9,menu!$J$2:$J$9,"",1)</f>
        <v>極淺</v>
      </c>
      <c r="AG324" s="80" t="str">
        <f>_xlfn.XLOOKUP(AH324,menu!$O$2:$O$9,menu!$H$2:$H$9,"")</f>
        <v>Cinamon</v>
      </c>
      <c r="AH324" s="81" t="s">
        <v>78</v>
      </c>
      <c r="AI324" t="str">
        <f>_xlfn.LET(_xlpm.x,_xlfn.CONCAT(_xlfn.XLOOKUP(D324,beans!$A$2:$A$300,beans!$J$2:$J$300,"")," / ",_xlfn.XLOOKUP(D324,beans!$A$2:$A$300,beans!$K$2:$K$300,"")," - ",_xlfn.XLOOKUP(D324,beans!$A$2:$A$300,beans!$L$2:$L$300,"")),IF(_xlpm.x=" /  - ","",_xlpm.x))</f>
        <v>耶加雪菲 / 科契爾 - 牧羊人 - 原生種</v>
      </c>
      <c r="AJ324" s="23" t="s">
        <v>597</v>
      </c>
    </row>
    <row r="325" spans="1:36" x14ac:dyDescent="0.3">
      <c r="A325">
        <v>308</v>
      </c>
      <c r="B325">
        <v>500</v>
      </c>
      <c r="D325">
        <v>39</v>
      </c>
      <c r="E325" t="str">
        <f>_xlfn.LET(_xlpm.x,_xlfn.XLOOKUP(D325,beans!$A$2:$A$300,beans!$H$2:$H$300,""),IF(_xlpm.x="","",_xlpm.x))</f>
        <v>巴西</v>
      </c>
      <c r="F325" s="22" t="str">
        <f>_xlfn.XLOOKUP(E325,menu!$A$2:$A$37,menu!$B$2:$B$37,"")</f>
        <v>Brazli</v>
      </c>
      <c r="G325" t="str">
        <f>_xlfn.XLOOKUP(E325,menu!$A$2:$A$37,menu!$C$2:$C$37,"")</f>
        <v>bra</v>
      </c>
      <c r="H325" t="str">
        <f>_xlfn.LET(_xlpm.x,_xlfn.XLOOKUP(_xlfn.XLOOKUP(D325,beans!$A$2:$A$300,beans!$I$2:$I$300),menu!$E$2:$E$20,menu!$F$2:$F$20),IF(_xlpm.x="","",_xlpm.x))</f>
        <v>natural</v>
      </c>
      <c r="I325">
        <v>200</v>
      </c>
      <c r="J325">
        <v>90</v>
      </c>
      <c r="K325">
        <v>40</v>
      </c>
      <c r="L325">
        <v>90</v>
      </c>
      <c r="M325" s="68" t="s">
        <v>157</v>
      </c>
      <c r="N325">
        <v>91.9</v>
      </c>
      <c r="P325" s="67" t="s">
        <v>167</v>
      </c>
      <c r="Q325" s="68">
        <v>202.7</v>
      </c>
      <c r="R325" s="67" t="s">
        <v>82</v>
      </c>
      <c r="S325" s="68">
        <v>229.9</v>
      </c>
      <c r="T325" s="68">
        <f t="shared" si="50"/>
        <v>27.200000000000017</v>
      </c>
      <c r="U325">
        <f t="shared" si="46"/>
        <v>162</v>
      </c>
      <c r="V325">
        <f t="shared" si="51"/>
        <v>10.1</v>
      </c>
      <c r="W325">
        <f t="shared" si="47"/>
        <v>24.36</v>
      </c>
      <c r="X325" s="19">
        <v>45517</v>
      </c>
      <c r="Y325" s="26">
        <v>406</v>
      </c>
      <c r="Z325" s="61">
        <v>0</v>
      </c>
      <c r="AB325" s="28">
        <f t="shared" si="48"/>
        <v>0.188</v>
      </c>
      <c r="AE325" s="61" t="str">
        <f t="shared" si="49"/>
        <v/>
      </c>
      <c r="AF325" s="77" t="str">
        <f>_xlfn.XLOOKUP(AD325,menu!$K$2:$K$9,menu!$J$2:$J$9,"",1)</f>
        <v/>
      </c>
      <c r="AG325" s="80" t="str">
        <f>_xlfn.XLOOKUP(AH325,menu!$O$2:$O$9,menu!$H$2:$H$9,"")</f>
        <v>High</v>
      </c>
      <c r="AH325" s="81" t="s">
        <v>93</v>
      </c>
      <c r="AI325" t="str">
        <f>_xlfn.LET(_xlpm.x,_xlfn.CONCAT(_xlfn.XLOOKUP(D325,beans!$A$2:$A$300,beans!$J$2:$J$300,"")," / ",_xlfn.XLOOKUP(D325,beans!$A$2:$A$300,beans!$K$2:$K$300,"")," - ",_xlfn.XLOOKUP(D325,beans!$A$2:$A$300,beans!$L$2:$L$300,"")),IF(_xlpm.x=" /  - ","",_xlpm.x))</f>
        <v xml:space="preserve"> / 巴烏莊園 維多莉亞農場 - Yellow Catuai </v>
      </c>
      <c r="AJ325" s="23" t="s">
        <v>483</v>
      </c>
    </row>
    <row r="326" spans="1:36" x14ac:dyDescent="0.3">
      <c r="A326">
        <v>309</v>
      </c>
      <c r="B326">
        <v>500</v>
      </c>
      <c r="D326">
        <v>42</v>
      </c>
      <c r="E326" t="str">
        <f>_xlfn.LET(_xlpm.x,_xlfn.XLOOKUP(D326,beans!$A$2:$A$300,beans!$H$2:$H$300,""),IF(_xlpm.x="","",_xlpm.x))</f>
        <v>瓜地馬拉</v>
      </c>
      <c r="F326" s="22" t="str">
        <f>_xlfn.XLOOKUP(E326,menu!$A$2:$A$37,menu!$B$2:$B$37,"")</f>
        <v>Guatemala</v>
      </c>
      <c r="G326" t="str">
        <f>_xlfn.XLOOKUP(E326,menu!$A$2:$A$37,menu!$C$2:$C$37,"")</f>
        <v>gtm</v>
      </c>
      <c r="H326" t="str">
        <f>_xlfn.LET(_xlpm.x,_xlfn.XLOOKUP(_xlfn.XLOOKUP(D326,beans!$A$2:$A$300,beans!$I$2:$I$300),menu!$E$2:$E$20,menu!$F$2:$F$20),IF(_xlpm.x="","",_xlpm.x))</f>
        <v>honey</v>
      </c>
      <c r="I326">
        <v>200</v>
      </c>
      <c r="J326">
        <v>90</v>
      </c>
      <c r="K326">
        <v>40</v>
      </c>
      <c r="L326">
        <v>90</v>
      </c>
      <c r="M326" s="68" t="s">
        <v>67</v>
      </c>
      <c r="N326">
        <v>87.3</v>
      </c>
      <c r="P326" s="67" t="s">
        <v>88</v>
      </c>
      <c r="Q326" s="68">
        <v>209.2</v>
      </c>
      <c r="R326" s="67" t="s">
        <v>398</v>
      </c>
      <c r="S326" s="68">
        <v>232.8</v>
      </c>
      <c r="T326" s="68">
        <f t="shared" si="50"/>
        <v>23.600000000000023</v>
      </c>
      <c r="U326">
        <f t="shared" si="46"/>
        <v>132</v>
      </c>
      <c r="V326">
        <f t="shared" si="51"/>
        <v>10.7</v>
      </c>
      <c r="W326">
        <f t="shared" si="47"/>
        <v>19.73</v>
      </c>
      <c r="X326" s="19">
        <v>45517</v>
      </c>
      <c r="Y326" s="26">
        <v>414</v>
      </c>
      <c r="Z326" s="61">
        <v>0</v>
      </c>
      <c r="AB326" s="28">
        <f t="shared" si="48"/>
        <v>0.17199999999999999</v>
      </c>
      <c r="AC326" s="110">
        <v>31.7</v>
      </c>
      <c r="AD326" s="26">
        <v>44</v>
      </c>
      <c r="AE326" s="61">
        <f t="shared" si="49"/>
        <v>12.3</v>
      </c>
      <c r="AF326" s="77" t="str">
        <f>_xlfn.XLOOKUP(AD326,menu!$K$2:$K$9,menu!$J$2:$J$9,"",1)</f>
        <v>中深</v>
      </c>
      <c r="AG326" s="80" t="str">
        <f>_xlfn.XLOOKUP(AH326,menu!$O$2:$O$9,menu!$H$2:$H$9,"")</f>
        <v>City</v>
      </c>
      <c r="AH326" s="81" t="s">
        <v>480</v>
      </c>
      <c r="AI326" t="str">
        <f>_xlfn.LET(_xlpm.x,_xlfn.CONCAT(_xlfn.XLOOKUP(D326,beans!$A$2:$A$300,beans!$J$2:$J$300,"")," / ",_xlfn.XLOOKUP(D326,beans!$A$2:$A$300,beans!$K$2:$K$300,"")," - ",_xlfn.XLOOKUP(D326,beans!$A$2:$A$300,beans!$L$2:$L$300,"")),IF(_xlpm.x=" /  - ","",_xlpm.x))</f>
        <v>薇微特南果 / 聖安東尼奧莊園 - 波旁,鐵皮卡</v>
      </c>
      <c r="AJ326" s="23" t="s">
        <v>483</v>
      </c>
    </row>
    <row r="327" spans="1:36" x14ac:dyDescent="0.3">
      <c r="A327">
        <v>310</v>
      </c>
      <c r="B327">
        <v>250</v>
      </c>
      <c r="D327">
        <v>41</v>
      </c>
      <c r="E327" t="str">
        <f>_xlfn.LET(_xlpm.x,_xlfn.XLOOKUP(D327,beans!$A$2:$A$300,beans!$H$2:$H$300,""),IF(_xlpm.x="","",_xlpm.x))</f>
        <v>衣索比亞</v>
      </c>
      <c r="F327" s="22" t="str">
        <f>_xlfn.XLOOKUP(E327,menu!$A$2:$A$37,menu!$B$2:$B$37,"")</f>
        <v>Ethiopia</v>
      </c>
      <c r="G327" t="str">
        <f>_xlfn.XLOOKUP(E327,menu!$A$2:$A$37,menu!$C$2:$C$37,"")</f>
        <v>eth</v>
      </c>
      <c r="H327" t="str">
        <f>_xlfn.LET(_xlpm.x,_xlfn.XLOOKUP(_xlfn.XLOOKUP(D327,beans!$A$2:$A$300,beans!$I$2:$I$300),menu!$E$2:$E$20,menu!$F$2:$F$20),IF(_xlpm.x="","",_xlpm.x))</f>
        <v>washed</v>
      </c>
      <c r="I327">
        <v>200</v>
      </c>
      <c r="J327">
        <v>80</v>
      </c>
      <c r="K327">
        <v>25</v>
      </c>
      <c r="L327">
        <v>70</v>
      </c>
      <c r="M327" s="68" t="s">
        <v>75</v>
      </c>
      <c r="N327">
        <v>86.2</v>
      </c>
      <c r="P327" s="67" t="s">
        <v>252</v>
      </c>
      <c r="Q327" s="68">
        <v>200.9</v>
      </c>
      <c r="R327" s="67" t="s">
        <v>420</v>
      </c>
      <c r="S327" s="68">
        <v>212.6</v>
      </c>
      <c r="T327" s="68">
        <f t="shared" si="50"/>
        <v>11.699999999999989</v>
      </c>
      <c r="U327">
        <f t="shared" si="46"/>
        <v>68</v>
      </c>
      <c r="V327">
        <f t="shared" si="51"/>
        <v>10.3</v>
      </c>
      <c r="W327">
        <f t="shared" si="47"/>
        <v>10.9</v>
      </c>
      <c r="X327" s="19">
        <v>45519</v>
      </c>
      <c r="Y327" s="26">
        <v>221</v>
      </c>
      <c r="Z327" s="61">
        <v>0</v>
      </c>
      <c r="AA327" s="61">
        <v>0</v>
      </c>
      <c r="AB327" s="28">
        <f t="shared" si="48"/>
        <v>0.11600000000000001</v>
      </c>
      <c r="AC327" s="110">
        <v>63.2</v>
      </c>
      <c r="AD327" s="26">
        <v>74.400000000000006</v>
      </c>
      <c r="AE327" s="61">
        <f t="shared" si="49"/>
        <v>11.200000000000003</v>
      </c>
      <c r="AF327" s="77" t="str">
        <f>_xlfn.XLOOKUP(AD327,menu!$K$2:$K$9,menu!$J$2:$J$9,"",1)</f>
        <v>淺</v>
      </c>
      <c r="AG327" s="80" t="str">
        <f>_xlfn.XLOOKUP(AH327,menu!$O$2:$O$9,menu!$H$2:$H$9,"")</f>
        <v>Medium</v>
      </c>
      <c r="AH327" s="81" t="s">
        <v>72</v>
      </c>
      <c r="AI327" t="str">
        <f>_xlfn.LET(_xlpm.x,_xlfn.CONCAT(_xlfn.XLOOKUP(D327,beans!$A$2:$A$300,beans!$J$2:$J$300,"")," / ",_xlfn.XLOOKUP(D327,beans!$A$2:$A$300,beans!$K$2:$K$300,"")," - ",_xlfn.XLOOKUP(D327,beans!$A$2:$A$300,beans!$L$2:$L$300,"")),IF(_xlpm.x=" /  - ","",_xlpm.x))</f>
        <v xml:space="preserve">耶加雪菲 / 阿若默 - </v>
      </c>
      <c r="AJ327" s="23" t="s">
        <v>601</v>
      </c>
    </row>
    <row r="328" spans="1:36" x14ac:dyDescent="0.3">
      <c r="A328">
        <v>311</v>
      </c>
      <c r="B328">
        <v>500</v>
      </c>
      <c r="D328">
        <v>56</v>
      </c>
      <c r="E328" t="str">
        <f>_xlfn.LET(_xlpm.x,_xlfn.XLOOKUP(D328,beans!$A$2:$A$300,beans!$H$2:$H$300,""),IF(_xlpm.x="","",_xlpm.x))</f>
        <v>肯亞</v>
      </c>
      <c r="F328" s="22" t="str">
        <f>_xlfn.XLOOKUP(E328,menu!$A$2:$A$37,menu!$B$2:$B$37,"")</f>
        <v>Kenya</v>
      </c>
      <c r="G328" t="str">
        <f>_xlfn.XLOOKUP(E328,menu!$A$2:$A$37,menu!$C$2:$C$37,"")</f>
        <v>ken</v>
      </c>
      <c r="H328" t="str">
        <f>_xlfn.LET(_xlpm.x,_xlfn.XLOOKUP(_xlfn.XLOOKUP(D328,beans!$A$2:$A$300,beans!$I$2:$I$300),menu!$E$2:$E$20,menu!$F$2:$F$20),IF(_xlpm.x="","",_xlpm.x))</f>
        <v>washed</v>
      </c>
      <c r="I328">
        <v>200</v>
      </c>
      <c r="J328">
        <v>90</v>
      </c>
      <c r="K328">
        <v>25</v>
      </c>
      <c r="L328">
        <v>90</v>
      </c>
      <c r="M328" s="68" t="s">
        <v>109</v>
      </c>
      <c r="N328">
        <v>88.3</v>
      </c>
      <c r="P328" s="67" t="s">
        <v>581</v>
      </c>
      <c r="Q328" s="68">
        <v>199.1</v>
      </c>
      <c r="R328" s="67" t="s">
        <v>350</v>
      </c>
      <c r="S328" s="68">
        <v>218.7</v>
      </c>
      <c r="T328" s="68">
        <f t="shared" si="50"/>
        <v>19.599999999999994</v>
      </c>
      <c r="U328">
        <f t="shared" si="46"/>
        <v>115</v>
      </c>
      <c r="V328">
        <f t="shared" si="51"/>
        <v>10.199999999999999</v>
      </c>
      <c r="W328">
        <f t="shared" si="47"/>
        <v>17.670000000000002</v>
      </c>
      <c r="X328" s="19">
        <v>45519</v>
      </c>
      <c r="Y328" s="26">
        <v>424.3</v>
      </c>
      <c r="Z328" s="61">
        <v>0</v>
      </c>
      <c r="AA328" s="61">
        <v>0</v>
      </c>
      <c r="AB328" s="28">
        <f t="shared" si="48"/>
        <v>0.15139999999999998</v>
      </c>
      <c r="AC328" s="110">
        <v>47.9</v>
      </c>
      <c r="AD328" s="26">
        <v>59.7</v>
      </c>
      <c r="AE328" s="61">
        <f t="shared" si="49"/>
        <v>11.800000000000004</v>
      </c>
      <c r="AF328" s="77" t="str">
        <f>_xlfn.XLOOKUP(AD328,menu!$K$2:$K$9,menu!$J$2:$J$9,"",1)</f>
        <v>中</v>
      </c>
      <c r="AG328" s="80" t="str">
        <f>_xlfn.XLOOKUP(AH328,menu!$O$2:$O$9,menu!$H$2:$H$9,"")</f>
        <v>Medium</v>
      </c>
      <c r="AH328" s="81" t="s">
        <v>72</v>
      </c>
      <c r="AI328" t="str">
        <f>_xlfn.LET(_xlpm.x,_xlfn.CONCAT(_xlfn.XLOOKUP(D328,beans!$A$2:$A$300,beans!$J$2:$J$300,"")," / ",_xlfn.XLOOKUP(D328,beans!$A$2:$A$300,beans!$K$2:$K$300,"")," - ",_xlfn.XLOOKUP(D328,beans!$A$2:$A$300,beans!$L$2:$L$300,"")),IF(_xlpm.x=" /  - ","",_xlpm.x))</f>
        <v xml:space="preserve">祁安布 / FAQ - </v>
      </c>
      <c r="AJ328" s="23" t="s">
        <v>602</v>
      </c>
    </row>
    <row r="329" spans="1:36" x14ac:dyDescent="0.3">
      <c r="A329">
        <v>312</v>
      </c>
      <c r="B329">
        <v>500</v>
      </c>
      <c r="D329">
        <v>53</v>
      </c>
      <c r="E329" t="str">
        <f>_xlfn.LET(_xlpm.x,_xlfn.XLOOKUP(D329,beans!$A$2:$A$300,beans!$H$2:$H$300,""),IF(_xlpm.x="","",_xlpm.x))</f>
        <v>衣索比亞</v>
      </c>
      <c r="F329" s="22" t="str">
        <f>_xlfn.XLOOKUP(E329,menu!$A$2:$A$37,menu!$B$2:$B$37,"")</f>
        <v>Ethiopia</v>
      </c>
      <c r="G329" t="str">
        <f>_xlfn.XLOOKUP(E329,menu!$A$2:$A$37,menu!$C$2:$C$37,"")</f>
        <v>eth</v>
      </c>
      <c r="H329" t="str">
        <f>_xlfn.LET(_xlpm.x,_xlfn.XLOOKUP(_xlfn.XLOOKUP(D329,beans!$A$2:$A$300,beans!$I$2:$I$300),menu!$E$2:$E$20,menu!$F$2:$F$20),IF(_xlpm.x="","",_xlpm.x))</f>
        <v>Anaerobic Natural</v>
      </c>
      <c r="I329">
        <v>200</v>
      </c>
      <c r="J329">
        <v>90</v>
      </c>
      <c r="K329">
        <v>25</v>
      </c>
      <c r="L329">
        <v>90</v>
      </c>
      <c r="M329" s="68" t="s">
        <v>109</v>
      </c>
      <c r="N329">
        <v>84.4</v>
      </c>
      <c r="P329" s="67" t="s">
        <v>586</v>
      </c>
      <c r="Q329" s="68">
        <v>208.6</v>
      </c>
      <c r="R329" s="67" t="s">
        <v>319</v>
      </c>
      <c r="S329" s="68">
        <v>220.6</v>
      </c>
      <c r="T329" s="68">
        <f t="shared" si="50"/>
        <v>12</v>
      </c>
      <c r="U329">
        <f t="shared" si="46"/>
        <v>66</v>
      </c>
      <c r="V329">
        <f t="shared" si="51"/>
        <v>10.9</v>
      </c>
      <c r="W329">
        <f t="shared" si="47"/>
        <v>10.11</v>
      </c>
      <c r="X329" s="19">
        <v>45519</v>
      </c>
      <c r="Y329" s="26">
        <v>422</v>
      </c>
      <c r="Z329" s="61">
        <v>0</v>
      </c>
      <c r="AA329" s="61">
        <v>0</v>
      </c>
      <c r="AB329" s="28">
        <f t="shared" si="48"/>
        <v>0.156</v>
      </c>
      <c r="AC329" s="110">
        <v>48.1</v>
      </c>
      <c r="AD329" s="26">
        <v>62.6</v>
      </c>
      <c r="AE329" s="61">
        <f t="shared" si="49"/>
        <v>14.5</v>
      </c>
      <c r="AF329" s="77" t="str">
        <f>_xlfn.XLOOKUP(AD329,menu!$K$2:$K$9,menu!$J$2:$J$9,"",1)</f>
        <v>中淺</v>
      </c>
      <c r="AG329" s="80" t="str">
        <f>_xlfn.XLOOKUP(AH329,menu!$O$2:$O$9,menu!$H$2:$H$9,"")</f>
        <v>Medium</v>
      </c>
      <c r="AH329" s="81" t="s">
        <v>72</v>
      </c>
      <c r="AI329" t="str">
        <f>_xlfn.LET(_xlpm.x,_xlfn.CONCAT(_xlfn.XLOOKUP(D329,beans!$A$2:$A$300,beans!$J$2:$J$300,"")," / ",_xlfn.XLOOKUP(D329,beans!$A$2:$A$300,beans!$K$2:$K$300,"")," - ",_xlfn.XLOOKUP(D329,beans!$A$2:$A$300,beans!$L$2:$L$300,"")),IF(_xlpm.x=" /  - ","",_xlpm.x))</f>
        <v>耶加雪菲 / 切切雷(Chelchele) - 原生種</v>
      </c>
      <c r="AJ329" s="23" t="s">
        <v>603</v>
      </c>
    </row>
    <row r="330" spans="1:36" x14ac:dyDescent="0.3">
      <c r="A330">
        <v>313</v>
      </c>
      <c r="B330">
        <v>500</v>
      </c>
      <c r="D330">
        <v>44</v>
      </c>
      <c r="E330" t="str">
        <f>_xlfn.LET(_xlpm.x,_xlfn.XLOOKUP(D330,beans!$A$2:$A$300,beans!$H$2:$H$300,""),IF(_xlpm.x="","",_xlpm.x))</f>
        <v>衣索比亞</v>
      </c>
      <c r="F330" s="22" t="str">
        <f>_xlfn.XLOOKUP(E330,menu!$A$2:$A$37,menu!$B$2:$B$37,"")</f>
        <v>Ethiopia</v>
      </c>
      <c r="G330" t="str">
        <f>_xlfn.XLOOKUP(E330,menu!$A$2:$A$37,menu!$C$2:$C$37,"")</f>
        <v>eth</v>
      </c>
      <c r="H330" t="str">
        <f>_xlfn.LET(_xlpm.x,_xlfn.XLOOKUP(_xlfn.XLOOKUP(D330,beans!$A$2:$A$300,beans!$I$2:$I$300),menu!$E$2:$E$20,menu!$F$2:$F$20),IF(_xlpm.x="","",_xlpm.x))</f>
        <v>Special</v>
      </c>
      <c r="I330">
        <v>200</v>
      </c>
      <c r="J330">
        <v>90</v>
      </c>
      <c r="K330">
        <v>25</v>
      </c>
      <c r="L330">
        <v>90</v>
      </c>
      <c r="M330" s="68" t="s">
        <v>125</v>
      </c>
      <c r="N330">
        <v>89.4</v>
      </c>
      <c r="P330" s="67" t="s">
        <v>171</v>
      </c>
      <c r="Q330" s="68">
        <v>207.1</v>
      </c>
      <c r="R330" s="67" t="s">
        <v>210</v>
      </c>
      <c r="S330" s="68">
        <v>217.2</v>
      </c>
      <c r="T330" s="68">
        <f t="shared" si="50"/>
        <v>10.099999999999994</v>
      </c>
      <c r="U330">
        <f t="shared" si="46"/>
        <v>52</v>
      </c>
      <c r="V330">
        <f t="shared" si="51"/>
        <v>11.7</v>
      </c>
      <c r="W330">
        <f t="shared" si="47"/>
        <v>8.5</v>
      </c>
      <c r="X330" s="19">
        <v>45519</v>
      </c>
      <c r="Y330" s="26">
        <v>427</v>
      </c>
      <c r="Z330" s="61">
        <v>0</v>
      </c>
      <c r="AA330" s="61">
        <v>0</v>
      </c>
      <c r="AB330" s="28">
        <f t="shared" si="48"/>
        <v>0.14599999999999999</v>
      </c>
      <c r="AC330" s="110">
        <v>40.9</v>
      </c>
      <c r="AD330" s="26">
        <v>69.8</v>
      </c>
      <c r="AE330" s="61">
        <f t="shared" si="49"/>
        <v>28.9</v>
      </c>
      <c r="AF330" s="77" t="str">
        <f>_xlfn.XLOOKUP(AD330,menu!$K$2:$K$9,menu!$J$2:$J$9,"",1)</f>
        <v>中淺</v>
      </c>
      <c r="AG330" s="80" t="str">
        <f>_xlfn.XLOOKUP(AH330,menu!$O$2:$O$9,menu!$H$2:$H$9,"")</f>
        <v>Medium</v>
      </c>
      <c r="AH330" s="81" t="s">
        <v>72</v>
      </c>
      <c r="AI330" t="str">
        <f>_xlfn.LET(_xlpm.x,_xlfn.CONCAT(_xlfn.XLOOKUP(D330,beans!$A$2:$A$300,beans!$J$2:$J$300,"")," / ",_xlfn.XLOOKUP(D330,beans!$A$2:$A$300,beans!$K$2:$K$300,"")," - ",_xlfn.XLOOKUP(D330,beans!$A$2:$A$300,beans!$L$2:$L$300,"")),IF(_xlpm.x=" /  - ","",_xlpm.x))</f>
        <v xml:space="preserve">耶加雪菲 / 百香果特殊發酵 厭氧日曬處理 G1 - </v>
      </c>
      <c r="AJ330" s="23" t="s">
        <v>601</v>
      </c>
    </row>
    <row r="331" spans="1:36" x14ac:dyDescent="0.3">
      <c r="A331">
        <v>314</v>
      </c>
      <c r="B331">
        <v>500</v>
      </c>
      <c r="D331">
        <v>39</v>
      </c>
      <c r="E331" t="str">
        <f>_xlfn.LET(_xlpm.x,_xlfn.XLOOKUP(D331,beans!$A$2:$A$300,beans!$H$2:$H$300,""),IF(_xlpm.x="","",_xlpm.x))</f>
        <v>巴西</v>
      </c>
      <c r="F331" s="22" t="str">
        <f>_xlfn.XLOOKUP(E331,menu!$A$2:$A$37,menu!$B$2:$B$37,"")</f>
        <v>Brazli</v>
      </c>
      <c r="G331" t="str">
        <f>_xlfn.XLOOKUP(E331,menu!$A$2:$A$37,menu!$C$2:$C$37,"")</f>
        <v>bra</v>
      </c>
      <c r="H331" t="str">
        <f>_xlfn.LET(_xlpm.x,_xlfn.XLOOKUP(_xlfn.XLOOKUP(D331,beans!$A$2:$A$300,beans!$I$2:$I$300),menu!$E$2:$E$20,menu!$F$2:$F$20),IF(_xlpm.x="","",_xlpm.x))</f>
        <v>natural</v>
      </c>
      <c r="I331">
        <v>200</v>
      </c>
      <c r="J331">
        <v>90</v>
      </c>
      <c r="K331">
        <v>40</v>
      </c>
      <c r="L331">
        <v>90</v>
      </c>
      <c r="M331" s="68" t="s">
        <v>75</v>
      </c>
      <c r="N331">
        <v>94</v>
      </c>
      <c r="P331" s="67" t="s">
        <v>167</v>
      </c>
      <c r="Q331" s="68">
        <v>202.7</v>
      </c>
      <c r="R331" s="67" t="s">
        <v>82</v>
      </c>
      <c r="S331" s="68">
        <v>229.9</v>
      </c>
      <c r="T331" s="68">
        <f t="shared" si="50"/>
        <v>27.200000000000017</v>
      </c>
      <c r="U331">
        <f t="shared" si="46"/>
        <v>162</v>
      </c>
      <c r="V331">
        <f t="shared" si="51"/>
        <v>10.1</v>
      </c>
      <c r="W331">
        <f t="shared" si="47"/>
        <v>24.36</v>
      </c>
      <c r="X331" s="19">
        <v>45519</v>
      </c>
      <c r="Y331" s="26">
        <v>408</v>
      </c>
      <c r="Z331" s="61">
        <v>0</v>
      </c>
      <c r="AB331" s="28">
        <f t="shared" si="48"/>
        <v>0.184</v>
      </c>
      <c r="AC331" s="110">
        <v>33.700000000000003</v>
      </c>
      <c r="AD331" s="26">
        <v>46.2</v>
      </c>
      <c r="AE331" s="61">
        <f t="shared" si="49"/>
        <v>12.5</v>
      </c>
      <c r="AF331" s="77" t="str">
        <f>_xlfn.XLOOKUP(AD331,menu!$K$2:$K$9,menu!$J$2:$J$9,"",1)</f>
        <v>中深</v>
      </c>
      <c r="AG331" s="80" t="str">
        <f>_xlfn.XLOOKUP(AH331,menu!$O$2:$O$9,menu!$H$2:$H$9,"")</f>
        <v>High</v>
      </c>
      <c r="AH331" s="81" t="s">
        <v>93</v>
      </c>
      <c r="AI331" t="str">
        <f>_xlfn.LET(_xlpm.x,_xlfn.CONCAT(_xlfn.XLOOKUP(D331,beans!$A$2:$A$300,beans!$J$2:$J$300,"")," / ",_xlfn.XLOOKUP(D331,beans!$A$2:$A$300,beans!$K$2:$K$300,"")," - ",_xlfn.XLOOKUP(D331,beans!$A$2:$A$300,beans!$L$2:$L$300,"")),IF(_xlpm.x=" /  - ","",_xlpm.x))</f>
        <v xml:space="preserve"> / 巴烏莊園 維多莉亞農場 - Yellow Catuai </v>
      </c>
      <c r="AJ331" s="23" t="s">
        <v>602</v>
      </c>
    </row>
    <row r="332" spans="1:36" x14ac:dyDescent="0.3">
      <c r="A332">
        <v>315</v>
      </c>
      <c r="B332">
        <v>192</v>
      </c>
      <c r="D332">
        <v>7</v>
      </c>
      <c r="E332" t="str">
        <f>_xlfn.LET(_xlpm.x,_xlfn.XLOOKUP(D332,beans!$A$2:$A$300,beans!$H$2:$H$300,""),IF(_xlpm.x="","",_xlpm.x))</f>
        <v>瓜地馬拉</v>
      </c>
      <c r="F332" s="22" t="str">
        <f>_xlfn.XLOOKUP(E332,menu!$A$2:$A$37,menu!$B$2:$B$37,"")</f>
        <v>Guatemala</v>
      </c>
      <c r="G332" t="str">
        <f>_xlfn.XLOOKUP(E332,menu!$A$2:$A$37,menu!$C$2:$C$37,"")</f>
        <v>gtm</v>
      </c>
      <c r="H332" t="str">
        <f>_xlfn.LET(_xlpm.x,_xlfn.XLOOKUP(_xlfn.XLOOKUP(D332,beans!$A$2:$A$300,beans!$I$2:$I$300),menu!$E$2:$E$20,menu!$F$2:$F$20),IF(_xlpm.x="","",_xlpm.x))</f>
        <v>washed</v>
      </c>
      <c r="I332">
        <v>200</v>
      </c>
      <c r="J332">
        <v>70</v>
      </c>
      <c r="K332">
        <v>40</v>
      </c>
      <c r="L332">
        <v>60</v>
      </c>
      <c r="M332" s="68" t="s">
        <v>272</v>
      </c>
      <c r="N332">
        <v>91.3</v>
      </c>
      <c r="P332" s="67" t="s">
        <v>570</v>
      </c>
      <c r="Q332" s="68">
        <v>203.4</v>
      </c>
      <c r="R332" s="67" t="s">
        <v>604</v>
      </c>
      <c r="S332" s="68">
        <v>217.5</v>
      </c>
      <c r="T332" s="68">
        <f t="shared" si="50"/>
        <v>14.099999999999994</v>
      </c>
      <c r="U332">
        <f t="shared" si="46"/>
        <v>96</v>
      </c>
      <c r="V332">
        <f t="shared" si="51"/>
        <v>8.8000000000000007</v>
      </c>
      <c r="W332">
        <f t="shared" si="47"/>
        <v>13.5</v>
      </c>
      <c r="X332" s="19">
        <v>45528</v>
      </c>
      <c r="Y332" s="26">
        <v>164.3</v>
      </c>
      <c r="Z332" s="61">
        <v>0</v>
      </c>
      <c r="AB332" s="28">
        <f t="shared" si="48"/>
        <v>0.14427083333333326</v>
      </c>
      <c r="AC332" s="110">
        <v>43</v>
      </c>
      <c r="AD332" s="26">
        <v>63.6</v>
      </c>
      <c r="AE332" s="61">
        <f t="shared" si="49"/>
        <v>20.6</v>
      </c>
      <c r="AF332" s="77" t="str">
        <f>_xlfn.XLOOKUP(AD332,menu!$K$2:$K$9,menu!$J$2:$J$9,"",1)</f>
        <v>中淺</v>
      </c>
      <c r="AG332" s="80" t="str">
        <f>_xlfn.XLOOKUP(AH332,menu!$O$2:$O$9,menu!$H$2:$H$9,"")</f>
        <v>Medium</v>
      </c>
      <c r="AH332" s="81" t="s">
        <v>72</v>
      </c>
      <c r="AI332" t="str">
        <f>_xlfn.LET(_xlpm.x,_xlfn.CONCAT(_xlfn.XLOOKUP(D332,beans!$A$2:$A$300,beans!$J$2:$J$300,"")," / ",_xlfn.XLOOKUP(D332,beans!$A$2:$A$300,beans!$K$2:$K$300,"")," - ",_xlfn.XLOOKUP(D332,beans!$A$2:$A$300,beans!$L$2:$L$300,"")),IF(_xlpm.x=" /  - ","",_xlpm.x))</f>
        <v>安提瓜 (Antiqua) / 拉米妮塔 花神 - Peaberry</v>
      </c>
      <c r="AJ332" s="23" t="s">
        <v>605</v>
      </c>
    </row>
    <row r="333" spans="1:36" x14ac:dyDescent="0.3">
      <c r="A333">
        <v>316</v>
      </c>
      <c r="B333">
        <v>250</v>
      </c>
      <c r="D333">
        <v>65</v>
      </c>
      <c r="E333" t="str">
        <f>_xlfn.LET(_xlpm.x,_xlfn.XLOOKUP(D333,beans!$A$2:$A$300,beans!$H$2:$H$300,""),IF(_xlpm.x="","",_xlpm.x))</f>
        <v>衣索比亞</v>
      </c>
      <c r="F333" s="22" t="str">
        <f>_xlfn.XLOOKUP(E333,menu!$A$2:$A$37,menu!$B$2:$B$37,"")</f>
        <v>Ethiopia</v>
      </c>
      <c r="G333" t="str">
        <f>_xlfn.XLOOKUP(E333,menu!$A$2:$A$37,menu!$C$2:$C$37,"")</f>
        <v>eth</v>
      </c>
      <c r="H333" t="str">
        <f>_xlfn.LET(_xlpm.x,_xlfn.XLOOKUP(_xlfn.XLOOKUP(D333,beans!$A$2:$A$300,beans!$I$2:$I$300),menu!$E$2:$E$20,menu!$F$2:$F$20),IF(_xlpm.x="","",_xlpm.x))</f>
        <v>natural</v>
      </c>
      <c r="I333">
        <v>200</v>
      </c>
      <c r="J333">
        <v>70</v>
      </c>
      <c r="K333">
        <v>40</v>
      </c>
      <c r="L333">
        <v>60</v>
      </c>
      <c r="M333" s="68" t="s">
        <v>121</v>
      </c>
      <c r="N333">
        <v>88.7</v>
      </c>
      <c r="P333" s="67" t="s">
        <v>354</v>
      </c>
      <c r="Q333" s="68">
        <v>207</v>
      </c>
      <c r="R333" s="67" t="s">
        <v>532</v>
      </c>
      <c r="S333" s="68">
        <v>219.3</v>
      </c>
      <c r="T333" s="68">
        <f t="shared" si="50"/>
        <v>12.300000000000011</v>
      </c>
      <c r="U333">
        <f t="shared" si="46"/>
        <v>60</v>
      </c>
      <c r="V333">
        <f t="shared" si="51"/>
        <v>12.3</v>
      </c>
      <c r="W333">
        <f t="shared" si="47"/>
        <v>8.84</v>
      </c>
      <c r="X333" s="19">
        <v>45528</v>
      </c>
      <c r="Y333" s="26">
        <v>213.7</v>
      </c>
      <c r="Z333" s="61">
        <v>0</v>
      </c>
      <c r="AB333" s="28">
        <f t="shared" si="48"/>
        <v>0.14520000000000005</v>
      </c>
      <c r="AC333" s="110">
        <v>48.8</v>
      </c>
      <c r="AD333" s="26">
        <v>69</v>
      </c>
      <c r="AE333" s="61">
        <f t="shared" si="49"/>
        <v>20.200000000000003</v>
      </c>
      <c r="AF333" s="77" t="str">
        <f>_xlfn.XLOOKUP(AD333,menu!$K$2:$K$9,menu!$J$2:$J$9,"",1)</f>
        <v>中淺</v>
      </c>
      <c r="AG333" s="80" t="str">
        <f>_xlfn.XLOOKUP(AH333,menu!$O$2:$O$9,menu!$H$2:$H$9,"")</f>
        <v>Medium</v>
      </c>
      <c r="AH333" s="81" t="s">
        <v>72</v>
      </c>
      <c r="AI333" t="str">
        <f>_xlfn.LET(_xlpm.x,_xlfn.CONCAT(_xlfn.XLOOKUP(D333,beans!$A$2:$A$300,beans!$J$2:$J$300,"")," / ",_xlfn.XLOOKUP(D333,beans!$A$2:$A$300,beans!$K$2:$K$300,"")," - ",_xlfn.XLOOKUP(D333,beans!$A$2:$A$300,beans!$L$2:$L$300,"")),IF(_xlpm.x=" /  - ","",_xlpm.x))</f>
        <v>耶加雪菲 / 科契爾 - 牧羊人 - 原生種</v>
      </c>
      <c r="AJ333" s="23" t="s">
        <v>606</v>
      </c>
    </row>
    <row r="334" spans="1:36" x14ac:dyDescent="0.3">
      <c r="A334">
        <v>317</v>
      </c>
      <c r="B334">
        <v>230</v>
      </c>
      <c r="D334">
        <v>23</v>
      </c>
      <c r="E334" t="str">
        <f>_xlfn.LET(_xlpm.x,_xlfn.XLOOKUP(D334,beans!$A$2:$A$300,beans!$H$2:$H$300,""),IF(_xlpm.x="","",_xlpm.x))</f>
        <v>衣索比亞</v>
      </c>
      <c r="F334" s="22" t="str">
        <f>_xlfn.XLOOKUP(E334,menu!$A$2:$A$37,menu!$B$2:$B$37,"")</f>
        <v>Ethiopia</v>
      </c>
      <c r="G334" t="str">
        <f>_xlfn.XLOOKUP(E334,menu!$A$2:$A$37,menu!$C$2:$C$37,"")</f>
        <v>eth</v>
      </c>
      <c r="H334" t="str">
        <f>_xlfn.LET(_xlpm.x,_xlfn.XLOOKUP(_xlfn.XLOOKUP(D334,beans!$A$2:$A$300,beans!$I$2:$I$300),menu!$E$2:$E$20,menu!$F$2:$F$20),IF(_xlpm.x="","",_xlpm.x))</f>
        <v>natural</v>
      </c>
      <c r="I334">
        <v>200</v>
      </c>
      <c r="J334">
        <v>80</v>
      </c>
      <c r="K334">
        <v>40</v>
      </c>
      <c r="L334">
        <v>70</v>
      </c>
      <c r="M334" s="68" t="s">
        <v>125</v>
      </c>
      <c r="N334">
        <v>95.4</v>
      </c>
      <c r="P334" s="67" t="s">
        <v>581</v>
      </c>
      <c r="Q334" s="68">
        <v>206.6</v>
      </c>
      <c r="R334" s="67" t="s">
        <v>164</v>
      </c>
      <c r="S334" s="68">
        <v>217.4</v>
      </c>
      <c r="T334" s="68">
        <f t="shared" si="50"/>
        <v>10.800000000000011</v>
      </c>
      <c r="U334">
        <f t="shared" si="46"/>
        <v>56</v>
      </c>
      <c r="V334">
        <f t="shared" si="51"/>
        <v>11.6</v>
      </c>
      <c r="W334">
        <f t="shared" si="47"/>
        <v>9.4600000000000009</v>
      </c>
      <c r="X334" s="19">
        <v>45528</v>
      </c>
      <c r="Y334" s="26">
        <v>202.6</v>
      </c>
      <c r="Z334" s="61">
        <v>0</v>
      </c>
      <c r="AB334" s="28">
        <f t="shared" si="48"/>
        <v>0.11913043478260872</v>
      </c>
      <c r="AC334" s="110">
        <v>62</v>
      </c>
      <c r="AD334" s="26">
        <v>79.099999999999994</v>
      </c>
      <c r="AE334" s="61">
        <f t="shared" si="49"/>
        <v>17.099999999999994</v>
      </c>
      <c r="AF334" s="77" t="str">
        <f>_xlfn.XLOOKUP(AD334,menu!$K$2:$K$9,menu!$J$2:$J$9,"",1)</f>
        <v>淺</v>
      </c>
      <c r="AG334" s="80" t="str">
        <f>_xlfn.XLOOKUP(AH334,menu!$O$2:$O$9,menu!$H$2:$H$9,"")</f>
        <v>Cinamon</v>
      </c>
      <c r="AH334" s="81" t="s">
        <v>78</v>
      </c>
      <c r="AI334" t="str">
        <f>_xlfn.LET(_xlpm.x,_xlfn.CONCAT(_xlfn.XLOOKUP(D334,beans!$A$2:$A$300,beans!$J$2:$J$300,"")," / ",_xlfn.XLOOKUP(D334,beans!$A$2:$A$300,beans!$K$2:$K$300,"")," - ",_xlfn.XLOOKUP(D334,beans!$A$2:$A$300,beans!$L$2:$L$300,"")),IF(_xlpm.x=" /  - ","",_xlpm.x))</f>
        <v>古吉 / 安朵拉 - Heirloom</v>
      </c>
      <c r="AJ334" s="23" t="s">
        <v>607</v>
      </c>
    </row>
    <row r="335" spans="1:36" x14ac:dyDescent="0.3">
      <c r="A335">
        <v>318</v>
      </c>
      <c r="B335">
        <v>250</v>
      </c>
      <c r="D335">
        <v>12</v>
      </c>
      <c r="E335" t="str">
        <f>_xlfn.LET(_xlpm.x,_xlfn.XLOOKUP(D335,beans!$A$2:$A$300,beans!$H$2:$H$300,""),IF(_xlpm.x="","",_xlpm.x))</f>
        <v>尼加拉瓜</v>
      </c>
      <c r="F335" s="22" t="str">
        <f>_xlfn.XLOOKUP(E335,menu!$A$2:$A$37,menu!$B$2:$B$37,"")</f>
        <v>Nicaragua</v>
      </c>
      <c r="G335" t="str">
        <f>_xlfn.XLOOKUP(E335,menu!$A$2:$A$37,menu!$C$2:$C$37,"")</f>
        <v>nic</v>
      </c>
      <c r="H335" t="str">
        <f>_xlfn.LET(_xlpm.x,_xlfn.XLOOKUP(_xlfn.XLOOKUP(D335,beans!$A$2:$A$300,beans!$I$2:$I$300),menu!$E$2:$E$20,menu!$F$2:$F$20),IF(_xlpm.x="","",_xlpm.x))</f>
        <v>natural</v>
      </c>
      <c r="I335">
        <v>200</v>
      </c>
      <c r="J335">
        <v>80</v>
      </c>
      <c r="K335">
        <v>40</v>
      </c>
      <c r="L335">
        <v>70</v>
      </c>
      <c r="M335" s="68" t="s">
        <v>109</v>
      </c>
      <c r="N335">
        <v>92.6</v>
      </c>
      <c r="P335" s="67" t="s">
        <v>126</v>
      </c>
      <c r="Q335" s="68">
        <v>206.6</v>
      </c>
      <c r="R335" s="67" t="s">
        <v>420</v>
      </c>
      <c r="S335" s="68">
        <v>218.3</v>
      </c>
      <c r="T335" s="68">
        <f t="shared" si="50"/>
        <v>11.700000000000017</v>
      </c>
      <c r="U335">
        <f t="shared" si="46"/>
        <v>59</v>
      </c>
      <c r="V335">
        <f t="shared" si="51"/>
        <v>11.9</v>
      </c>
      <c r="W335">
        <f t="shared" si="47"/>
        <v>9.4600000000000009</v>
      </c>
      <c r="X335" s="19">
        <v>45528</v>
      </c>
      <c r="Y335" s="26">
        <v>213.2</v>
      </c>
      <c r="Z335" s="61">
        <v>0</v>
      </c>
      <c r="AB335" s="28">
        <f t="shared" si="48"/>
        <v>0.14720000000000005</v>
      </c>
      <c r="AC335" s="110">
        <v>60.2</v>
      </c>
      <c r="AD335" s="26">
        <v>69.8</v>
      </c>
      <c r="AE335" s="61">
        <f t="shared" si="49"/>
        <v>9.5999999999999943</v>
      </c>
      <c r="AF335" s="77" t="str">
        <f>_xlfn.XLOOKUP(AD335,menu!$K$2:$K$9,menu!$J$2:$J$9,"",1)</f>
        <v>中淺</v>
      </c>
      <c r="AG335" s="80" t="str">
        <f>_xlfn.XLOOKUP(AH335,menu!$O$2:$O$9,menu!$H$2:$H$9,"")</f>
        <v>Medium</v>
      </c>
      <c r="AH335" s="81" t="s">
        <v>72</v>
      </c>
      <c r="AI335" t="str">
        <f>_xlfn.LET(_xlpm.x,_xlfn.CONCAT(_xlfn.XLOOKUP(D335,beans!$A$2:$A$300,beans!$J$2:$J$300,"")," / ",_xlfn.XLOOKUP(D335,beans!$A$2:$A$300,beans!$K$2:$K$300,"")," - ",_xlfn.XLOOKUP(D335,beans!$A$2:$A$300,beans!$L$2:$L$300,"")),IF(_xlpm.x=" /  - ","",_xlpm.x))</f>
        <v>希諾特加 / 暮光女神 - 卡杜拉</v>
      </c>
      <c r="AJ335" s="23" t="s">
        <v>608</v>
      </c>
    </row>
    <row r="336" spans="1:36" x14ac:dyDescent="0.3">
      <c r="A336">
        <v>319</v>
      </c>
      <c r="B336">
        <v>250</v>
      </c>
      <c r="D336">
        <v>66</v>
      </c>
      <c r="E336" t="str">
        <f>_xlfn.LET(_xlpm.x,_xlfn.XLOOKUP(D336,beans!$A$2:$A$300,beans!$H$2:$H$300,""),IF(_xlpm.x="","",_xlpm.x))</f>
        <v>哥斯大黎加</v>
      </c>
      <c r="F336" s="22" t="str">
        <f>_xlfn.XLOOKUP(E336,menu!$A$2:$A$37,menu!$B$2:$B$37,"")</f>
        <v>Costa Rica</v>
      </c>
      <c r="G336" t="str">
        <f>_xlfn.XLOOKUP(E336,menu!$A$2:$A$37,menu!$C$2:$C$37,"")</f>
        <v>cri</v>
      </c>
      <c r="H336" t="str">
        <f>_xlfn.LET(_xlpm.x,_xlfn.XLOOKUP(_xlfn.XLOOKUP(D336,beans!$A$2:$A$300,beans!$I$2:$I$300),menu!$E$2:$E$20,menu!$F$2:$F$20),IF(_xlpm.x="","",_xlpm.x))</f>
        <v>raisin-honey</v>
      </c>
      <c r="I336">
        <v>200</v>
      </c>
      <c r="J336">
        <v>80</v>
      </c>
      <c r="K336">
        <v>40</v>
      </c>
      <c r="L336">
        <v>70</v>
      </c>
      <c r="M336" s="68" t="s">
        <v>75</v>
      </c>
      <c r="N336">
        <v>92.8</v>
      </c>
      <c r="P336" s="67" t="s">
        <v>171</v>
      </c>
      <c r="Q336" s="68">
        <v>205.8</v>
      </c>
      <c r="R336" s="67" t="s">
        <v>488</v>
      </c>
      <c r="S336" s="68">
        <v>218.5</v>
      </c>
      <c r="T336" s="68">
        <f t="shared" si="50"/>
        <v>12.699999999999989</v>
      </c>
      <c r="U336">
        <f t="shared" si="46"/>
        <v>68</v>
      </c>
      <c r="V336">
        <f t="shared" si="51"/>
        <v>11.2</v>
      </c>
      <c r="W336">
        <f t="shared" si="47"/>
        <v>10.83</v>
      </c>
      <c r="X336" s="19">
        <v>45528</v>
      </c>
      <c r="Y336" s="26">
        <v>213.8</v>
      </c>
      <c r="Z336" s="61">
        <v>0</v>
      </c>
      <c r="AB336" s="28">
        <f t="shared" si="48"/>
        <v>0.14479999999999996</v>
      </c>
      <c r="AC336" s="110">
        <v>52.2</v>
      </c>
      <c r="AD336" s="26">
        <v>64.099999999999994</v>
      </c>
      <c r="AE336" s="61">
        <f t="shared" si="49"/>
        <v>11.899999999999991</v>
      </c>
      <c r="AF336" s="77" t="str">
        <f>_xlfn.XLOOKUP(AD336,menu!$K$2:$K$9,menu!$J$2:$J$9,"",1)</f>
        <v>中淺</v>
      </c>
      <c r="AG336" s="80" t="str">
        <f>_xlfn.XLOOKUP(AH336,menu!$O$2:$O$9,menu!$H$2:$H$9,"")</f>
        <v>Medium</v>
      </c>
      <c r="AH336" s="81" t="s">
        <v>72</v>
      </c>
      <c r="AI336" t="str">
        <f>_xlfn.LET(_xlpm.x,_xlfn.CONCAT(_xlfn.XLOOKUP(D336,beans!$A$2:$A$300,beans!$J$2:$J$300,"")," / ",_xlfn.XLOOKUP(D336,beans!$A$2:$A$300,beans!$K$2:$K$300,"")," - ",_xlfn.XLOOKUP(D336,beans!$A$2:$A$300,beans!$L$2:$L$300,"")),IF(_xlpm.x=" /  - ","",_xlpm.x))</f>
        <v>La Isla / 小島極緻 - 維拉莎奇</v>
      </c>
      <c r="AJ336" s="23" t="s">
        <v>605</v>
      </c>
    </row>
    <row r="337" spans="1:36" x14ac:dyDescent="0.3">
      <c r="A337">
        <v>320</v>
      </c>
      <c r="B337">
        <v>250</v>
      </c>
      <c r="D337">
        <v>68</v>
      </c>
      <c r="E337" t="str">
        <f>_xlfn.LET(_xlpm.x,_xlfn.XLOOKUP(D337,beans!$A$2:$A$300,beans!$H$2:$H$300,""),IF(_xlpm.x="","",_xlpm.x))</f>
        <v>哥倫比亞</v>
      </c>
      <c r="F337" s="22" t="str">
        <f>_xlfn.XLOOKUP(E337,menu!$A$2:$A$37,menu!$B$2:$B$37,"")</f>
        <v>Colombia</v>
      </c>
      <c r="G337" t="str">
        <f>_xlfn.XLOOKUP(E337,menu!$A$2:$A$37,menu!$C$2:$C$37,"")</f>
        <v>col</v>
      </c>
      <c r="H337" t="str">
        <f>_xlfn.LET(_xlpm.x,_xlfn.XLOOKUP(_xlfn.XLOOKUP(D337,beans!$A$2:$A$300,beans!$I$2:$I$300),menu!$E$2:$E$20,menu!$F$2:$F$20),IF(_xlpm.x="","",_xlpm.x))</f>
        <v>Anaerobic Natural</v>
      </c>
      <c r="I337">
        <v>200</v>
      </c>
      <c r="J337">
        <v>80</v>
      </c>
      <c r="K337">
        <v>40</v>
      </c>
      <c r="L337">
        <v>70</v>
      </c>
      <c r="M337" s="68" t="s">
        <v>157</v>
      </c>
      <c r="N337">
        <v>95.6</v>
      </c>
      <c r="P337" s="67" t="s">
        <v>560</v>
      </c>
      <c r="Q337" s="68">
        <v>204.4</v>
      </c>
      <c r="R337" s="67" t="s">
        <v>554</v>
      </c>
      <c r="S337" s="68">
        <v>214.7</v>
      </c>
      <c r="T337" s="68">
        <f t="shared" si="50"/>
        <v>10.299999999999983</v>
      </c>
      <c r="U337">
        <f t="shared" si="46"/>
        <v>50</v>
      </c>
      <c r="V337">
        <f t="shared" si="51"/>
        <v>12.4</v>
      </c>
      <c r="W337">
        <f t="shared" si="47"/>
        <v>8.33</v>
      </c>
      <c r="X337" s="19">
        <v>45528</v>
      </c>
      <c r="Y337" s="26">
        <v>211.2</v>
      </c>
      <c r="Z337" s="61">
        <v>0</v>
      </c>
      <c r="AB337" s="28">
        <f t="shared" si="48"/>
        <v>0.15520000000000003</v>
      </c>
      <c r="AC337" s="110">
        <v>61.8</v>
      </c>
      <c r="AD337" s="26">
        <v>77.400000000000006</v>
      </c>
      <c r="AE337" s="61">
        <f t="shared" si="49"/>
        <v>15.600000000000009</v>
      </c>
      <c r="AF337" s="77" t="str">
        <f>_xlfn.XLOOKUP(AD337,menu!$K$2:$K$9,menu!$J$2:$J$9,"",1)</f>
        <v>淺</v>
      </c>
      <c r="AG337" s="80" t="str">
        <f>_xlfn.XLOOKUP(AH337,menu!$O$2:$O$9,menu!$H$2:$H$9,"")</f>
        <v>Cinamon</v>
      </c>
      <c r="AH337" s="81" t="s">
        <v>78</v>
      </c>
      <c r="AI337" t="str">
        <f>_xlfn.LET(_xlpm.x,_xlfn.CONCAT(_xlfn.XLOOKUP(D337,beans!$A$2:$A$300,beans!$J$2:$J$300,"")," / ",_xlfn.XLOOKUP(D337,beans!$A$2:$A$300,beans!$K$2:$K$300,"")," - ",_xlfn.XLOOKUP(D337,beans!$A$2:$A$300,beans!$L$2:$L$300,"")),IF(_xlpm.x=" /  - ","",_xlpm.x))</f>
        <v xml:space="preserve"> / 天堂莊園-日出桂花香 - </v>
      </c>
      <c r="AJ337" s="23" t="s">
        <v>609</v>
      </c>
    </row>
    <row r="338" spans="1:36" x14ac:dyDescent="0.3">
      <c r="A338">
        <v>321</v>
      </c>
      <c r="B338">
        <v>500</v>
      </c>
      <c r="D338">
        <v>53</v>
      </c>
      <c r="E338" t="str">
        <f>_xlfn.LET(_xlpm.x,_xlfn.XLOOKUP(D338,beans!$A$2:$A$300,beans!$H$2:$H$300,""),IF(_xlpm.x="","",_xlpm.x))</f>
        <v>衣索比亞</v>
      </c>
      <c r="F338" s="22" t="str">
        <f>_xlfn.XLOOKUP(E338,menu!$A$2:$A$37,menu!$B$2:$B$37,"")</f>
        <v>Ethiopia</v>
      </c>
      <c r="G338" t="str">
        <f>_xlfn.XLOOKUP(E338,menu!$A$2:$A$37,menu!$C$2:$C$37,"")</f>
        <v>eth</v>
      </c>
      <c r="H338" t="str">
        <f>_xlfn.LET(_xlpm.x,_xlfn.XLOOKUP(_xlfn.XLOOKUP(D338,beans!$A$2:$A$300,beans!$I$2:$I$300),menu!$E$2:$E$20,menu!$F$2:$F$20),IF(_xlpm.x="","",_xlpm.x))</f>
        <v>Anaerobic Natural</v>
      </c>
      <c r="I338">
        <v>200</v>
      </c>
      <c r="J338">
        <v>75</v>
      </c>
      <c r="K338">
        <v>35</v>
      </c>
      <c r="L338">
        <v>90</v>
      </c>
      <c r="M338" s="68" t="s">
        <v>190</v>
      </c>
      <c r="N338">
        <v>84</v>
      </c>
      <c r="P338" s="67" t="s">
        <v>610</v>
      </c>
      <c r="Q338" s="68">
        <v>196</v>
      </c>
      <c r="R338" s="67" t="s">
        <v>611</v>
      </c>
      <c r="S338" s="68">
        <v>219.7</v>
      </c>
      <c r="T338" s="68">
        <f t="shared" si="50"/>
        <v>23.699999999999989</v>
      </c>
      <c r="U338">
        <f t="shared" si="46"/>
        <v>99</v>
      </c>
      <c r="V338">
        <f t="shared" si="51"/>
        <v>14.4</v>
      </c>
      <c r="W338">
        <f t="shared" si="47"/>
        <v>15.69</v>
      </c>
      <c r="X338" s="19">
        <v>45530</v>
      </c>
      <c r="Y338" s="26">
        <v>428</v>
      </c>
      <c r="Z338" s="61">
        <v>0</v>
      </c>
      <c r="AB338" s="28">
        <f t="shared" si="48"/>
        <v>0.14399999999999999</v>
      </c>
      <c r="AC338" s="110">
        <v>42.1</v>
      </c>
      <c r="AD338" s="26">
        <v>67</v>
      </c>
      <c r="AE338" s="61">
        <f t="shared" si="49"/>
        <v>24.9</v>
      </c>
      <c r="AF338" s="77" t="str">
        <f>_xlfn.XLOOKUP(AD338,menu!$K$2:$K$9,menu!$J$2:$J$9,"",1)</f>
        <v>中淺</v>
      </c>
      <c r="AG338" s="80" t="str">
        <f>_xlfn.XLOOKUP(AH338,menu!$O$2:$O$9,menu!$H$2:$H$9,"")</f>
        <v/>
      </c>
      <c r="AI338" t="str">
        <f>_xlfn.LET(_xlpm.x,_xlfn.CONCAT(_xlfn.XLOOKUP(D338,beans!$A$2:$A$300,beans!$J$2:$J$300,"")," / ",_xlfn.XLOOKUP(D338,beans!$A$2:$A$300,beans!$K$2:$K$300,"")," - ",_xlfn.XLOOKUP(D338,beans!$A$2:$A$300,beans!$L$2:$L$300,"")),IF(_xlpm.x=" /  - ","",_xlpm.x))</f>
        <v>耶加雪菲 / 切切雷(Chelchele) - 原生種</v>
      </c>
      <c r="AJ338" s="23" t="s">
        <v>612</v>
      </c>
    </row>
    <row r="339" spans="1:36" x14ac:dyDescent="0.3">
      <c r="A339">
        <v>322</v>
      </c>
      <c r="B339">
        <v>500</v>
      </c>
      <c r="D339">
        <v>53</v>
      </c>
      <c r="E339" t="str">
        <f>_xlfn.LET(_xlpm.x,_xlfn.XLOOKUP(D339,beans!$A$2:$A$300,beans!$H$2:$H$300,""),IF(_xlpm.x="","",_xlpm.x))</f>
        <v>衣索比亞</v>
      </c>
      <c r="F339" s="22" t="str">
        <f>_xlfn.XLOOKUP(E339,menu!$A$2:$A$37,menu!$B$2:$B$37,"")</f>
        <v>Ethiopia</v>
      </c>
      <c r="G339" t="str">
        <f>_xlfn.XLOOKUP(E339,menu!$A$2:$A$37,menu!$C$2:$C$37,"")</f>
        <v>eth</v>
      </c>
      <c r="H339" t="str">
        <f>_xlfn.LET(_xlpm.x,_xlfn.XLOOKUP(_xlfn.XLOOKUP(D339,beans!$A$2:$A$300,beans!$I$2:$I$300),menu!$E$2:$E$20,menu!$F$2:$F$20),IF(_xlpm.x="","",_xlpm.x))</f>
        <v>Anaerobic Natural</v>
      </c>
      <c r="I339">
        <v>200</v>
      </c>
      <c r="J339">
        <v>75</v>
      </c>
      <c r="K339">
        <v>35</v>
      </c>
      <c r="L339">
        <v>90</v>
      </c>
      <c r="M339" s="68" t="s">
        <v>54</v>
      </c>
      <c r="N339">
        <v>88.8</v>
      </c>
      <c r="P339" s="67" t="s">
        <v>610</v>
      </c>
      <c r="Q339" s="68">
        <v>201</v>
      </c>
      <c r="R339" s="67" t="s">
        <v>613</v>
      </c>
      <c r="S339" s="68">
        <v>220.3</v>
      </c>
      <c r="T339" s="68">
        <f t="shared" si="50"/>
        <v>19.300000000000011</v>
      </c>
      <c r="U339">
        <f t="shared" si="46"/>
        <v>72</v>
      </c>
      <c r="V339">
        <f t="shared" si="51"/>
        <v>16.100000000000001</v>
      </c>
      <c r="W339">
        <f t="shared" si="47"/>
        <v>11.92</v>
      </c>
      <c r="X339" s="19">
        <v>45530</v>
      </c>
      <c r="Y339" s="26">
        <v>424</v>
      </c>
      <c r="Z339" s="61">
        <v>0</v>
      </c>
      <c r="AB339" s="28">
        <f t="shared" si="48"/>
        <v>0.152</v>
      </c>
      <c r="AE339" s="61" t="str">
        <f t="shared" si="49"/>
        <v/>
      </c>
      <c r="AF339" s="77" t="str">
        <f>_xlfn.XLOOKUP(AD339,menu!$K$2:$K$9,menu!$J$2:$J$9,"",1)</f>
        <v/>
      </c>
      <c r="AG339" s="80" t="str">
        <f>_xlfn.XLOOKUP(AH339,menu!$O$2:$O$9,menu!$H$2:$H$9,"")</f>
        <v/>
      </c>
      <c r="AI339" t="str">
        <f>_xlfn.LET(_xlpm.x,_xlfn.CONCAT(_xlfn.XLOOKUP(D339,beans!$A$2:$A$300,beans!$J$2:$J$300,"")," / ",_xlfn.XLOOKUP(D339,beans!$A$2:$A$300,beans!$K$2:$K$300,"")," - ",_xlfn.XLOOKUP(D339,beans!$A$2:$A$300,beans!$L$2:$L$300,"")),IF(_xlpm.x=" /  - ","",_xlpm.x))</f>
        <v>耶加雪菲 / 切切雷(Chelchele) - 原生種</v>
      </c>
      <c r="AJ339" s="23" t="s">
        <v>612</v>
      </c>
    </row>
    <row r="340" spans="1:36" x14ac:dyDescent="0.3">
      <c r="A340">
        <v>323</v>
      </c>
      <c r="B340">
        <v>500</v>
      </c>
      <c r="D340">
        <v>2</v>
      </c>
      <c r="E340" t="str">
        <f>_xlfn.LET(_xlpm.x,_xlfn.XLOOKUP(D340,beans!$A$2:$A$300,beans!$H$2:$H$300,""),IF(_xlpm.x="","",_xlpm.x))</f>
        <v>哥斯大黎加</v>
      </c>
      <c r="F340" s="22" t="str">
        <f>_xlfn.XLOOKUP(E340,menu!$A$2:$A$37,menu!$B$2:$B$37,"")</f>
        <v>Costa Rica</v>
      </c>
      <c r="G340" t="str">
        <f>_xlfn.XLOOKUP(E340,menu!$A$2:$A$37,menu!$C$2:$C$37,"")</f>
        <v>cri</v>
      </c>
      <c r="H340" t="str">
        <f>_xlfn.LET(_xlpm.x,_xlfn.XLOOKUP(_xlfn.XLOOKUP(D340,beans!$A$2:$A$300,beans!$I$2:$I$300),menu!$E$2:$E$20,menu!$F$2:$F$20),IF(_xlpm.x="","",_xlpm.x))</f>
        <v>raisin-honey</v>
      </c>
      <c r="I340">
        <v>200</v>
      </c>
      <c r="J340">
        <v>75</v>
      </c>
      <c r="K340">
        <v>35</v>
      </c>
      <c r="L340">
        <v>90</v>
      </c>
      <c r="M340" s="68" t="s">
        <v>229</v>
      </c>
      <c r="N340">
        <v>83.1</v>
      </c>
      <c r="P340" s="67" t="s">
        <v>610</v>
      </c>
      <c r="Q340" s="68">
        <v>199</v>
      </c>
      <c r="R340" s="67" t="s">
        <v>614</v>
      </c>
      <c r="S340" s="68">
        <v>218.1</v>
      </c>
      <c r="T340" s="68">
        <f t="shared" si="50"/>
        <v>19.099999999999994</v>
      </c>
      <c r="U340">
        <f t="shared" si="46"/>
        <v>97</v>
      </c>
      <c r="V340">
        <f t="shared" si="51"/>
        <v>11.8</v>
      </c>
      <c r="W340">
        <f t="shared" si="47"/>
        <v>15.42</v>
      </c>
      <c r="X340" s="19">
        <v>45530</v>
      </c>
      <c r="Y340" s="26">
        <v>434</v>
      </c>
      <c r="Z340" s="61">
        <v>0</v>
      </c>
      <c r="AB340" s="28">
        <f t="shared" si="48"/>
        <v>0.13200000000000001</v>
      </c>
      <c r="AE340" s="61" t="str">
        <f t="shared" si="49"/>
        <v/>
      </c>
      <c r="AF340" s="77" t="str">
        <f>_xlfn.XLOOKUP(AD340,menu!$K$2:$K$9,menu!$J$2:$J$9,"",1)</f>
        <v/>
      </c>
      <c r="AG340" s="80" t="str">
        <f>_xlfn.XLOOKUP(AH340,menu!$O$2:$O$9,menu!$H$2:$H$9,"")</f>
        <v/>
      </c>
      <c r="AI340" t="str">
        <f>_xlfn.LET(_xlpm.x,_xlfn.CONCAT(_xlfn.XLOOKUP(D340,beans!$A$2:$A$300,beans!$J$2:$J$300,"")," / ",_xlfn.XLOOKUP(D340,beans!$A$2:$A$300,beans!$K$2:$K$300,"")," - ",_xlfn.XLOOKUP(D340,beans!$A$2:$A$300,beans!$L$2:$L$300,"")),IF(_xlpm.x=" /  - ","",_xlpm.x))</f>
        <v xml:space="preserve">Tarrazu / 卡內特 音樂家系列 莫札特 - </v>
      </c>
      <c r="AJ340" s="23" t="s">
        <v>612</v>
      </c>
    </row>
    <row r="341" spans="1:36" x14ac:dyDescent="0.3">
      <c r="A341">
        <v>324</v>
      </c>
      <c r="B341">
        <v>492</v>
      </c>
      <c r="D341">
        <v>2</v>
      </c>
      <c r="E341" t="str">
        <f>_xlfn.LET(_xlpm.x,_xlfn.XLOOKUP(D341,beans!$A$2:$A$300,beans!$H$2:$H$300,""),IF(_xlpm.x="","",_xlpm.x))</f>
        <v>哥斯大黎加</v>
      </c>
      <c r="F341" s="22" t="str">
        <f>_xlfn.XLOOKUP(E341,menu!$A$2:$A$37,menu!$B$2:$B$37,"")</f>
        <v>Costa Rica</v>
      </c>
      <c r="G341" t="str">
        <f>_xlfn.XLOOKUP(E341,menu!$A$2:$A$37,menu!$C$2:$C$37,"")</f>
        <v>cri</v>
      </c>
      <c r="H341" t="str">
        <f>_xlfn.LET(_xlpm.x,_xlfn.XLOOKUP(_xlfn.XLOOKUP(D341,beans!$A$2:$A$300,beans!$I$2:$I$300),menu!$E$2:$E$20,menu!$F$2:$F$20),IF(_xlpm.x="","",_xlpm.x))</f>
        <v>raisin-honey</v>
      </c>
      <c r="I341">
        <v>200</v>
      </c>
      <c r="J341">
        <v>75</v>
      </c>
      <c r="K341">
        <v>35</v>
      </c>
      <c r="L341">
        <v>90</v>
      </c>
      <c r="M341" s="68" t="s">
        <v>213</v>
      </c>
      <c r="N341">
        <v>87.3</v>
      </c>
      <c r="P341" s="67" t="s">
        <v>615</v>
      </c>
      <c r="Q341" s="68">
        <v>198.9</v>
      </c>
      <c r="R341" s="67" t="s">
        <v>386</v>
      </c>
      <c r="S341" s="68">
        <v>220.8</v>
      </c>
      <c r="T341" s="68">
        <f t="shared" si="50"/>
        <v>21.900000000000006</v>
      </c>
      <c r="U341">
        <f t="shared" si="46"/>
        <v>111</v>
      </c>
      <c r="V341">
        <f t="shared" si="51"/>
        <v>11.8</v>
      </c>
      <c r="W341">
        <f t="shared" si="47"/>
        <v>16.72</v>
      </c>
      <c r="X341" s="19">
        <v>45530</v>
      </c>
      <c r="Y341" s="26">
        <v>424</v>
      </c>
      <c r="Z341" s="61">
        <v>0</v>
      </c>
      <c r="AB341" s="28">
        <f t="shared" si="48"/>
        <v>0.13821138211382114</v>
      </c>
      <c r="AE341" s="61" t="str">
        <f t="shared" si="49"/>
        <v/>
      </c>
      <c r="AF341" s="77" t="str">
        <f>_xlfn.XLOOKUP(AD341,menu!$K$2:$K$9,menu!$J$2:$J$9,"",1)</f>
        <v/>
      </c>
      <c r="AG341" s="80" t="str">
        <f>_xlfn.XLOOKUP(AH341,menu!$O$2:$O$9,menu!$H$2:$H$9,"")</f>
        <v/>
      </c>
      <c r="AI341" t="str">
        <f>_xlfn.LET(_xlpm.x,_xlfn.CONCAT(_xlfn.XLOOKUP(D341,beans!$A$2:$A$300,beans!$J$2:$J$300,"")," / ",_xlfn.XLOOKUP(D341,beans!$A$2:$A$300,beans!$K$2:$K$300,"")," - ",_xlfn.XLOOKUP(D341,beans!$A$2:$A$300,beans!$L$2:$L$300,"")),IF(_xlpm.x=" /  - ","",_xlpm.x))</f>
        <v xml:space="preserve">Tarrazu / 卡內特 音樂家系列 莫札特 - </v>
      </c>
      <c r="AJ341" s="23" t="s">
        <v>612</v>
      </c>
    </row>
    <row r="342" spans="1:36" x14ac:dyDescent="0.3">
      <c r="A342">
        <v>325</v>
      </c>
      <c r="B342">
        <v>500</v>
      </c>
      <c r="D342">
        <v>63</v>
      </c>
      <c r="E342" t="str">
        <f>_xlfn.LET(_xlpm.x,_xlfn.XLOOKUP(D342,beans!$A$2:$A$300,beans!$H$2:$H$300,""),IF(_xlpm.x="","",_xlpm.x))</f>
        <v>衣索比亞</v>
      </c>
      <c r="F342" s="22" t="str">
        <f>_xlfn.XLOOKUP(E342,menu!$A$2:$A$37,menu!$B$2:$B$37,"")</f>
        <v>Ethiopia</v>
      </c>
      <c r="G342" t="str">
        <f>_xlfn.XLOOKUP(E342,menu!$A$2:$A$37,menu!$C$2:$C$37,"")</f>
        <v>eth</v>
      </c>
      <c r="H342" t="str">
        <f>_xlfn.LET(_xlpm.x,_xlfn.XLOOKUP(_xlfn.XLOOKUP(D342,beans!$A$2:$A$300,beans!$I$2:$I$300),menu!$E$2:$E$20,menu!$F$2:$F$20),IF(_xlpm.x="","",_xlpm.x))</f>
        <v>washed</v>
      </c>
      <c r="I342">
        <v>200</v>
      </c>
      <c r="J342">
        <v>85</v>
      </c>
      <c r="K342">
        <v>35</v>
      </c>
      <c r="L342">
        <v>90</v>
      </c>
      <c r="M342" s="68" t="s">
        <v>160</v>
      </c>
      <c r="N342">
        <v>84.9</v>
      </c>
      <c r="P342" s="67" t="s">
        <v>616</v>
      </c>
      <c r="Q342" s="68">
        <v>200.8</v>
      </c>
      <c r="R342" s="67" t="s">
        <v>617</v>
      </c>
      <c r="S342" s="68">
        <v>215.8</v>
      </c>
      <c r="T342" s="68">
        <f t="shared" si="50"/>
        <v>15</v>
      </c>
      <c r="U342">
        <f t="shared" si="46"/>
        <v>70</v>
      </c>
      <c r="V342">
        <f t="shared" si="51"/>
        <v>12.9</v>
      </c>
      <c r="W342">
        <f t="shared" si="47"/>
        <v>11.57</v>
      </c>
      <c r="X342" s="19">
        <v>45536</v>
      </c>
      <c r="Y342" s="26">
        <v>434.8</v>
      </c>
      <c r="Z342" s="61">
        <v>0</v>
      </c>
      <c r="AB342" s="28">
        <f t="shared" si="48"/>
        <v>0.13039999999999999</v>
      </c>
      <c r="AE342" s="61" t="str">
        <f t="shared" si="49"/>
        <v/>
      </c>
      <c r="AF342" s="77" t="str">
        <f>_xlfn.XLOOKUP(AD342,menu!$K$2:$K$9,menu!$J$2:$J$9,"",1)</f>
        <v/>
      </c>
      <c r="AG342" s="80" t="str">
        <f>_xlfn.XLOOKUP(AH342,menu!$O$2:$O$9,menu!$H$2:$H$9,"")</f>
        <v>Cinamon</v>
      </c>
      <c r="AH342" s="81" t="s">
        <v>78</v>
      </c>
      <c r="AI342" t="str">
        <f>_xlfn.LET(_xlpm.x,_xlfn.CONCAT(_xlfn.XLOOKUP(D342,beans!$A$2:$A$300,beans!$J$2:$J$300,"")," / ",_xlfn.XLOOKUP(D342,beans!$A$2:$A$300,beans!$K$2:$K$300,"")," - ",_xlfn.XLOOKUP(D342,beans!$A$2:$A$300,beans!$L$2:$L$300,"")),IF(_xlpm.x=" /  - ","",_xlpm.x))</f>
        <v>班奇 馬吉 / 露西 - Geisha</v>
      </c>
      <c r="AJ342" s="23" t="s">
        <v>618</v>
      </c>
    </row>
    <row r="343" spans="1:36" x14ac:dyDescent="0.3">
      <c r="A343">
        <v>326</v>
      </c>
      <c r="B343">
        <v>500</v>
      </c>
      <c r="D343">
        <v>63</v>
      </c>
      <c r="E343" t="str">
        <f>_xlfn.LET(_xlpm.x,_xlfn.XLOOKUP(D343,beans!$A$2:$A$300,beans!$H$2:$H$300,""),IF(_xlpm.x="","",_xlpm.x))</f>
        <v>衣索比亞</v>
      </c>
      <c r="F343" s="22" t="str">
        <f>_xlfn.XLOOKUP(E343,menu!$A$2:$A$37,menu!$B$2:$B$37,"")</f>
        <v>Ethiopia</v>
      </c>
      <c r="G343" t="str">
        <f>_xlfn.XLOOKUP(E343,menu!$A$2:$A$37,menu!$C$2:$C$37,"")</f>
        <v>eth</v>
      </c>
      <c r="H343" t="str">
        <f>_xlfn.LET(_xlpm.x,_xlfn.XLOOKUP(_xlfn.XLOOKUP(D343,beans!$A$2:$A$300,beans!$I$2:$I$300),menu!$E$2:$E$20,menu!$F$2:$F$20),IF(_xlpm.x="","",_xlpm.x))</f>
        <v>washed</v>
      </c>
      <c r="I343">
        <v>200</v>
      </c>
      <c r="J343">
        <v>85</v>
      </c>
      <c r="K343">
        <v>35</v>
      </c>
      <c r="L343">
        <v>90</v>
      </c>
      <c r="M343" s="68" t="s">
        <v>84</v>
      </c>
      <c r="N343">
        <v>86</v>
      </c>
      <c r="P343" s="67" t="s">
        <v>619</v>
      </c>
      <c r="Q343" s="68">
        <v>202.5</v>
      </c>
      <c r="R343" s="67" t="s">
        <v>570</v>
      </c>
      <c r="S343" s="68">
        <v>215.8</v>
      </c>
      <c r="T343" s="68">
        <f t="shared" si="50"/>
        <v>13.300000000000011</v>
      </c>
      <c r="U343">
        <f t="shared" si="46"/>
        <v>69</v>
      </c>
      <c r="V343">
        <f t="shared" si="51"/>
        <v>11.6</v>
      </c>
      <c r="W343">
        <f t="shared" si="47"/>
        <v>11.22</v>
      </c>
      <c r="X343" s="19">
        <v>45536</v>
      </c>
      <c r="Y343" s="26">
        <v>434.4</v>
      </c>
      <c r="Z343" s="61">
        <v>0</v>
      </c>
      <c r="AB343" s="28">
        <f t="shared" si="48"/>
        <v>0.13120000000000004</v>
      </c>
      <c r="AE343" s="61" t="str">
        <f t="shared" si="49"/>
        <v/>
      </c>
      <c r="AF343" s="77" t="str">
        <f>_xlfn.XLOOKUP(AD343,menu!$K$2:$K$9,menu!$J$2:$J$9,"",1)</f>
        <v/>
      </c>
      <c r="AG343" s="80" t="str">
        <f>_xlfn.XLOOKUP(AH343,menu!$O$2:$O$9,menu!$H$2:$H$9,"")</f>
        <v>Cinamon</v>
      </c>
      <c r="AH343" s="81" t="s">
        <v>78</v>
      </c>
      <c r="AI343" t="str">
        <f>_xlfn.LET(_xlpm.x,_xlfn.CONCAT(_xlfn.XLOOKUP(D343,beans!$A$2:$A$300,beans!$J$2:$J$300,"")," / ",_xlfn.XLOOKUP(D343,beans!$A$2:$A$300,beans!$K$2:$K$300,"")," - ",_xlfn.XLOOKUP(D343,beans!$A$2:$A$300,beans!$L$2:$L$300,"")),IF(_xlpm.x=" /  - ","",_xlpm.x))</f>
        <v>班奇 馬吉 / 露西 - Geisha</v>
      </c>
      <c r="AJ343" s="23" t="s">
        <v>618</v>
      </c>
    </row>
    <row r="344" spans="1:36" x14ac:dyDescent="0.3">
      <c r="A344">
        <v>327</v>
      </c>
      <c r="B344">
        <v>500</v>
      </c>
      <c r="D344">
        <v>63</v>
      </c>
      <c r="E344" t="str">
        <f>_xlfn.LET(_xlpm.x,_xlfn.XLOOKUP(D344,beans!$A$2:$A$300,beans!$H$2:$H$300,""),IF(_xlpm.x="","",_xlpm.x))</f>
        <v>衣索比亞</v>
      </c>
      <c r="F344" s="22" t="str">
        <f>_xlfn.XLOOKUP(E344,menu!$A$2:$A$37,menu!$B$2:$B$37,"")</f>
        <v>Ethiopia</v>
      </c>
      <c r="G344" t="str">
        <f>_xlfn.XLOOKUP(E344,menu!$A$2:$A$37,menu!$C$2:$C$37,"")</f>
        <v>eth</v>
      </c>
      <c r="H344" t="str">
        <f>_xlfn.LET(_xlpm.x,_xlfn.XLOOKUP(_xlfn.XLOOKUP(D344,beans!$A$2:$A$300,beans!$I$2:$I$300),menu!$E$2:$E$20,menu!$F$2:$F$20),IF(_xlpm.x="","",_xlpm.x))</f>
        <v>washed</v>
      </c>
      <c r="I344">
        <v>200</v>
      </c>
      <c r="J344">
        <v>85</v>
      </c>
      <c r="K344">
        <v>35</v>
      </c>
      <c r="L344">
        <v>90</v>
      </c>
      <c r="M344" s="68" t="s">
        <v>114</v>
      </c>
      <c r="N344">
        <v>84.2</v>
      </c>
      <c r="P344" s="67" t="s">
        <v>620</v>
      </c>
      <c r="Q344" s="68">
        <v>197.4</v>
      </c>
      <c r="R344" s="67" t="s">
        <v>295</v>
      </c>
      <c r="S344" s="68">
        <v>215.8</v>
      </c>
      <c r="T344" s="68">
        <f t="shared" si="50"/>
        <v>18.400000000000006</v>
      </c>
      <c r="U344">
        <f t="shared" si="46"/>
        <v>73</v>
      </c>
      <c r="V344">
        <f t="shared" si="51"/>
        <v>15.1</v>
      </c>
      <c r="W344">
        <f t="shared" si="47"/>
        <v>12.19</v>
      </c>
      <c r="X344" s="19">
        <v>45536</v>
      </c>
      <c r="Y344" s="26">
        <v>434.8</v>
      </c>
      <c r="Z344" s="61">
        <v>0</v>
      </c>
      <c r="AB344" s="28">
        <f t="shared" si="48"/>
        <v>0.13039999999999999</v>
      </c>
      <c r="AE344" s="61" t="str">
        <f t="shared" si="49"/>
        <v/>
      </c>
      <c r="AF344" s="77" t="str">
        <f>_xlfn.XLOOKUP(AD344,menu!$K$2:$K$9,menu!$J$2:$J$9,"",1)</f>
        <v/>
      </c>
      <c r="AG344" s="80" t="str">
        <f>_xlfn.XLOOKUP(AH344,menu!$O$2:$O$9,menu!$H$2:$H$9,"")</f>
        <v>Cinamon</v>
      </c>
      <c r="AH344" s="81" t="s">
        <v>78</v>
      </c>
      <c r="AI344" t="str">
        <f>_xlfn.LET(_xlpm.x,_xlfn.CONCAT(_xlfn.XLOOKUP(D344,beans!$A$2:$A$300,beans!$J$2:$J$300,"")," / ",_xlfn.XLOOKUP(D344,beans!$A$2:$A$300,beans!$K$2:$K$300,"")," - ",_xlfn.XLOOKUP(D344,beans!$A$2:$A$300,beans!$L$2:$L$300,"")),IF(_xlpm.x=" /  - ","",_xlpm.x))</f>
        <v>班奇 馬吉 / 露西 - Geisha</v>
      </c>
      <c r="AJ344" s="23" t="s">
        <v>618</v>
      </c>
    </row>
    <row r="345" spans="1:36" x14ac:dyDescent="0.3">
      <c r="A345">
        <v>328</v>
      </c>
      <c r="B345">
        <v>490</v>
      </c>
      <c r="D345">
        <v>63</v>
      </c>
      <c r="E345" t="str">
        <f>_xlfn.LET(_xlpm.x,_xlfn.XLOOKUP(D345,beans!$A$2:$A$300,beans!$H$2:$H$300,""),IF(_xlpm.x="","",_xlpm.x))</f>
        <v>衣索比亞</v>
      </c>
      <c r="F345" s="22" t="str">
        <f>_xlfn.XLOOKUP(E345,menu!$A$2:$A$37,menu!$B$2:$B$37,"")</f>
        <v>Ethiopia</v>
      </c>
      <c r="G345" t="str">
        <f>_xlfn.XLOOKUP(E345,menu!$A$2:$A$37,menu!$C$2:$C$37,"")</f>
        <v>eth</v>
      </c>
      <c r="H345" t="str">
        <f>_xlfn.LET(_xlpm.x,_xlfn.XLOOKUP(_xlfn.XLOOKUP(D345,beans!$A$2:$A$300,beans!$I$2:$I$300),menu!$E$2:$E$20,menu!$F$2:$F$20),IF(_xlpm.x="","",_xlpm.x))</f>
        <v>washed</v>
      </c>
      <c r="I345">
        <v>200</v>
      </c>
      <c r="J345">
        <v>85</v>
      </c>
      <c r="K345">
        <v>35</v>
      </c>
      <c r="L345">
        <v>90</v>
      </c>
      <c r="M345" s="68" t="s">
        <v>84</v>
      </c>
      <c r="N345">
        <v>85.2</v>
      </c>
      <c r="P345" s="67" t="s">
        <v>615</v>
      </c>
      <c r="Q345" s="68">
        <v>203.8</v>
      </c>
      <c r="R345" s="67" t="s">
        <v>86</v>
      </c>
      <c r="S345" s="68">
        <v>215.8</v>
      </c>
      <c r="T345" s="68">
        <f t="shared" si="50"/>
        <v>12</v>
      </c>
      <c r="U345">
        <f t="shared" si="46"/>
        <v>48</v>
      </c>
      <c r="V345">
        <f t="shared" si="51"/>
        <v>15</v>
      </c>
      <c r="W345">
        <f t="shared" si="47"/>
        <v>7.99</v>
      </c>
      <c r="X345" s="19">
        <v>45536</v>
      </c>
      <c r="Y345" s="26">
        <v>432.5</v>
      </c>
      <c r="Z345" s="61">
        <v>0</v>
      </c>
      <c r="AB345" s="28">
        <f t="shared" si="48"/>
        <v>0.11734693877551021</v>
      </c>
      <c r="AE345" s="61" t="str">
        <f t="shared" si="49"/>
        <v/>
      </c>
      <c r="AF345" s="77" t="str">
        <f>_xlfn.XLOOKUP(AD345,menu!$K$2:$K$9,menu!$J$2:$J$9,"",1)</f>
        <v/>
      </c>
      <c r="AG345" s="80" t="str">
        <f>_xlfn.XLOOKUP(AH345,menu!$O$2:$O$9,menu!$H$2:$H$9,"")</f>
        <v>Cinamon</v>
      </c>
      <c r="AH345" s="81" t="s">
        <v>78</v>
      </c>
      <c r="AI345" t="str">
        <f>_xlfn.LET(_xlpm.x,_xlfn.CONCAT(_xlfn.XLOOKUP(D345,beans!$A$2:$A$300,beans!$J$2:$J$300,"")," / ",_xlfn.XLOOKUP(D345,beans!$A$2:$A$300,beans!$K$2:$K$300,"")," - ",_xlfn.XLOOKUP(D345,beans!$A$2:$A$300,beans!$L$2:$L$300,"")),IF(_xlpm.x=" /  - ","",_xlpm.x))</f>
        <v>班奇 馬吉 / 露西 - Geisha</v>
      </c>
      <c r="AJ345" s="23" t="s">
        <v>618</v>
      </c>
    </row>
    <row r="346" spans="1:36" x14ac:dyDescent="0.3">
      <c r="A346">
        <v>329</v>
      </c>
      <c r="B346">
        <v>488</v>
      </c>
      <c r="D346">
        <v>55</v>
      </c>
      <c r="E346" t="str">
        <f>_xlfn.LET(_xlpm.x,_xlfn.XLOOKUP(D346,beans!$A$2:$A$300,beans!$H$2:$H$300,""),IF(_xlpm.x="","",_xlpm.x))</f>
        <v>衣索比亞</v>
      </c>
      <c r="F346" s="22" t="str">
        <f>_xlfn.XLOOKUP(E346,menu!$A$2:$A$37,menu!$B$2:$B$37,"")</f>
        <v>Ethiopia</v>
      </c>
      <c r="G346" t="str">
        <f>_xlfn.XLOOKUP(E346,menu!$A$2:$A$37,menu!$C$2:$C$37,"")</f>
        <v>eth</v>
      </c>
      <c r="H346" t="str">
        <f>_xlfn.LET(_xlpm.x,_xlfn.XLOOKUP(_xlfn.XLOOKUP(D346,beans!$A$2:$A$300,beans!$I$2:$I$300),menu!$E$2:$E$20,menu!$F$2:$F$20),IF(_xlpm.x="","",_xlpm.x))</f>
        <v>natural</v>
      </c>
      <c r="I346">
        <v>200</v>
      </c>
      <c r="J346">
        <v>80</v>
      </c>
      <c r="K346">
        <v>35</v>
      </c>
      <c r="L346">
        <v>90</v>
      </c>
      <c r="M346" s="68" t="s">
        <v>121</v>
      </c>
      <c r="N346">
        <v>83.8</v>
      </c>
      <c r="P346" s="67" t="s">
        <v>621</v>
      </c>
      <c r="Q346" s="68">
        <v>106.7</v>
      </c>
      <c r="R346" s="67" t="s">
        <v>369</v>
      </c>
      <c r="S346" s="68">
        <v>214.8</v>
      </c>
      <c r="T346" s="68">
        <f t="shared" si="50"/>
        <v>108.10000000000001</v>
      </c>
      <c r="U346">
        <f t="shared" si="46"/>
        <v>39</v>
      </c>
      <c r="V346">
        <f t="shared" si="51"/>
        <v>166.3</v>
      </c>
      <c r="W346">
        <f t="shared" si="47"/>
        <v>6.19</v>
      </c>
      <c r="X346" s="19">
        <v>45536</v>
      </c>
      <c r="Y346" s="26">
        <v>416</v>
      </c>
      <c r="Z346" s="61">
        <v>0</v>
      </c>
      <c r="AB346" s="28">
        <f t="shared" si="48"/>
        <v>0.14754098360655737</v>
      </c>
      <c r="AE346" s="61" t="str">
        <f t="shared" si="49"/>
        <v/>
      </c>
      <c r="AF346" s="77" t="str">
        <f>_xlfn.XLOOKUP(AD346,menu!$K$2:$K$9,menu!$J$2:$J$9,"",1)</f>
        <v/>
      </c>
      <c r="AG346" s="80" t="str">
        <f>_xlfn.XLOOKUP(AH346,menu!$O$2:$O$9,menu!$H$2:$H$9,"")</f>
        <v>Cinamon</v>
      </c>
      <c r="AH346" s="81" t="s">
        <v>78</v>
      </c>
      <c r="AI346" t="str">
        <f>_xlfn.LET(_xlpm.x,_xlfn.CONCAT(_xlfn.XLOOKUP(D346,beans!$A$2:$A$300,beans!$J$2:$J$300,"")," / ",_xlfn.XLOOKUP(D346,beans!$A$2:$A$300,beans!$K$2:$K$300,"")," - ",_xlfn.XLOOKUP(D346,beans!$A$2:$A$300,beans!$L$2:$L$300,"")),IF(_xlpm.x=" /  - ","",_xlpm.x))</f>
        <v>歐若米亞 古吉 / 莎奇恰 - Heirloom</v>
      </c>
      <c r="AJ346" s="23" t="s">
        <v>622</v>
      </c>
    </row>
    <row r="347" spans="1:36" x14ac:dyDescent="0.3">
      <c r="A347">
        <v>330</v>
      </c>
      <c r="B347">
        <v>250</v>
      </c>
      <c r="D347">
        <v>45</v>
      </c>
      <c r="E347" t="str">
        <f>_xlfn.LET(_xlpm.x,_xlfn.XLOOKUP(D347,beans!$A$2:$A$300,beans!$H$2:$H$300,""),IF(_xlpm.x="","",_xlpm.x))</f>
        <v>哥倫比亞</v>
      </c>
      <c r="F347" s="22" t="str">
        <f>_xlfn.XLOOKUP(E347,menu!$A$2:$A$37,menu!$B$2:$B$37,"")</f>
        <v>Colombia</v>
      </c>
      <c r="G347" t="str">
        <f>_xlfn.XLOOKUP(E347,menu!$A$2:$A$37,menu!$C$2:$C$37,"")</f>
        <v>col</v>
      </c>
      <c r="H347" t="str">
        <f>_xlfn.LET(_xlpm.x,_xlfn.XLOOKUP(_xlfn.XLOOKUP(D347,beans!$A$2:$A$300,beans!$I$2:$I$300),menu!$E$2:$E$20,menu!$F$2:$F$20),IF(_xlpm.x="","",_xlpm.x))</f>
        <v>Special</v>
      </c>
      <c r="I347">
        <v>200</v>
      </c>
      <c r="J347">
        <v>80</v>
      </c>
      <c r="K347">
        <v>40</v>
      </c>
      <c r="L347">
        <v>70</v>
      </c>
      <c r="M347" s="68" t="s">
        <v>121</v>
      </c>
      <c r="N347">
        <v>94.8</v>
      </c>
      <c r="P347" s="67" t="s">
        <v>252</v>
      </c>
      <c r="Q347" s="68">
        <v>209.4</v>
      </c>
      <c r="R347" s="67" t="s">
        <v>350</v>
      </c>
      <c r="S347" s="68">
        <v>226.5</v>
      </c>
      <c r="T347" s="68">
        <f t="shared" si="50"/>
        <v>17.099999999999994</v>
      </c>
      <c r="U347">
        <f t="shared" si="46"/>
        <v>95</v>
      </c>
      <c r="V347">
        <f t="shared" si="51"/>
        <v>10.8</v>
      </c>
      <c r="W347">
        <f t="shared" si="47"/>
        <v>14.59</v>
      </c>
      <c r="X347" s="19">
        <v>45536</v>
      </c>
      <c r="Y347" s="26">
        <v>212</v>
      </c>
      <c r="Z347" s="61">
        <v>0</v>
      </c>
      <c r="AB347" s="28">
        <f t="shared" si="48"/>
        <v>0.152</v>
      </c>
      <c r="AE347" s="61" t="str">
        <f t="shared" si="49"/>
        <v/>
      </c>
      <c r="AF347" s="77" t="str">
        <f>_xlfn.XLOOKUP(AD347,menu!$K$2:$K$9,menu!$J$2:$J$9,"",1)</f>
        <v/>
      </c>
      <c r="AG347" s="80" t="str">
        <f>_xlfn.XLOOKUP(AH347,menu!$O$2:$O$9,menu!$H$2:$H$9,"")</f>
        <v>High</v>
      </c>
      <c r="AH347" s="81" t="s">
        <v>93</v>
      </c>
      <c r="AI347" t="str">
        <f>_xlfn.LET(_xlpm.x,_xlfn.CONCAT(_xlfn.XLOOKUP(D347,beans!$A$2:$A$300,beans!$J$2:$J$300,"")," / ",_xlfn.XLOOKUP(D347,beans!$A$2:$A$300,beans!$K$2:$K$300,"")," - ",_xlfn.XLOOKUP(D347,beans!$A$2:$A$300,beans!$L$2:$L$300,"")),IF(_xlpm.x=" /  - ","",_xlpm.x))</f>
        <v>薇拉省 / 蒙大布蘭蔻莊園 - 紫卡杜拉</v>
      </c>
      <c r="AJ347" s="23" t="s">
        <v>623</v>
      </c>
    </row>
    <row r="348" spans="1:36" x14ac:dyDescent="0.3">
      <c r="A348">
        <v>331</v>
      </c>
      <c r="B348">
        <v>500</v>
      </c>
      <c r="D348">
        <v>69</v>
      </c>
      <c r="E348" t="str">
        <f>_xlfn.LET(_xlpm.x,_xlfn.XLOOKUP(D348,beans!$A$2:$A$300,beans!$H$2:$H$300,""),IF(_xlpm.x="","",_xlpm.x))</f>
        <v>衣索比亞</v>
      </c>
      <c r="F348" s="22" t="str">
        <f>_xlfn.XLOOKUP(E348,menu!$A$2:$A$37,menu!$B$2:$B$37,"")</f>
        <v>Ethiopia</v>
      </c>
      <c r="G348" t="str">
        <f>_xlfn.XLOOKUP(E348,menu!$A$2:$A$37,menu!$C$2:$C$37,"")</f>
        <v>eth</v>
      </c>
      <c r="H348" t="str">
        <f>_xlfn.LET(_xlpm.x,_xlfn.XLOOKUP(_xlfn.XLOOKUP(D348,beans!$A$2:$A$300,beans!$I$2:$I$300),menu!$E$2:$E$20,menu!$F$2:$F$20),IF(_xlpm.x="","",_xlpm.x))</f>
        <v>Anaerobic Natural</v>
      </c>
      <c r="I348">
        <v>200</v>
      </c>
      <c r="J348">
        <v>85</v>
      </c>
      <c r="K348">
        <v>30</v>
      </c>
      <c r="L348">
        <v>90</v>
      </c>
      <c r="M348" s="68" t="s">
        <v>188</v>
      </c>
      <c r="N348">
        <v>81.099999999999994</v>
      </c>
      <c r="P348" s="67" t="s">
        <v>259</v>
      </c>
      <c r="Q348" s="68">
        <v>207.2</v>
      </c>
      <c r="R348" s="67" t="s">
        <v>312</v>
      </c>
      <c r="S348" s="68">
        <v>213.9</v>
      </c>
      <c r="T348" s="68">
        <f t="shared" si="50"/>
        <v>6.7000000000000171</v>
      </c>
      <c r="U348">
        <f t="shared" si="46"/>
        <v>35</v>
      </c>
      <c r="V348">
        <f t="shared" si="51"/>
        <v>11.5</v>
      </c>
      <c r="W348">
        <f t="shared" si="47"/>
        <v>5.3</v>
      </c>
      <c r="X348" s="19">
        <v>45543</v>
      </c>
      <c r="Y348" s="26">
        <v>425.4</v>
      </c>
      <c r="Z348" s="61">
        <v>0</v>
      </c>
      <c r="AA348" s="61">
        <v>0</v>
      </c>
      <c r="AB348" s="28">
        <f t="shared" si="48"/>
        <v>0.14920000000000005</v>
      </c>
      <c r="AC348" s="110">
        <v>38.299999999999997</v>
      </c>
      <c r="AD348" s="26">
        <v>63.5</v>
      </c>
      <c r="AE348" s="61">
        <f t="shared" si="49"/>
        <v>25.200000000000003</v>
      </c>
      <c r="AF348" s="77" t="str">
        <f>_xlfn.XLOOKUP(AD348,menu!$K$2:$K$9,menu!$J$2:$J$9,"",1)</f>
        <v>中淺</v>
      </c>
      <c r="AG348" s="80" t="str">
        <f>_xlfn.XLOOKUP(AH348,menu!$O$2:$O$9,menu!$H$2:$H$9,"")</f>
        <v>Cinamon</v>
      </c>
      <c r="AH348" s="81" t="s">
        <v>78</v>
      </c>
      <c r="AI348" t="str">
        <f>_xlfn.LET(_xlpm.x,_xlfn.CONCAT(_xlfn.XLOOKUP(D348,beans!$A$2:$A$300,beans!$J$2:$J$300,"")," / ",_xlfn.XLOOKUP(D348,beans!$A$2:$A$300,beans!$K$2:$K$300,"")," - ",_xlfn.XLOOKUP(D348,beans!$A$2:$A$300,beans!$L$2:$L$300,"")),IF(_xlpm.x=" /  - ","",_xlpm.x))</f>
        <v>古吉烏拉嘎 / 月光酒釀 - 74110/74112</v>
      </c>
      <c r="AJ348" s="23" t="s">
        <v>624</v>
      </c>
    </row>
    <row r="349" spans="1:36" x14ac:dyDescent="0.3">
      <c r="A349">
        <v>332</v>
      </c>
      <c r="B349">
        <v>490</v>
      </c>
      <c r="D349">
        <v>69</v>
      </c>
      <c r="E349" t="str">
        <f>_xlfn.LET(_xlpm.x,_xlfn.XLOOKUP(D349,beans!$A$2:$A$300,beans!$H$2:$H$300,""),IF(_xlpm.x="","",_xlpm.x))</f>
        <v>衣索比亞</v>
      </c>
      <c r="F349" s="22" t="str">
        <f>_xlfn.XLOOKUP(E349,menu!$A$2:$A$37,menu!$B$2:$B$37,"")</f>
        <v>Ethiopia</v>
      </c>
      <c r="G349" t="str">
        <f>_xlfn.XLOOKUP(E349,menu!$A$2:$A$37,menu!$C$2:$C$37,"")</f>
        <v>eth</v>
      </c>
      <c r="H349" t="str">
        <f>_xlfn.LET(_xlpm.x,_xlfn.XLOOKUP(_xlfn.XLOOKUP(D349,beans!$A$2:$A$300,beans!$I$2:$I$300),menu!$E$2:$E$20,menu!$F$2:$F$20),IF(_xlpm.x="","",_xlpm.x))</f>
        <v>Anaerobic Natural</v>
      </c>
      <c r="I349">
        <v>200</v>
      </c>
      <c r="J349">
        <v>85</v>
      </c>
      <c r="K349">
        <v>30</v>
      </c>
      <c r="L349">
        <v>90</v>
      </c>
      <c r="M349" s="68" t="s">
        <v>121</v>
      </c>
      <c r="N349">
        <v>85.6</v>
      </c>
      <c r="P349" s="67" t="s">
        <v>343</v>
      </c>
      <c r="Q349" s="68">
        <v>207.2</v>
      </c>
      <c r="R349" s="67" t="s">
        <v>396</v>
      </c>
      <c r="S349" s="68">
        <v>216.7</v>
      </c>
      <c r="T349" s="68">
        <f t="shared" si="50"/>
        <v>9.5</v>
      </c>
      <c r="U349">
        <f t="shared" si="46"/>
        <v>45</v>
      </c>
      <c r="V349">
        <f t="shared" si="51"/>
        <v>12.7</v>
      </c>
      <c r="W349">
        <f t="shared" si="47"/>
        <v>7.1</v>
      </c>
      <c r="X349" s="19">
        <v>45543</v>
      </c>
      <c r="Y349" s="26">
        <v>414</v>
      </c>
      <c r="Z349" s="61">
        <v>0</v>
      </c>
      <c r="AA349" s="61">
        <v>0</v>
      </c>
      <c r="AB349" s="28">
        <f t="shared" si="48"/>
        <v>0.15510204081632653</v>
      </c>
      <c r="AC349" s="110">
        <v>34.700000000000003</v>
      </c>
      <c r="AD349" s="26">
        <v>61.2</v>
      </c>
      <c r="AE349" s="61">
        <f t="shared" si="49"/>
        <v>26.5</v>
      </c>
      <c r="AF349" s="77" t="str">
        <f>_xlfn.XLOOKUP(AD349,menu!$K$2:$K$9,menu!$J$2:$J$9,"",1)</f>
        <v>中淺</v>
      </c>
      <c r="AG349" s="80" t="str">
        <f>_xlfn.XLOOKUP(AH349,menu!$O$2:$O$9,menu!$H$2:$H$9,"")</f>
        <v>Cinamon</v>
      </c>
      <c r="AH349" s="81" t="s">
        <v>78</v>
      </c>
      <c r="AI349" t="str">
        <f>_xlfn.LET(_xlpm.x,_xlfn.CONCAT(_xlfn.XLOOKUP(D349,beans!$A$2:$A$300,beans!$J$2:$J$300,"")," / ",_xlfn.XLOOKUP(D349,beans!$A$2:$A$300,beans!$K$2:$K$300,"")," - ",_xlfn.XLOOKUP(D349,beans!$A$2:$A$300,beans!$L$2:$L$300,"")),IF(_xlpm.x=" /  - ","",_xlpm.x))</f>
        <v>古吉烏拉嘎 / 月光酒釀 - 74110/74112</v>
      </c>
      <c r="AJ349" s="23" t="s">
        <v>624</v>
      </c>
    </row>
    <row r="350" spans="1:36" x14ac:dyDescent="0.3">
      <c r="A350">
        <v>333</v>
      </c>
      <c r="B350">
        <v>250</v>
      </c>
      <c r="D350">
        <v>56</v>
      </c>
      <c r="E350" t="str">
        <f>_xlfn.LET(_xlpm.x,_xlfn.XLOOKUP(D350,beans!$A$2:$A$300,beans!$H$2:$H$300,""),IF(_xlpm.x="","",_xlpm.x))</f>
        <v>肯亞</v>
      </c>
      <c r="F350" s="22" t="str">
        <f>_xlfn.XLOOKUP(E350,menu!$A$2:$A$37,menu!$B$2:$B$37,"")</f>
        <v>Kenya</v>
      </c>
      <c r="G350" t="str">
        <f>_xlfn.XLOOKUP(E350,menu!$A$2:$A$37,menu!$C$2:$C$37,"")</f>
        <v>ken</v>
      </c>
      <c r="H350" t="str">
        <f>_xlfn.LET(_xlpm.x,_xlfn.XLOOKUP(_xlfn.XLOOKUP(D350,beans!$A$2:$A$300,beans!$I$2:$I$300),menu!$E$2:$E$20,menu!$F$2:$F$20),IF(_xlpm.x="","",_xlpm.x))</f>
        <v>washed</v>
      </c>
      <c r="I350">
        <v>200</v>
      </c>
      <c r="J350">
        <v>85</v>
      </c>
      <c r="K350">
        <v>30</v>
      </c>
      <c r="L350">
        <v>90</v>
      </c>
      <c r="M350" s="68" t="s">
        <v>54</v>
      </c>
      <c r="N350">
        <v>94.3</v>
      </c>
      <c r="P350" s="67" t="s">
        <v>625</v>
      </c>
      <c r="Q350" s="68">
        <v>203.3</v>
      </c>
      <c r="R350" s="67" t="s">
        <v>97</v>
      </c>
      <c r="S350" s="68">
        <v>222.4</v>
      </c>
      <c r="T350" s="68">
        <f t="shared" si="50"/>
        <v>19.099999999999994</v>
      </c>
      <c r="U350">
        <f t="shared" si="46"/>
        <v>153</v>
      </c>
      <c r="V350">
        <f t="shared" si="51"/>
        <v>7.5</v>
      </c>
      <c r="W350">
        <f t="shared" si="47"/>
        <v>26.56</v>
      </c>
      <c r="X350" s="19">
        <v>45543</v>
      </c>
      <c r="Y350" s="26">
        <v>215.4</v>
      </c>
      <c r="Z350" s="61">
        <v>0</v>
      </c>
      <c r="AB350" s="28">
        <f t="shared" si="48"/>
        <v>0.13839999999999997</v>
      </c>
      <c r="AE350" s="61" t="str">
        <f t="shared" si="49"/>
        <v/>
      </c>
      <c r="AF350" s="77" t="str">
        <f>_xlfn.XLOOKUP(AD350,menu!$K$2:$K$9,menu!$J$2:$J$9,"",1)</f>
        <v/>
      </c>
      <c r="AG350" s="80" t="str">
        <f>_xlfn.XLOOKUP(AH350,menu!$O$2:$O$9,menu!$H$2:$H$9,"")</f>
        <v>High</v>
      </c>
      <c r="AH350" s="81" t="s">
        <v>93</v>
      </c>
      <c r="AI350" t="str">
        <f>_xlfn.LET(_xlpm.x,_xlfn.CONCAT(_xlfn.XLOOKUP(D350,beans!$A$2:$A$300,beans!$J$2:$J$300,"")," / ",_xlfn.XLOOKUP(D350,beans!$A$2:$A$300,beans!$K$2:$K$300,"")," - ",_xlfn.XLOOKUP(D350,beans!$A$2:$A$300,beans!$L$2:$L$300,"")),IF(_xlpm.x=" /  - ","",_xlpm.x))</f>
        <v xml:space="preserve">祁安布 / FAQ - </v>
      </c>
      <c r="AJ350" s="23" t="s">
        <v>626</v>
      </c>
    </row>
    <row r="351" spans="1:36" x14ac:dyDescent="0.3">
      <c r="A351">
        <v>334</v>
      </c>
      <c r="B351">
        <v>250</v>
      </c>
      <c r="D351">
        <v>67</v>
      </c>
      <c r="E351" t="str">
        <f>_xlfn.LET(_xlpm.x,_xlfn.XLOOKUP(D351,beans!$A$2:$A$300,beans!$H$2:$H$300,""),IF(_xlpm.x="","",_xlpm.x))</f>
        <v>衣索比亞</v>
      </c>
      <c r="F351" s="22" t="str">
        <f>_xlfn.XLOOKUP(E351,menu!$A$2:$A$37,menu!$B$2:$B$37,"")</f>
        <v>Ethiopia</v>
      </c>
      <c r="G351" t="str">
        <f>_xlfn.XLOOKUP(E351,menu!$A$2:$A$37,menu!$C$2:$C$37,"")</f>
        <v>eth</v>
      </c>
      <c r="H351" t="str">
        <f>_xlfn.LET(_xlpm.x,_xlfn.XLOOKUP(_xlfn.XLOOKUP(D351,beans!$A$2:$A$300,beans!$I$2:$I$300),menu!$E$2:$E$20,menu!$F$2:$F$20),IF(_xlpm.x="","",_xlpm.x))</f>
        <v>washed</v>
      </c>
      <c r="I351">
        <v>200</v>
      </c>
      <c r="J351">
        <v>70</v>
      </c>
      <c r="K351">
        <v>35</v>
      </c>
      <c r="L351">
        <v>80</v>
      </c>
      <c r="M351" s="68" t="s">
        <v>71</v>
      </c>
      <c r="N351">
        <v>86.9</v>
      </c>
      <c r="P351" s="67" t="s">
        <v>599</v>
      </c>
      <c r="Q351" s="68">
        <v>202.4</v>
      </c>
      <c r="R351" s="67" t="s">
        <v>541</v>
      </c>
      <c r="S351" s="68">
        <v>213.9</v>
      </c>
      <c r="T351" s="68">
        <f t="shared" si="50"/>
        <v>11.5</v>
      </c>
      <c r="U351">
        <f t="shared" si="46"/>
        <v>63</v>
      </c>
      <c r="V351">
        <f t="shared" si="51"/>
        <v>11</v>
      </c>
      <c r="W351">
        <f t="shared" si="47"/>
        <v>9.92</v>
      </c>
      <c r="X351" s="19">
        <v>45550</v>
      </c>
      <c r="Y351" s="26">
        <v>215.5</v>
      </c>
      <c r="Z351" s="61">
        <v>0</v>
      </c>
      <c r="AB351" s="28">
        <f t="shared" si="48"/>
        <v>0.13800000000000001</v>
      </c>
      <c r="AE351" s="61" t="str">
        <f t="shared" si="49"/>
        <v/>
      </c>
      <c r="AF351" s="77" t="str">
        <f>_xlfn.XLOOKUP(AD351,menu!$K$2:$K$9,menu!$J$2:$J$9,"",1)</f>
        <v/>
      </c>
      <c r="AG351" s="80" t="str">
        <f>_xlfn.XLOOKUP(AH351,menu!$O$2:$O$9,menu!$H$2:$H$9,"")</f>
        <v>Medium</v>
      </c>
      <c r="AH351" s="81" t="s">
        <v>72</v>
      </c>
      <c r="AI351" t="str">
        <f>_xlfn.LET(_xlpm.x,_xlfn.CONCAT(_xlfn.XLOOKUP(D351,beans!$A$2:$A$300,beans!$J$2:$J$300,"")," / ",_xlfn.XLOOKUP(D351,beans!$A$2:$A$300,beans!$K$2:$K$300,"")," - ",_xlfn.XLOOKUP(D351,beans!$A$2:$A$300,beans!$L$2:$L$300,"")),IF(_xlpm.x=" /  - ","",_xlpm.x))</f>
        <v>古吉 / 茉香柚 - 可如蜜</v>
      </c>
      <c r="AJ351" s="23" t="s">
        <v>627</v>
      </c>
    </row>
    <row r="352" spans="1:36" x14ac:dyDescent="0.3">
      <c r="A352">
        <v>335</v>
      </c>
      <c r="B352">
        <v>500</v>
      </c>
      <c r="D352">
        <v>68</v>
      </c>
      <c r="E352" t="str">
        <f>_xlfn.LET(_xlpm.x,_xlfn.XLOOKUP(D352,beans!$A$2:$A$300,beans!$H$2:$H$300,""),IF(_xlpm.x="","",_xlpm.x))</f>
        <v>哥倫比亞</v>
      </c>
      <c r="F352" s="22" t="str">
        <f>_xlfn.XLOOKUP(E352,menu!$A$2:$A$37,menu!$B$2:$B$37,"")</f>
        <v>Colombia</v>
      </c>
      <c r="G352" t="str">
        <f>_xlfn.XLOOKUP(E352,menu!$A$2:$A$37,menu!$C$2:$C$37,"")</f>
        <v>col</v>
      </c>
      <c r="H352" t="str">
        <f>_xlfn.LET(_xlpm.x,_xlfn.XLOOKUP(_xlfn.XLOOKUP(D352,beans!$A$2:$A$300,beans!$I$2:$I$300),menu!$E$2:$E$20,menu!$F$2:$F$20),IF(_xlpm.x="","",_xlpm.x))</f>
        <v>Anaerobic Natural</v>
      </c>
      <c r="I352">
        <v>200</v>
      </c>
      <c r="J352">
        <v>75</v>
      </c>
      <c r="K352">
        <v>35</v>
      </c>
      <c r="L352">
        <v>90</v>
      </c>
      <c r="M352" s="68" t="s">
        <v>213</v>
      </c>
      <c r="N352">
        <v>81.5</v>
      </c>
      <c r="P352" s="67" t="s">
        <v>322</v>
      </c>
      <c r="Q352" s="68">
        <v>202.3</v>
      </c>
      <c r="R352" s="67" t="s">
        <v>628</v>
      </c>
      <c r="S352" s="68">
        <v>216.6</v>
      </c>
      <c r="T352" s="68">
        <f t="shared" si="50"/>
        <v>14.299999999999983</v>
      </c>
      <c r="U352">
        <f t="shared" si="46"/>
        <v>94</v>
      </c>
      <c r="V352">
        <f t="shared" si="51"/>
        <v>9.1</v>
      </c>
      <c r="W352">
        <f t="shared" si="47"/>
        <v>12.53</v>
      </c>
      <c r="X352" s="19">
        <v>45550</v>
      </c>
      <c r="Y352" s="26">
        <v>421</v>
      </c>
      <c r="Z352" s="61">
        <v>0</v>
      </c>
      <c r="AB352" s="28">
        <f t="shared" si="48"/>
        <v>0.158</v>
      </c>
      <c r="AE352" s="61" t="str">
        <f t="shared" si="49"/>
        <v/>
      </c>
      <c r="AF352" s="77" t="str">
        <f>_xlfn.XLOOKUP(AD352,menu!$K$2:$K$9,menu!$J$2:$J$9,"",1)</f>
        <v/>
      </c>
      <c r="AG352" s="80" t="str">
        <f>_xlfn.XLOOKUP(AH352,menu!$O$2:$O$9,menu!$H$2:$H$9,"")</f>
        <v>Medium</v>
      </c>
      <c r="AH352" s="81" t="s">
        <v>72</v>
      </c>
      <c r="AI352" t="str">
        <f>_xlfn.LET(_xlpm.x,_xlfn.CONCAT(_xlfn.XLOOKUP(D352,beans!$A$2:$A$300,beans!$J$2:$J$300,"")," / ",_xlfn.XLOOKUP(D352,beans!$A$2:$A$300,beans!$K$2:$K$300,"")," - ",_xlfn.XLOOKUP(D352,beans!$A$2:$A$300,beans!$L$2:$L$300,"")),IF(_xlpm.x=" /  - ","",_xlpm.x))</f>
        <v xml:space="preserve"> / 天堂莊園-日出桂花香 - </v>
      </c>
      <c r="AJ352" s="23" t="s">
        <v>629</v>
      </c>
    </row>
    <row r="353" spans="1:36" x14ac:dyDescent="0.3">
      <c r="A353">
        <v>336</v>
      </c>
      <c r="B353">
        <v>500</v>
      </c>
      <c r="D353">
        <v>42</v>
      </c>
      <c r="E353" t="str">
        <f>_xlfn.LET(_xlpm.x,_xlfn.XLOOKUP(D353,beans!$A$2:$A$300,beans!$H$2:$H$300,""),IF(_xlpm.x="","",_xlpm.x))</f>
        <v>瓜地馬拉</v>
      </c>
      <c r="F353" s="22" t="str">
        <f>_xlfn.XLOOKUP(E353,menu!$A$2:$A$37,menu!$B$2:$B$37,"")</f>
        <v>Guatemala</v>
      </c>
      <c r="G353" t="str">
        <f>_xlfn.XLOOKUP(E353,menu!$A$2:$A$37,menu!$C$2:$C$37,"")</f>
        <v>gtm</v>
      </c>
      <c r="H353" t="str">
        <f>_xlfn.LET(_xlpm.x,_xlfn.XLOOKUP(_xlfn.XLOOKUP(D353,beans!$A$2:$A$300,beans!$I$2:$I$300),menu!$E$2:$E$20,menu!$F$2:$F$20),IF(_xlpm.x="","",_xlpm.x))</f>
        <v>honey</v>
      </c>
      <c r="I353">
        <v>200</v>
      </c>
      <c r="J353">
        <v>75</v>
      </c>
      <c r="K353">
        <v>35</v>
      </c>
      <c r="L353">
        <v>90</v>
      </c>
      <c r="M353" s="68" t="s">
        <v>229</v>
      </c>
      <c r="N353">
        <v>78.3</v>
      </c>
      <c r="P353" s="67" t="s">
        <v>524</v>
      </c>
      <c r="Q353" s="68">
        <v>206.5</v>
      </c>
      <c r="R353" s="67" t="s">
        <v>630</v>
      </c>
      <c r="S353" s="68">
        <v>234.5</v>
      </c>
      <c r="T353" s="68">
        <f t="shared" si="50"/>
        <v>28</v>
      </c>
      <c r="U353">
        <f t="shared" si="46"/>
        <v>160</v>
      </c>
      <c r="V353">
        <f t="shared" si="51"/>
        <v>10.5</v>
      </c>
      <c r="W353">
        <f t="shared" si="47"/>
        <v>20.62</v>
      </c>
      <c r="X353" s="19">
        <v>45550</v>
      </c>
      <c r="Y353" s="26">
        <v>411.6</v>
      </c>
      <c r="Z353" s="61">
        <v>0</v>
      </c>
      <c r="AB353" s="28">
        <f t="shared" si="48"/>
        <v>0.17679999999999996</v>
      </c>
      <c r="AE353" s="61" t="str">
        <f t="shared" si="49"/>
        <v/>
      </c>
      <c r="AF353" s="77" t="str">
        <f>_xlfn.XLOOKUP(AD353,menu!$K$2:$K$9,menu!$J$2:$J$9,"",1)</f>
        <v/>
      </c>
      <c r="AG353" s="80" t="str">
        <f>_xlfn.XLOOKUP(AH353,menu!$O$2:$O$9,menu!$H$2:$H$9,"")</f>
        <v>City</v>
      </c>
      <c r="AH353" s="81" t="s">
        <v>480</v>
      </c>
      <c r="AI353" t="str">
        <f>_xlfn.LET(_xlpm.x,_xlfn.CONCAT(_xlfn.XLOOKUP(D353,beans!$A$2:$A$300,beans!$J$2:$J$300,"")," / ",_xlfn.XLOOKUP(D353,beans!$A$2:$A$300,beans!$K$2:$K$300,"")," - ",_xlfn.XLOOKUP(D353,beans!$A$2:$A$300,beans!$L$2:$L$300,"")),IF(_xlpm.x=" /  - ","",_xlpm.x))</f>
        <v>薇微特南果 / 聖安東尼奧莊園 - 波旁,鐵皮卡</v>
      </c>
      <c r="AJ353" s="23" t="s">
        <v>483</v>
      </c>
    </row>
    <row r="354" spans="1:36" x14ac:dyDescent="0.3">
      <c r="A354">
        <v>337</v>
      </c>
      <c r="B354">
        <v>250</v>
      </c>
      <c r="D354">
        <v>27</v>
      </c>
      <c r="E354" t="str">
        <f>_xlfn.LET(_xlpm.x,_xlfn.XLOOKUP(D354,beans!$A$2:$A$300,beans!$H$2:$H$300,""),IF(_xlpm.x="","",_xlpm.x))</f>
        <v>肯亞</v>
      </c>
      <c r="F354" s="22" t="str">
        <f>_xlfn.XLOOKUP(E354,menu!$A$2:$A$37,menu!$B$2:$B$37,"")</f>
        <v>Kenya</v>
      </c>
      <c r="G354" t="str">
        <f>_xlfn.XLOOKUP(E354,menu!$A$2:$A$37,menu!$C$2:$C$37,"")</f>
        <v>ken</v>
      </c>
      <c r="H354" t="str">
        <f>_xlfn.LET(_xlpm.x,_xlfn.XLOOKUP(_xlfn.XLOOKUP(D354,beans!$A$2:$A$300,beans!$I$2:$I$300),menu!$E$2:$E$20,menu!$F$2:$F$20),IF(_xlpm.x="","",_xlpm.x))</f>
        <v>washed</v>
      </c>
      <c r="I354">
        <v>200</v>
      </c>
      <c r="J354">
        <v>80</v>
      </c>
      <c r="K354">
        <v>30</v>
      </c>
      <c r="L354">
        <v>70</v>
      </c>
      <c r="M354" s="68" t="s">
        <v>217</v>
      </c>
      <c r="N354">
        <v>89.7</v>
      </c>
      <c r="P354" s="67" t="s">
        <v>482</v>
      </c>
      <c r="Q354" s="68">
        <v>201.5</v>
      </c>
      <c r="R354" s="67" t="s">
        <v>347</v>
      </c>
      <c r="S354" s="68">
        <v>221.6</v>
      </c>
      <c r="T354" s="68">
        <f t="shared" si="50"/>
        <v>20.099999999999994</v>
      </c>
      <c r="U354">
        <f t="shared" si="46"/>
        <v>117</v>
      </c>
      <c r="V354">
        <f t="shared" si="51"/>
        <v>10.3</v>
      </c>
      <c r="W354">
        <f t="shared" si="47"/>
        <v>17.57</v>
      </c>
      <c r="X354" s="19">
        <v>45563</v>
      </c>
      <c r="Y354" s="26">
        <v>210.3</v>
      </c>
      <c r="Z354" s="61">
        <v>0</v>
      </c>
      <c r="AB354" s="28">
        <f t="shared" si="48"/>
        <v>0.15879999999999994</v>
      </c>
      <c r="AC354" s="110">
        <v>42</v>
      </c>
      <c r="AD354" s="26">
        <v>55.6</v>
      </c>
      <c r="AE354" s="61">
        <f t="shared" si="49"/>
        <v>13.600000000000001</v>
      </c>
      <c r="AF354" s="77" t="str">
        <f>_xlfn.XLOOKUP(AD354,menu!$K$2:$K$9,menu!$J$2:$J$9,"",1)</f>
        <v>中</v>
      </c>
      <c r="AG354" s="80" t="str">
        <f>_xlfn.XLOOKUP(AH354,menu!$O$2:$O$9,menu!$H$2:$H$9,"")</f>
        <v>Medium</v>
      </c>
      <c r="AH354" s="81" t="s">
        <v>72</v>
      </c>
      <c r="AI354" t="str">
        <f>_xlfn.LET(_xlpm.x,_xlfn.CONCAT(_xlfn.XLOOKUP(D354,beans!$A$2:$A$300,beans!$J$2:$J$300,"")," / ",_xlfn.XLOOKUP(D354,beans!$A$2:$A$300,beans!$K$2:$K$300,"")," - ",_xlfn.XLOOKUP(D354,beans!$A$2:$A$300,beans!$L$2:$L$300,"")),IF(_xlpm.x=" /  - ","",_xlpm.x))</f>
        <v>穆拉雅 / 卡甘達 - SL28、SL34</v>
      </c>
      <c r="AJ354" s="23" t="s">
        <v>607</v>
      </c>
    </row>
    <row r="355" spans="1:36" x14ac:dyDescent="0.3">
      <c r="A355">
        <v>338</v>
      </c>
      <c r="B355">
        <v>250</v>
      </c>
      <c r="D355">
        <v>29</v>
      </c>
      <c r="E355" t="str">
        <f>_xlfn.LET(_xlpm.x,_xlfn.XLOOKUP(D355,beans!$A$2:$A$300,beans!$H$2:$H$300,""),IF(_xlpm.x="","",_xlpm.x))</f>
        <v>肯亞</v>
      </c>
      <c r="F355" s="22" t="str">
        <f>_xlfn.XLOOKUP(E355,menu!$A$2:$A$37,menu!$B$2:$B$37,"")</f>
        <v>Kenya</v>
      </c>
      <c r="G355" t="str">
        <f>_xlfn.XLOOKUP(E355,menu!$A$2:$A$37,menu!$C$2:$C$37,"")</f>
        <v>ken</v>
      </c>
      <c r="H355" t="str">
        <f>_xlfn.LET(_xlpm.x,_xlfn.XLOOKUP(_xlfn.XLOOKUP(D355,beans!$A$2:$A$300,beans!$I$2:$I$300),menu!$E$2:$E$20,menu!$F$2:$F$20),IF(_xlpm.x="","",_xlpm.x))</f>
        <v>washed</v>
      </c>
      <c r="I355">
        <v>200</v>
      </c>
      <c r="J355">
        <v>80</v>
      </c>
      <c r="K355">
        <v>30</v>
      </c>
      <c r="L355">
        <v>70</v>
      </c>
      <c r="M355" s="68" t="s">
        <v>188</v>
      </c>
      <c r="N355">
        <v>90.8</v>
      </c>
      <c r="P355" s="67" t="s">
        <v>631</v>
      </c>
      <c r="Q355" s="68">
        <v>199</v>
      </c>
      <c r="R355" s="67" t="s">
        <v>134</v>
      </c>
      <c r="S355" s="68">
        <v>217.5</v>
      </c>
      <c r="T355" s="68">
        <f t="shared" si="50"/>
        <v>18.5</v>
      </c>
      <c r="U355">
        <f t="shared" si="46"/>
        <v>113</v>
      </c>
      <c r="V355">
        <f t="shared" si="51"/>
        <v>9.8000000000000007</v>
      </c>
      <c r="W355">
        <f t="shared" si="47"/>
        <v>18.77</v>
      </c>
      <c r="X355" s="19">
        <v>45563</v>
      </c>
      <c r="Y355" s="26">
        <v>203</v>
      </c>
      <c r="Z355" s="61">
        <v>0</v>
      </c>
      <c r="AB355" s="28">
        <f t="shared" si="48"/>
        <v>0.188</v>
      </c>
      <c r="AC355" s="110">
        <v>47.6</v>
      </c>
      <c r="AD355" s="26">
        <v>62.6</v>
      </c>
      <c r="AE355" s="61">
        <f t="shared" si="49"/>
        <v>15</v>
      </c>
      <c r="AF355" s="77" t="str">
        <f>_xlfn.XLOOKUP(AD355,menu!$K$2:$K$9,menu!$J$2:$J$9,"",1)</f>
        <v>中淺</v>
      </c>
      <c r="AG355" s="80" t="str">
        <f>_xlfn.XLOOKUP(AH355,menu!$O$2:$O$9,menu!$H$2:$H$9,"")</f>
        <v>Medium</v>
      </c>
      <c r="AH355" s="81" t="s">
        <v>72</v>
      </c>
      <c r="AI355" t="str">
        <f>_xlfn.LET(_xlpm.x,_xlfn.CONCAT(_xlfn.XLOOKUP(D355,beans!$A$2:$A$300,beans!$J$2:$J$300,"")," / ",_xlfn.XLOOKUP(D355,beans!$A$2:$A$300,beans!$K$2:$K$300,"")," - ",_xlfn.XLOOKUP(D355,beans!$A$2:$A$300,beans!$L$2:$L$300,"")),IF(_xlpm.x=" /  - ","",_xlpm.x))</f>
        <v>麒麟雅加 / 卡娜沐伊 - Ruiru 11 / SL-28 / Batian</v>
      </c>
      <c r="AJ355" s="23" t="s">
        <v>632</v>
      </c>
    </row>
    <row r="356" spans="1:36" x14ac:dyDescent="0.3">
      <c r="A356">
        <v>339</v>
      </c>
      <c r="B356">
        <v>500</v>
      </c>
      <c r="D356">
        <v>29</v>
      </c>
      <c r="E356" t="str">
        <f>_xlfn.LET(_xlpm.x,_xlfn.XLOOKUP(D356,beans!$A$2:$A$300,beans!$H$2:$H$300,""),IF(_xlpm.x="","",_xlpm.x))</f>
        <v>肯亞</v>
      </c>
      <c r="F356" s="22" t="str">
        <f>_xlfn.XLOOKUP(E356,menu!$A$2:$A$37,menu!$B$2:$B$37,"")</f>
        <v>Kenya</v>
      </c>
      <c r="G356" t="str">
        <f>_xlfn.XLOOKUP(E356,menu!$A$2:$A$37,menu!$C$2:$C$37,"")</f>
        <v>ken</v>
      </c>
      <c r="H356" t="str">
        <f>_xlfn.LET(_xlpm.x,_xlfn.XLOOKUP(_xlfn.XLOOKUP(D356,beans!$A$2:$A$300,beans!$I$2:$I$300),menu!$E$2:$E$20,menu!$F$2:$F$20),IF(_xlpm.x="","",_xlpm.x))</f>
        <v>washed</v>
      </c>
      <c r="I356">
        <v>200</v>
      </c>
      <c r="J356">
        <v>90</v>
      </c>
      <c r="K356">
        <v>40</v>
      </c>
      <c r="L356">
        <v>90</v>
      </c>
      <c r="M356" s="68" t="s">
        <v>188</v>
      </c>
      <c r="N356">
        <v>87.2</v>
      </c>
      <c r="P356" s="67" t="s">
        <v>598</v>
      </c>
      <c r="Q356" s="68">
        <v>198</v>
      </c>
      <c r="R356" s="67" t="s">
        <v>91</v>
      </c>
      <c r="S356" s="68">
        <v>218.7</v>
      </c>
      <c r="T356" s="68">
        <f t="shared" si="50"/>
        <v>20.699999999999989</v>
      </c>
      <c r="U356">
        <f t="shared" si="46"/>
        <v>111</v>
      </c>
      <c r="V356">
        <f t="shared" si="51"/>
        <v>11.2</v>
      </c>
      <c r="W356">
        <f t="shared" si="47"/>
        <v>17.96</v>
      </c>
      <c r="X356" s="19">
        <v>45563</v>
      </c>
      <c r="Y356" s="26">
        <v>426.6</v>
      </c>
      <c r="Z356" s="61">
        <v>0</v>
      </c>
      <c r="AB356" s="28">
        <f t="shared" si="48"/>
        <v>0.14679999999999996</v>
      </c>
      <c r="AC356" s="110">
        <v>33.799999999999997</v>
      </c>
      <c r="AD356" s="26">
        <v>58.2</v>
      </c>
      <c r="AE356" s="61">
        <f t="shared" si="49"/>
        <v>24.400000000000006</v>
      </c>
      <c r="AF356" s="77" t="str">
        <f>_xlfn.XLOOKUP(AD356,menu!$K$2:$K$9,menu!$J$2:$J$9,"",1)</f>
        <v>中</v>
      </c>
      <c r="AG356" s="80" t="str">
        <f>_xlfn.XLOOKUP(AH356,menu!$O$2:$O$9,menu!$H$2:$H$9,"")</f>
        <v>Medium</v>
      </c>
      <c r="AH356" s="81" t="s">
        <v>72</v>
      </c>
      <c r="AI356" t="str">
        <f>_xlfn.LET(_xlpm.x,_xlfn.CONCAT(_xlfn.XLOOKUP(D356,beans!$A$2:$A$300,beans!$J$2:$J$300,"")," / ",_xlfn.XLOOKUP(D356,beans!$A$2:$A$300,beans!$K$2:$K$300,"")," - ",_xlfn.XLOOKUP(D356,beans!$A$2:$A$300,beans!$L$2:$L$300,"")),IF(_xlpm.x=" /  - ","",_xlpm.x))</f>
        <v>麒麟雅加 / 卡娜沐伊 - Ruiru 11 / SL-28 / Batian</v>
      </c>
      <c r="AJ356" s="23" t="s">
        <v>632</v>
      </c>
    </row>
    <row r="357" spans="1:36" x14ac:dyDescent="0.3">
      <c r="A357">
        <v>340</v>
      </c>
      <c r="B357">
        <v>500</v>
      </c>
      <c r="D357">
        <v>47</v>
      </c>
      <c r="E357" t="str">
        <f>_xlfn.LET(_xlpm.x,_xlfn.XLOOKUP(D357,beans!$A$2:$A$300,beans!$H$2:$H$300,""),IF(_xlpm.x="","",_xlpm.x))</f>
        <v>衣索比亞</v>
      </c>
      <c r="F357" s="22" t="str">
        <f>_xlfn.XLOOKUP(E357,menu!$A$2:$A$37,menu!$B$2:$B$37,"")</f>
        <v>Ethiopia</v>
      </c>
      <c r="G357" t="str">
        <f>_xlfn.XLOOKUP(E357,menu!$A$2:$A$37,menu!$C$2:$C$37,"")</f>
        <v>eth</v>
      </c>
      <c r="H357" t="str">
        <f>_xlfn.LET(_xlpm.x,_xlfn.XLOOKUP(_xlfn.XLOOKUP(D357,beans!$A$2:$A$300,beans!$I$2:$I$300),menu!$E$2:$E$20,menu!$F$2:$F$20),IF(_xlpm.x="","",_xlpm.x))</f>
        <v>washed</v>
      </c>
      <c r="T357" s="68" t="str">
        <f t="shared" si="50"/>
        <v/>
      </c>
      <c r="U357" t="str">
        <f t="shared" si="46"/>
        <v/>
      </c>
      <c r="V357">
        <f t="shared" si="51"/>
        <v>0</v>
      </c>
      <c r="W357" t="str">
        <f t="shared" si="47"/>
        <v/>
      </c>
      <c r="X357" s="19">
        <v>45563</v>
      </c>
      <c r="Y357" s="26">
        <v>400</v>
      </c>
      <c r="Z357" s="61">
        <v>0</v>
      </c>
      <c r="AB357" s="28">
        <f t="shared" si="48"/>
        <v>0.2</v>
      </c>
      <c r="AC357" s="110">
        <v>38.1</v>
      </c>
      <c r="AD357" s="26">
        <v>45.2</v>
      </c>
      <c r="AE357" s="61">
        <f t="shared" si="49"/>
        <v>7.1000000000000014</v>
      </c>
      <c r="AF357" s="77" t="str">
        <f>_xlfn.XLOOKUP(AD357,menu!$K$2:$K$9,menu!$J$2:$J$9,"",1)</f>
        <v>中深</v>
      </c>
      <c r="AG357" s="80" t="str">
        <f>_xlfn.XLOOKUP(AH357,menu!$O$2:$O$9,menu!$H$2:$H$9,"")</f>
        <v>City</v>
      </c>
      <c r="AH357" s="81" t="s">
        <v>480</v>
      </c>
      <c r="AI357" t="str">
        <f>_xlfn.LET(_xlpm.x,_xlfn.CONCAT(_xlfn.XLOOKUP(D357,beans!$A$2:$A$300,beans!$J$2:$J$300,"")," / ",_xlfn.XLOOKUP(D357,beans!$A$2:$A$300,beans!$K$2:$K$300,"")," - ",_xlfn.XLOOKUP(D357,beans!$A$2:$A$300,beans!$L$2:$L$300,"")),IF(_xlpm.x=" /  - ","",_xlpm.x))</f>
        <v>吉馬莉姆 / 果美村 - 寶貝藝妓</v>
      </c>
      <c r="AJ357" s="23" t="s">
        <v>633</v>
      </c>
    </row>
    <row r="358" spans="1:36" x14ac:dyDescent="0.3">
      <c r="A358">
        <v>341</v>
      </c>
      <c r="B358">
        <v>250</v>
      </c>
      <c r="D358">
        <v>47</v>
      </c>
      <c r="E358" t="str">
        <f>_xlfn.LET(_xlpm.x,_xlfn.XLOOKUP(D358,beans!$A$2:$A$300,beans!$H$2:$H$300,""),IF(_xlpm.x="","",_xlpm.x))</f>
        <v>衣索比亞</v>
      </c>
      <c r="F358" s="22" t="str">
        <f>_xlfn.XLOOKUP(E358,menu!$A$2:$A$37,menu!$B$2:$B$37,"")</f>
        <v>Ethiopia</v>
      </c>
      <c r="G358" t="str">
        <f>_xlfn.XLOOKUP(E358,menu!$A$2:$A$37,menu!$C$2:$C$37,"")</f>
        <v>eth</v>
      </c>
      <c r="H358" t="str">
        <f>_xlfn.LET(_xlpm.x,_xlfn.XLOOKUP(_xlfn.XLOOKUP(D358,beans!$A$2:$A$300,beans!$I$2:$I$300),menu!$E$2:$E$20,menu!$F$2:$F$20),IF(_xlpm.x="","",_xlpm.x))</f>
        <v>washed</v>
      </c>
      <c r="I358">
        <v>200</v>
      </c>
      <c r="J358">
        <v>80</v>
      </c>
      <c r="K358">
        <v>45</v>
      </c>
      <c r="L358">
        <v>70</v>
      </c>
      <c r="M358" s="68" t="s">
        <v>125</v>
      </c>
      <c r="N358">
        <v>87.6</v>
      </c>
      <c r="P358" s="67" t="s">
        <v>634</v>
      </c>
      <c r="Q358" s="68">
        <v>195.9</v>
      </c>
      <c r="R358" s="67" t="s">
        <v>421</v>
      </c>
      <c r="S358" s="68">
        <v>233.8</v>
      </c>
      <c r="T358" s="68">
        <f t="shared" si="50"/>
        <v>37.900000000000006</v>
      </c>
      <c r="U358">
        <f t="shared" si="46"/>
        <v>167</v>
      </c>
      <c r="V358">
        <f t="shared" si="51"/>
        <v>13.6</v>
      </c>
      <c r="W358">
        <f t="shared" si="47"/>
        <v>23.55</v>
      </c>
      <c r="X358" s="19">
        <v>45563</v>
      </c>
      <c r="Y358" s="26">
        <v>200</v>
      </c>
      <c r="Z358" s="61">
        <v>0</v>
      </c>
      <c r="AB358" s="28">
        <f t="shared" si="48"/>
        <v>0.2</v>
      </c>
      <c r="AC358" s="110">
        <v>36.700000000000003</v>
      </c>
      <c r="AD358" s="26">
        <v>43</v>
      </c>
      <c r="AE358" s="61">
        <f t="shared" si="49"/>
        <v>6.2999999999999972</v>
      </c>
      <c r="AF358" s="77" t="str">
        <f>_xlfn.XLOOKUP(AD358,menu!$K$2:$K$9,menu!$J$2:$J$9,"",1)</f>
        <v>中深</v>
      </c>
      <c r="AG358" s="80" t="str">
        <f>_xlfn.XLOOKUP(AH358,menu!$O$2:$O$9,menu!$H$2:$H$9,"")</f>
        <v>City</v>
      </c>
      <c r="AH358" s="81" t="s">
        <v>480</v>
      </c>
      <c r="AI358" t="str">
        <f>_xlfn.LET(_xlpm.x,_xlfn.CONCAT(_xlfn.XLOOKUP(D358,beans!$A$2:$A$300,beans!$J$2:$J$300,"")," / ",_xlfn.XLOOKUP(D358,beans!$A$2:$A$300,beans!$K$2:$K$300,"")," - ",_xlfn.XLOOKUP(D358,beans!$A$2:$A$300,beans!$L$2:$L$300,"")),IF(_xlpm.x=" /  - ","",_xlpm.x))</f>
        <v>吉馬莉姆 / 果美村 - 寶貝藝妓</v>
      </c>
      <c r="AJ358" s="23" t="s">
        <v>483</v>
      </c>
    </row>
    <row r="359" spans="1:36" x14ac:dyDescent="0.3">
      <c r="A359">
        <v>342</v>
      </c>
      <c r="B359">
        <v>250</v>
      </c>
      <c r="D359">
        <v>19</v>
      </c>
      <c r="E359" t="str">
        <f>_xlfn.LET(_xlpm.x,_xlfn.XLOOKUP(D359,beans!$A$2:$A$300,beans!$H$2:$H$300,""),IF(_xlpm.x="","",_xlpm.x))</f>
        <v>衣索比亞</v>
      </c>
      <c r="F359" s="22" t="str">
        <f>_xlfn.XLOOKUP(E359,menu!$A$2:$A$37,menu!$B$2:$B$37,"")</f>
        <v>Ethiopia</v>
      </c>
      <c r="G359" t="str">
        <f>_xlfn.XLOOKUP(E359,menu!$A$2:$A$37,menu!$C$2:$C$37,"")</f>
        <v>eth</v>
      </c>
      <c r="H359" t="str">
        <f>_xlfn.LET(_xlpm.x,_xlfn.XLOOKUP(_xlfn.XLOOKUP(D359,beans!$A$2:$A$300,beans!$I$2:$I$300),menu!$E$2:$E$20,menu!$F$2:$F$20),IF(_xlpm.x="","",_xlpm.x))</f>
        <v>Alcoholic Natural</v>
      </c>
      <c r="I359">
        <v>200</v>
      </c>
      <c r="J359">
        <v>80</v>
      </c>
      <c r="K359">
        <v>45</v>
      </c>
      <c r="L359">
        <v>75</v>
      </c>
      <c r="M359" s="68" t="s">
        <v>163</v>
      </c>
      <c r="N359">
        <v>93.9</v>
      </c>
      <c r="P359" s="67" t="s">
        <v>600</v>
      </c>
      <c r="Q359" s="68">
        <v>207.7</v>
      </c>
      <c r="R359" s="67" t="s">
        <v>177</v>
      </c>
      <c r="S359" s="68">
        <v>218.3</v>
      </c>
      <c r="T359" s="68">
        <f t="shared" si="50"/>
        <v>10.600000000000023</v>
      </c>
      <c r="U359">
        <f t="shared" si="46"/>
        <v>56</v>
      </c>
      <c r="V359">
        <f t="shared" si="51"/>
        <v>11.4</v>
      </c>
      <c r="W359">
        <f t="shared" si="47"/>
        <v>9.74</v>
      </c>
      <c r="X359" s="19">
        <v>45563</v>
      </c>
      <c r="Y359" s="26">
        <v>203</v>
      </c>
      <c r="Z359" s="61">
        <v>0</v>
      </c>
      <c r="AB359" s="28">
        <f t="shared" si="48"/>
        <v>0.188</v>
      </c>
      <c r="AC359" s="110">
        <v>48.2</v>
      </c>
      <c r="AD359" s="26">
        <v>70.5</v>
      </c>
      <c r="AE359" s="61">
        <f t="shared" si="49"/>
        <v>22.299999999999997</v>
      </c>
      <c r="AF359" s="77" t="str">
        <f>_xlfn.XLOOKUP(AD359,menu!$K$2:$K$9,menu!$J$2:$J$9,"",1)</f>
        <v>淺</v>
      </c>
      <c r="AG359" s="80" t="str">
        <f>_xlfn.XLOOKUP(AH359,menu!$O$2:$O$9,menu!$H$2:$H$9,"")</f>
        <v>Cinamon</v>
      </c>
      <c r="AH359" s="81" t="s">
        <v>78</v>
      </c>
      <c r="AI359" t="str">
        <f>_xlfn.LET(_xlpm.x,_xlfn.CONCAT(_xlfn.XLOOKUP(D359,beans!$A$2:$A$300,beans!$J$2:$J$300,"")," / ",_xlfn.XLOOKUP(D359,beans!$A$2:$A$300,beans!$K$2:$K$300,"")," - ",_xlfn.XLOOKUP(D359,beans!$A$2:$A$300,beans!$L$2:$L$300,"")),IF(_xlpm.x=" /  - ","",_xlpm.x))</f>
        <v>古吉 / 艾德 - Heirloom</v>
      </c>
      <c r="AJ359" s="23" t="s">
        <v>635</v>
      </c>
    </row>
    <row r="360" spans="1:36" x14ac:dyDescent="0.3">
      <c r="A360">
        <v>343</v>
      </c>
      <c r="B360">
        <v>362</v>
      </c>
      <c r="D360">
        <v>9</v>
      </c>
      <c r="E360" t="str">
        <f>_xlfn.LET(_xlpm.x,_xlfn.XLOOKUP(D360,beans!$A$2:$A$300,beans!$H$2:$H$300,""),IF(_xlpm.x="","",_xlpm.x))</f>
        <v>衣索比亞</v>
      </c>
      <c r="F360" s="22" t="str">
        <f>_xlfn.XLOOKUP(E360,menu!$A$2:$A$37,menu!$B$2:$B$37,"")</f>
        <v>Ethiopia</v>
      </c>
      <c r="G360" t="str">
        <f>_xlfn.XLOOKUP(E360,menu!$A$2:$A$37,menu!$C$2:$C$37,"")</f>
        <v>eth</v>
      </c>
      <c r="H360" t="str">
        <f>_xlfn.LET(_xlpm.x,_xlfn.XLOOKUP(_xlfn.XLOOKUP(D360,beans!$A$2:$A$300,beans!$I$2:$I$300),menu!$E$2:$E$20,menu!$F$2:$F$20),IF(_xlpm.x="","",_xlpm.x))</f>
        <v>natural</v>
      </c>
      <c r="I360">
        <v>200</v>
      </c>
      <c r="J360">
        <v>80</v>
      </c>
      <c r="K360">
        <v>45</v>
      </c>
      <c r="L360">
        <v>80</v>
      </c>
      <c r="M360" s="68" t="s">
        <v>188</v>
      </c>
      <c r="N360">
        <v>84.7</v>
      </c>
      <c r="P360" s="67" t="s">
        <v>621</v>
      </c>
      <c r="Q360" s="68">
        <v>209</v>
      </c>
      <c r="R360" s="67" t="s">
        <v>208</v>
      </c>
      <c r="S360" s="68">
        <v>220.2</v>
      </c>
      <c r="T360" s="68">
        <f t="shared" si="50"/>
        <v>11.199999999999989</v>
      </c>
      <c r="U360">
        <f t="shared" si="46"/>
        <v>56</v>
      </c>
      <c r="V360">
        <f t="shared" si="51"/>
        <v>12</v>
      </c>
      <c r="W360">
        <f t="shared" si="47"/>
        <v>8.66</v>
      </c>
      <c r="X360" s="19">
        <v>45563</v>
      </c>
      <c r="Y360" s="26">
        <v>303</v>
      </c>
      <c r="Z360" s="61">
        <v>0</v>
      </c>
      <c r="AB360" s="28">
        <f t="shared" si="48"/>
        <v>0.16298342541436464</v>
      </c>
      <c r="AC360" s="110">
        <v>54.9</v>
      </c>
      <c r="AD360" s="26">
        <v>72.3</v>
      </c>
      <c r="AE360" s="61">
        <f t="shared" si="49"/>
        <v>17.399999999999999</v>
      </c>
      <c r="AF360" s="77" t="str">
        <f>_xlfn.XLOOKUP(AD360,menu!$K$2:$K$9,menu!$J$2:$J$9,"",1)</f>
        <v>淺</v>
      </c>
      <c r="AG360" s="80" t="str">
        <f>_xlfn.XLOOKUP(AH360,menu!$O$2:$O$9,menu!$H$2:$H$9,"")</f>
        <v>Medium</v>
      </c>
      <c r="AH360" s="81" t="s">
        <v>72</v>
      </c>
      <c r="AI360" t="str">
        <f>_xlfn.LET(_xlpm.x,_xlfn.CONCAT(_xlfn.XLOOKUP(D360,beans!$A$2:$A$300,beans!$J$2:$J$300,"")," / ",_xlfn.XLOOKUP(D360,beans!$A$2:$A$300,beans!$K$2:$K$300,"")," - ",_xlfn.XLOOKUP(D360,beans!$A$2:$A$300,beans!$L$2:$L$300,"")),IF(_xlpm.x=" /  - ","",_xlpm.x))</f>
        <v>吉瑪 利姆 / 果美村 - 寶貝藝妓</v>
      </c>
      <c r="AJ360" s="23" t="s">
        <v>632</v>
      </c>
    </row>
    <row r="361" spans="1:36" x14ac:dyDescent="0.3">
      <c r="A361">
        <v>344</v>
      </c>
      <c r="B361">
        <v>491</v>
      </c>
      <c r="D361">
        <v>72</v>
      </c>
      <c r="E361" t="str">
        <f>_xlfn.LET(_xlpm.x,_xlfn.XLOOKUP(D361,beans!$A$2:$A$300,beans!$H$2:$H$300,""),IF(_xlpm.x="","",_xlpm.x))</f>
        <v>瓜地馬拉</v>
      </c>
      <c r="F361" s="22" t="str">
        <f>_xlfn.XLOOKUP(E361,menu!$A$2:$A$37,menu!$B$2:$B$37,"")</f>
        <v>Guatemala</v>
      </c>
      <c r="G361" t="str">
        <f>_xlfn.XLOOKUP(E361,menu!$A$2:$A$37,menu!$C$2:$C$37,"")</f>
        <v>gtm</v>
      </c>
      <c r="H361" t="str">
        <f>_xlfn.LET(_xlpm.x,_xlfn.XLOOKUP(_xlfn.XLOOKUP(D361,beans!$A$2:$A$300,beans!$I$2:$I$300),menu!$E$2:$E$20,menu!$F$2:$F$20),IF(_xlpm.x="","",_xlpm.x))</f>
        <v>washed</v>
      </c>
      <c r="I361">
        <v>200</v>
      </c>
      <c r="J361">
        <v>85</v>
      </c>
      <c r="K361">
        <v>35</v>
      </c>
      <c r="L361">
        <v>90</v>
      </c>
      <c r="M361" s="68" t="s">
        <v>146</v>
      </c>
      <c r="N361">
        <v>82.3</v>
      </c>
      <c r="P361" s="67" t="s">
        <v>509</v>
      </c>
      <c r="Q361" s="68">
        <v>200.6</v>
      </c>
      <c r="R361" s="67" t="s">
        <v>636</v>
      </c>
      <c r="S361" s="68">
        <v>217.1</v>
      </c>
      <c r="T361" s="68">
        <f t="shared" si="50"/>
        <v>16.5</v>
      </c>
      <c r="U361">
        <f t="shared" si="46"/>
        <v>99</v>
      </c>
      <c r="V361">
        <f t="shared" si="51"/>
        <v>10</v>
      </c>
      <c r="W361">
        <f t="shared" si="47"/>
        <v>13.4</v>
      </c>
      <c r="X361" s="19">
        <v>45571</v>
      </c>
      <c r="Y361" s="26">
        <v>427</v>
      </c>
      <c r="Z361" s="61">
        <v>0</v>
      </c>
      <c r="AB361" s="28">
        <f t="shared" si="48"/>
        <v>0.13034623217922606</v>
      </c>
      <c r="AC361" s="110">
        <v>55.9</v>
      </c>
      <c r="AD361" s="26">
        <v>68.3</v>
      </c>
      <c r="AE361" s="61">
        <f t="shared" si="49"/>
        <v>12.399999999999999</v>
      </c>
      <c r="AF361" s="77" t="str">
        <f>_xlfn.XLOOKUP(AD361,menu!$K$2:$K$9,menu!$J$2:$J$9,"",1)</f>
        <v>中淺</v>
      </c>
      <c r="AG361" s="80" t="str">
        <f>_xlfn.XLOOKUP(AH361,menu!$O$2:$O$9,menu!$H$2:$H$9,"")</f>
        <v>Medium</v>
      </c>
      <c r="AH361" s="81" t="s">
        <v>72</v>
      </c>
      <c r="AI361" t="str">
        <f>_xlfn.LET(_xlpm.x,_xlfn.CONCAT(_xlfn.XLOOKUP(D361,beans!$A$2:$A$300,beans!$J$2:$J$300,"")," / ",_xlfn.XLOOKUP(D361,beans!$A$2:$A$300,beans!$K$2:$K$300,"")," - ",_xlfn.XLOOKUP(D361,beans!$A$2:$A$300,beans!$L$2:$L$300,"")),IF(_xlpm.x=" /  - ","",_xlpm.x))</f>
        <v>薇薇特南果 / 艾因赫特莊園 - 波旁、卡杜拉、卡杜艾</v>
      </c>
      <c r="AJ361" s="23" t="s">
        <v>637</v>
      </c>
    </row>
    <row r="362" spans="1:36" x14ac:dyDescent="0.3">
      <c r="A362">
        <v>345</v>
      </c>
      <c r="B362">
        <v>492</v>
      </c>
      <c r="D362">
        <v>73</v>
      </c>
      <c r="E362" t="str">
        <f>_xlfn.LET(_xlpm.x,_xlfn.XLOOKUP(D362,beans!$A$2:$A$300,beans!$H$2:$H$300,""),IF(_xlpm.x="","",_xlpm.x))</f>
        <v>瓜地馬拉</v>
      </c>
      <c r="F362" s="22" t="str">
        <f>_xlfn.XLOOKUP(E362,menu!$A$2:$A$37,menu!$B$2:$B$37,"")</f>
        <v>Guatemala</v>
      </c>
      <c r="G362" t="str">
        <f>_xlfn.XLOOKUP(E362,menu!$A$2:$A$37,menu!$C$2:$C$37,"")</f>
        <v>gtm</v>
      </c>
      <c r="H362" t="str">
        <f>_xlfn.LET(_xlpm.x,_xlfn.XLOOKUP(_xlfn.XLOOKUP(D362,beans!$A$2:$A$300,beans!$I$2:$I$300),menu!$E$2:$E$20,menu!$F$2:$F$20),IF(_xlpm.x="","",_xlpm.x))</f>
        <v>natural</v>
      </c>
      <c r="I362">
        <v>200</v>
      </c>
      <c r="J362">
        <v>85</v>
      </c>
      <c r="K362">
        <v>35</v>
      </c>
      <c r="L362">
        <v>90</v>
      </c>
      <c r="M362" s="68" t="s">
        <v>80</v>
      </c>
      <c r="N362">
        <v>81.900000000000006</v>
      </c>
      <c r="P362" s="67" t="s">
        <v>245</v>
      </c>
      <c r="Q362" s="68">
        <v>206.8</v>
      </c>
      <c r="R362" s="67" t="s">
        <v>502</v>
      </c>
      <c r="S362" s="68">
        <v>220.2</v>
      </c>
      <c r="T362" s="68">
        <f t="shared" si="50"/>
        <v>13.399999999999977</v>
      </c>
      <c r="U362">
        <f t="shared" si="46"/>
        <v>74</v>
      </c>
      <c r="V362">
        <f t="shared" si="51"/>
        <v>10.9</v>
      </c>
      <c r="W362">
        <f t="shared" si="47"/>
        <v>10.25</v>
      </c>
      <c r="X362" s="19">
        <v>45571</v>
      </c>
      <c r="Y362" s="26">
        <v>418</v>
      </c>
      <c r="Z362" s="61">
        <v>0</v>
      </c>
      <c r="AB362" s="28">
        <f t="shared" si="48"/>
        <v>0.15040650406504066</v>
      </c>
      <c r="AC362" s="110">
        <v>52.1</v>
      </c>
      <c r="AD362" s="26">
        <v>65.099999999999994</v>
      </c>
      <c r="AE362" s="61">
        <f t="shared" si="49"/>
        <v>12.999999999999993</v>
      </c>
      <c r="AF362" s="77" t="str">
        <f>_xlfn.XLOOKUP(AD362,menu!$K$2:$K$9,menu!$J$2:$J$9,"",1)</f>
        <v>中淺</v>
      </c>
      <c r="AG362" s="80" t="str">
        <f>_xlfn.XLOOKUP(AH362,menu!$O$2:$O$9,menu!$H$2:$H$9,"")</f>
        <v>Medium</v>
      </c>
      <c r="AH362" s="81" t="s">
        <v>72</v>
      </c>
      <c r="AI362" t="str">
        <f>_xlfn.LET(_xlpm.x,_xlfn.CONCAT(_xlfn.XLOOKUP(D362,beans!$A$2:$A$300,beans!$J$2:$J$300,"")," / ",_xlfn.XLOOKUP(D362,beans!$A$2:$A$300,beans!$K$2:$K$300,"")," - ",_xlfn.XLOOKUP(D362,beans!$A$2:$A$300,beans!$L$2:$L$300,"")),IF(_xlpm.x=" /  - ","",_xlpm.x))</f>
        <v>安提瓜 (Antiqua) / 卡佩提洛莊園 - 帕卡瑪拉種</v>
      </c>
      <c r="AJ362" s="23" t="s">
        <v>637</v>
      </c>
    </row>
    <row r="363" spans="1:36" x14ac:dyDescent="0.3">
      <c r="A363">
        <v>346</v>
      </c>
      <c r="B363">
        <v>495</v>
      </c>
      <c r="D363">
        <v>76</v>
      </c>
      <c r="E363" t="str">
        <f>_xlfn.LET(_xlpm.x,_xlfn.XLOOKUP(D363,beans!$A$2:$A$300,beans!$H$2:$H$300,""),IF(_xlpm.x="","",_xlpm.x))</f>
        <v>瓜地馬拉</v>
      </c>
      <c r="F363" s="22" t="str">
        <f>_xlfn.XLOOKUP(E363,menu!$A$2:$A$37,menu!$B$2:$B$37,"")</f>
        <v>Guatemala</v>
      </c>
      <c r="G363" t="str">
        <f>_xlfn.XLOOKUP(E363,menu!$A$2:$A$37,menu!$C$2:$C$37,"")</f>
        <v>gtm</v>
      </c>
      <c r="H363" t="str">
        <f>_xlfn.LET(_xlpm.x,_xlfn.XLOOKUP(_xlfn.XLOOKUP(D363,beans!$A$2:$A$300,beans!$I$2:$I$300),menu!$E$2:$E$20,menu!$F$2:$F$20),IF(_xlpm.x="","",_xlpm.x))</f>
        <v>washed</v>
      </c>
      <c r="I363">
        <v>210</v>
      </c>
      <c r="J363">
        <v>85</v>
      </c>
      <c r="K363">
        <v>35</v>
      </c>
      <c r="L363">
        <v>90</v>
      </c>
      <c r="M363" s="68" t="s">
        <v>146</v>
      </c>
      <c r="N363">
        <v>87.9</v>
      </c>
      <c r="P363" s="67" t="s">
        <v>373</v>
      </c>
      <c r="Q363" s="68">
        <v>203.7</v>
      </c>
      <c r="R363" s="67" t="s">
        <v>433</v>
      </c>
      <c r="S363" s="68">
        <v>215.8</v>
      </c>
      <c r="T363" s="68">
        <f t="shared" si="50"/>
        <v>12.100000000000023</v>
      </c>
      <c r="U363">
        <f t="shared" si="46"/>
        <v>62</v>
      </c>
      <c r="V363">
        <f t="shared" si="51"/>
        <v>11.7</v>
      </c>
      <c r="W363">
        <f t="shared" si="47"/>
        <v>9.09</v>
      </c>
      <c r="X363" s="19">
        <v>45571</v>
      </c>
      <c r="Y363" s="26">
        <v>428</v>
      </c>
      <c r="Z363" s="61">
        <v>0</v>
      </c>
      <c r="AB363" s="28">
        <f t="shared" si="48"/>
        <v>0.13535353535353536</v>
      </c>
      <c r="AC363" s="110">
        <v>59.1</v>
      </c>
      <c r="AD363" s="26">
        <v>74.5</v>
      </c>
      <c r="AE363" s="61">
        <f t="shared" si="49"/>
        <v>15.399999999999999</v>
      </c>
      <c r="AF363" s="77" t="str">
        <f>_xlfn.XLOOKUP(AD363,menu!$K$2:$K$9,menu!$J$2:$J$9,"",1)</f>
        <v>淺</v>
      </c>
      <c r="AG363" s="80" t="str">
        <f>_xlfn.XLOOKUP(AH363,menu!$O$2:$O$9,menu!$H$2:$H$9,"")</f>
        <v>Cinamon</v>
      </c>
      <c r="AH363" s="81" t="s">
        <v>78</v>
      </c>
      <c r="AI363" t="str">
        <f>_xlfn.LET(_xlpm.x,_xlfn.CONCAT(_xlfn.XLOOKUP(D363,beans!$A$2:$A$300,beans!$J$2:$J$300,"")," / ",_xlfn.XLOOKUP(D363,beans!$A$2:$A$300,beans!$K$2:$K$300,"")," - ",_xlfn.XLOOKUP(D363,beans!$A$2:$A$300,beans!$L$2:$L$300,"")),IF(_xlpm.x=" /  - ","",_xlpm.x))</f>
        <v>安提瓜 (Antiqua) / 花神 - 波旁、卡杜拉</v>
      </c>
      <c r="AJ363" s="23" t="s">
        <v>637</v>
      </c>
    </row>
    <row r="364" spans="1:36" x14ac:dyDescent="0.3">
      <c r="A364">
        <v>347</v>
      </c>
      <c r="B364">
        <v>496.7</v>
      </c>
      <c r="D364">
        <v>80</v>
      </c>
      <c r="E364" t="str">
        <f>_xlfn.LET(_xlpm.x,_xlfn.XLOOKUP(D364,beans!$A$2:$A$300,beans!$H$2:$H$300,""),IF(_xlpm.x="","",_xlpm.x))</f>
        <v>衣索比亞</v>
      </c>
      <c r="F364" s="22" t="str">
        <f>_xlfn.XLOOKUP(E364,menu!$A$2:$A$37,menu!$B$2:$B$37,"")</f>
        <v>Ethiopia</v>
      </c>
      <c r="G364" t="str">
        <f>_xlfn.XLOOKUP(E364,menu!$A$2:$A$37,menu!$C$2:$C$37,"")</f>
        <v>eth</v>
      </c>
      <c r="H364" t="str">
        <f>_xlfn.LET(_xlpm.x,_xlfn.XLOOKUP(_xlfn.XLOOKUP(D364,beans!$A$2:$A$300,beans!$I$2:$I$300),menu!$E$2:$E$20,menu!$F$2:$F$20),IF(_xlpm.x="","",_xlpm.x))</f>
        <v>washed</v>
      </c>
      <c r="I364">
        <v>210</v>
      </c>
      <c r="J364">
        <v>85</v>
      </c>
      <c r="K364">
        <v>35</v>
      </c>
      <c r="L364">
        <v>90</v>
      </c>
      <c r="M364" s="68" t="s">
        <v>75</v>
      </c>
      <c r="N364">
        <v>88.9</v>
      </c>
      <c r="P364" s="67" t="s">
        <v>570</v>
      </c>
      <c r="Q364" s="68">
        <v>200.6</v>
      </c>
      <c r="R364" s="67" t="s">
        <v>525</v>
      </c>
      <c r="S364" s="68">
        <v>215.3</v>
      </c>
      <c r="T364" s="68">
        <f t="shared" si="50"/>
        <v>14.700000000000017</v>
      </c>
      <c r="U364">
        <f t="shared" si="46"/>
        <v>77</v>
      </c>
      <c r="V364">
        <f t="shared" si="51"/>
        <v>11.5</v>
      </c>
      <c r="W364">
        <f t="shared" si="47"/>
        <v>11.13</v>
      </c>
      <c r="X364" s="19">
        <v>45571</v>
      </c>
      <c r="Y364" s="26">
        <v>430</v>
      </c>
      <c r="Z364" s="61">
        <v>0</v>
      </c>
      <c r="AB364" s="28">
        <f t="shared" si="48"/>
        <v>0.13428628951077107</v>
      </c>
      <c r="AC364" s="110">
        <v>51.8</v>
      </c>
      <c r="AD364" s="26">
        <v>74.599999999999994</v>
      </c>
      <c r="AE364" s="61">
        <f t="shared" si="49"/>
        <v>22.799999999999997</v>
      </c>
      <c r="AF364" s="77" t="str">
        <f>_xlfn.XLOOKUP(AD364,menu!$K$2:$K$9,menu!$J$2:$J$9,"",1)</f>
        <v>淺</v>
      </c>
      <c r="AG364" s="80" t="str">
        <f>_xlfn.XLOOKUP(AH364,menu!$O$2:$O$9,menu!$H$2:$H$9,"")</f>
        <v>Cinamon</v>
      </c>
      <c r="AH364" s="81" t="s">
        <v>78</v>
      </c>
      <c r="AI364" t="str">
        <f>_xlfn.LET(_xlpm.x,_xlfn.CONCAT(_xlfn.XLOOKUP(D364,beans!$A$2:$A$300,beans!$J$2:$J$300,"")," / ",_xlfn.XLOOKUP(D364,beans!$A$2:$A$300,beans!$K$2:$K$300,"")," - ",_xlfn.XLOOKUP(D364,beans!$A$2:$A$300,beans!$L$2:$L$300,"")),IF(_xlpm.x=" /  - ","",_xlpm.x))</f>
        <v xml:space="preserve">古吉 丁圖 / 罕貝拉 - </v>
      </c>
      <c r="AJ364" s="23" t="s">
        <v>637</v>
      </c>
    </row>
    <row r="365" spans="1:36" x14ac:dyDescent="0.3">
      <c r="A365">
        <v>348</v>
      </c>
      <c r="B365">
        <v>494.3</v>
      </c>
      <c r="D365">
        <v>79</v>
      </c>
      <c r="E365" t="str">
        <f>_xlfn.LET(_xlpm.x,_xlfn.XLOOKUP(D365,beans!$A$2:$A$300,beans!$H$2:$H$300,""),IF(_xlpm.x="","",_xlpm.x))</f>
        <v>衣索比亞</v>
      </c>
      <c r="F365" s="22" t="str">
        <f>_xlfn.XLOOKUP(E365,menu!$A$2:$A$37,menu!$B$2:$B$37,"")</f>
        <v>Ethiopia</v>
      </c>
      <c r="G365" t="str">
        <f>_xlfn.XLOOKUP(E365,menu!$A$2:$A$37,menu!$C$2:$C$37,"")</f>
        <v>eth</v>
      </c>
      <c r="H365" t="str">
        <f>_xlfn.LET(_xlpm.x,_xlfn.XLOOKUP(_xlfn.XLOOKUP(D365,beans!$A$2:$A$300,beans!$I$2:$I$300),menu!$E$2:$E$20,menu!$F$2:$F$20),IF(_xlpm.x="","",_xlpm.x))</f>
        <v>natural</v>
      </c>
      <c r="I365">
        <v>210</v>
      </c>
      <c r="J365">
        <v>85</v>
      </c>
      <c r="K365">
        <v>35</v>
      </c>
      <c r="L365">
        <v>90</v>
      </c>
      <c r="M365" s="68" t="s">
        <v>54</v>
      </c>
      <c r="N365">
        <v>85.1</v>
      </c>
      <c r="P365" s="67" t="s">
        <v>343</v>
      </c>
      <c r="Q365" s="68">
        <v>204.9</v>
      </c>
      <c r="R365" s="67" t="s">
        <v>301</v>
      </c>
      <c r="S365" s="68">
        <v>218.5</v>
      </c>
      <c r="T365" s="68">
        <f t="shared" si="50"/>
        <v>13.599999999999994</v>
      </c>
      <c r="U365">
        <f t="shared" si="46"/>
        <v>63</v>
      </c>
      <c r="V365">
        <f t="shared" si="51"/>
        <v>13</v>
      </c>
      <c r="W365">
        <f t="shared" si="47"/>
        <v>9.66</v>
      </c>
      <c r="X365" s="19">
        <v>45571</v>
      </c>
      <c r="Y365" s="26">
        <v>424</v>
      </c>
      <c r="Z365" s="61">
        <v>0</v>
      </c>
      <c r="AB365" s="28">
        <f t="shared" si="48"/>
        <v>0.14222132308314792</v>
      </c>
      <c r="AC365" s="110">
        <v>54.3</v>
      </c>
      <c r="AD365" s="26">
        <v>74.900000000000006</v>
      </c>
      <c r="AE365" s="61">
        <f t="shared" si="49"/>
        <v>20.600000000000009</v>
      </c>
      <c r="AF365" s="77" t="str">
        <f>_xlfn.XLOOKUP(AD365,menu!$K$2:$K$9,menu!$J$2:$J$9,"",1)</f>
        <v>淺</v>
      </c>
      <c r="AG365" s="80" t="str">
        <f>_xlfn.XLOOKUP(AH365,menu!$O$2:$O$9,menu!$H$2:$H$9,"")</f>
        <v>Cinamon</v>
      </c>
      <c r="AH365" s="81" t="s">
        <v>78</v>
      </c>
      <c r="AI365" t="str">
        <f>_xlfn.LET(_xlpm.x,_xlfn.CONCAT(_xlfn.XLOOKUP(D365,beans!$A$2:$A$300,beans!$J$2:$J$300,"")," / ",_xlfn.XLOOKUP(D365,beans!$A$2:$A$300,beans!$K$2:$K$300,"")," - ",_xlfn.XLOOKUP(D365,beans!$A$2:$A$300,beans!$L$2:$L$300,"")),IF(_xlpm.x=" /  - ","",_xlpm.x))</f>
        <v xml:space="preserve">古吉 烏拉嘎 / 所羅門 - </v>
      </c>
      <c r="AJ365" s="23" t="s">
        <v>637</v>
      </c>
    </row>
    <row r="366" spans="1:36" x14ac:dyDescent="0.3">
      <c r="A366">
        <v>349</v>
      </c>
      <c r="B366">
        <v>492.7</v>
      </c>
      <c r="D366">
        <v>78</v>
      </c>
      <c r="E366" t="str">
        <f>_xlfn.LET(_xlpm.x,_xlfn.XLOOKUP(D366,beans!$A$2:$A$300,beans!$H$2:$H$300,""),IF(_xlpm.x="","",_xlpm.x))</f>
        <v>衣索比亞</v>
      </c>
      <c r="F366" s="22" t="str">
        <f>_xlfn.XLOOKUP(E366,menu!$A$2:$A$37,menu!$B$2:$B$37,"")</f>
        <v>Ethiopia</v>
      </c>
      <c r="G366" t="str">
        <f>_xlfn.XLOOKUP(E366,menu!$A$2:$A$37,menu!$C$2:$C$37,"")</f>
        <v>eth</v>
      </c>
      <c r="H366" t="str">
        <f>_xlfn.LET(_xlpm.x,_xlfn.XLOOKUP(_xlfn.XLOOKUP(D366,beans!$A$2:$A$300,beans!$I$2:$I$300),menu!$E$2:$E$20,menu!$F$2:$F$20),IF(_xlpm.x="","",_xlpm.x))</f>
        <v>honey</v>
      </c>
      <c r="I366">
        <v>210</v>
      </c>
      <c r="J366">
        <v>85</v>
      </c>
      <c r="K366">
        <v>35</v>
      </c>
      <c r="L366">
        <v>90</v>
      </c>
      <c r="M366" s="68" t="s">
        <v>207</v>
      </c>
      <c r="N366">
        <v>89.9</v>
      </c>
      <c r="P366" s="67" t="s">
        <v>638</v>
      </c>
      <c r="Q366" s="68">
        <v>205.5</v>
      </c>
      <c r="R366" s="67" t="s">
        <v>369</v>
      </c>
      <c r="S366" s="68">
        <v>215.9</v>
      </c>
      <c r="T366" s="68">
        <f t="shared" si="50"/>
        <v>10.400000000000006</v>
      </c>
      <c r="U366">
        <f t="shared" si="46"/>
        <v>49</v>
      </c>
      <c r="V366">
        <f t="shared" si="51"/>
        <v>12.7</v>
      </c>
      <c r="W366">
        <f t="shared" si="47"/>
        <v>7.78</v>
      </c>
      <c r="X366" s="19">
        <v>45571</v>
      </c>
      <c r="Y366" s="26">
        <v>424</v>
      </c>
      <c r="Z366" s="61">
        <v>0</v>
      </c>
      <c r="AB366" s="28">
        <f t="shared" si="48"/>
        <v>0.139435762127055</v>
      </c>
      <c r="AC366" s="110">
        <v>41.7</v>
      </c>
      <c r="AD366" s="26">
        <v>76.900000000000006</v>
      </c>
      <c r="AE366" s="61">
        <f t="shared" si="49"/>
        <v>35.200000000000003</v>
      </c>
      <c r="AF366" s="77" t="str">
        <f>_xlfn.XLOOKUP(AD366,menu!$K$2:$K$9,menu!$J$2:$J$9,"",1)</f>
        <v>淺</v>
      </c>
      <c r="AG366" s="80" t="str">
        <f>_xlfn.XLOOKUP(AH366,menu!$O$2:$O$9,menu!$H$2:$H$9,"")</f>
        <v>Cinamon</v>
      </c>
      <c r="AH366" s="81" t="s">
        <v>78</v>
      </c>
      <c r="AI366" t="str">
        <f>_xlfn.LET(_xlpm.x,_xlfn.CONCAT(_xlfn.XLOOKUP(D366,beans!$A$2:$A$300,beans!$J$2:$J$300,"")," / ",_xlfn.XLOOKUP(D366,beans!$A$2:$A$300,beans!$K$2:$K$300,"")," - ",_xlfn.XLOOKUP(D366,beans!$A$2:$A$300,beans!$L$2:$L$300,"")),IF(_xlpm.x=" /  - ","",_xlpm.x))</f>
        <v xml:space="preserve">耶加雪菲 / 科克 - </v>
      </c>
      <c r="AJ366" s="23" t="s">
        <v>637</v>
      </c>
    </row>
    <row r="367" spans="1:36" x14ac:dyDescent="0.3">
      <c r="A367">
        <v>350</v>
      </c>
      <c r="B367">
        <v>496</v>
      </c>
      <c r="D367">
        <v>74</v>
      </c>
      <c r="E367" t="str">
        <f>_xlfn.LET(_xlpm.x,_xlfn.XLOOKUP(D367,beans!$A$2:$A$300,beans!$H$2:$H$300,""),IF(_xlpm.x="","",_xlpm.x))</f>
        <v>瓜地馬拉</v>
      </c>
      <c r="F367" s="22" t="str">
        <f>_xlfn.XLOOKUP(E367,menu!$A$2:$A$37,menu!$B$2:$B$37,"")</f>
        <v>Guatemala</v>
      </c>
      <c r="G367" t="str">
        <f>_xlfn.XLOOKUP(E367,menu!$A$2:$A$37,menu!$C$2:$C$37,"")</f>
        <v>gtm</v>
      </c>
      <c r="H367" t="str">
        <f>_xlfn.LET(_xlpm.x,_xlfn.XLOOKUP(_xlfn.XLOOKUP(D367,beans!$A$2:$A$300,beans!$I$2:$I$300),menu!$E$2:$E$20,menu!$F$2:$F$20),IF(_xlpm.x="","",_xlpm.x))</f>
        <v>natural</v>
      </c>
      <c r="I367">
        <v>210</v>
      </c>
      <c r="J367">
        <v>85</v>
      </c>
      <c r="K367">
        <v>35</v>
      </c>
      <c r="L367">
        <v>90</v>
      </c>
      <c r="M367" s="68" t="s">
        <v>639</v>
      </c>
      <c r="N367">
        <v>88.7</v>
      </c>
      <c r="P367" s="67" t="s">
        <v>509</v>
      </c>
      <c r="Q367" s="68">
        <v>207.6</v>
      </c>
      <c r="R367" s="67" t="s">
        <v>525</v>
      </c>
      <c r="S367" s="68">
        <v>218.2</v>
      </c>
      <c r="T367" s="68">
        <f t="shared" si="50"/>
        <v>10.599999999999994</v>
      </c>
      <c r="U367">
        <f t="shared" si="46"/>
        <v>52</v>
      </c>
      <c r="V367">
        <f t="shared" si="51"/>
        <v>12.2</v>
      </c>
      <c r="W367">
        <f t="shared" si="47"/>
        <v>7.51</v>
      </c>
      <c r="X367" s="19">
        <v>45571</v>
      </c>
      <c r="Y367" s="26">
        <v>421</v>
      </c>
      <c r="Z367" s="61">
        <v>0</v>
      </c>
      <c r="AB367" s="28">
        <f t="shared" si="48"/>
        <v>0.15120967741935484</v>
      </c>
      <c r="AC367" s="110">
        <v>56.7</v>
      </c>
      <c r="AD367" s="26">
        <v>69.900000000000006</v>
      </c>
      <c r="AE367" s="61">
        <f t="shared" si="49"/>
        <v>13.200000000000003</v>
      </c>
      <c r="AF367" s="77" t="str">
        <f>_xlfn.XLOOKUP(AD367,menu!$K$2:$K$9,menu!$J$2:$J$9,"",1)</f>
        <v>中淺</v>
      </c>
      <c r="AG367" s="80" t="str">
        <f>_xlfn.XLOOKUP(AH367,menu!$O$2:$O$9,menu!$H$2:$H$9,"")</f>
        <v>Medium</v>
      </c>
      <c r="AH367" s="81" t="s">
        <v>72</v>
      </c>
      <c r="AI367" t="str">
        <f>_xlfn.LET(_xlpm.x,_xlfn.CONCAT(_xlfn.XLOOKUP(D367,beans!$A$2:$A$300,beans!$J$2:$J$300,"")," / ",_xlfn.XLOOKUP(D367,beans!$A$2:$A$300,beans!$K$2:$K$300,"")," - ",_xlfn.XLOOKUP(D367,beans!$A$2:$A$300,beans!$L$2:$L$300,"")),IF(_xlpm.x=" /  - ","",_xlpm.x))</f>
        <v xml:space="preserve"> / 碧雅莊園 - 薇拉沙奇</v>
      </c>
      <c r="AJ367" s="23" t="s">
        <v>637</v>
      </c>
    </row>
    <row r="368" spans="1:36" x14ac:dyDescent="0.3">
      <c r="A368">
        <v>351</v>
      </c>
      <c r="B368">
        <v>489.3</v>
      </c>
      <c r="D368">
        <v>75</v>
      </c>
      <c r="E368" t="str">
        <f>_xlfn.LET(_xlpm.x,_xlfn.XLOOKUP(D368,beans!$A$2:$A$300,beans!$H$2:$H$300,""),IF(_xlpm.x="","",_xlpm.x))</f>
        <v>瓜地馬拉</v>
      </c>
      <c r="F368" s="22" t="str">
        <f>_xlfn.XLOOKUP(E368,menu!$A$2:$A$37,menu!$B$2:$B$37,"")</f>
        <v>Guatemala</v>
      </c>
      <c r="G368" t="str">
        <f>_xlfn.XLOOKUP(E368,menu!$A$2:$A$37,menu!$C$2:$C$37,"")</f>
        <v>gtm</v>
      </c>
      <c r="H368" t="str">
        <f>_xlfn.LET(_xlpm.x,_xlfn.XLOOKUP(_xlfn.XLOOKUP(D368,beans!$A$2:$A$300,beans!$I$2:$I$300),menu!$E$2:$E$20,menu!$F$2:$F$20),IF(_xlpm.x="","",_xlpm.x))</f>
        <v>Anaerobic Natural</v>
      </c>
      <c r="I368">
        <v>210</v>
      </c>
      <c r="J368">
        <v>85</v>
      </c>
      <c r="K368">
        <v>35</v>
      </c>
      <c r="L368">
        <v>90</v>
      </c>
      <c r="M368" s="68" t="s">
        <v>54</v>
      </c>
      <c r="N368">
        <v>89.5</v>
      </c>
      <c r="P368" s="67" t="s">
        <v>85</v>
      </c>
      <c r="Q368" s="68">
        <v>199.7</v>
      </c>
      <c r="R368" s="67" t="s">
        <v>210</v>
      </c>
      <c r="S368" s="68">
        <v>218</v>
      </c>
      <c r="T368" s="68">
        <f t="shared" si="50"/>
        <v>18.300000000000011</v>
      </c>
      <c r="U368">
        <f t="shared" si="46"/>
        <v>84</v>
      </c>
      <c r="V368">
        <f t="shared" si="51"/>
        <v>13.1</v>
      </c>
      <c r="W368">
        <f t="shared" si="47"/>
        <v>13.73</v>
      </c>
      <c r="X368" s="19">
        <v>45571</v>
      </c>
      <c r="Y368" s="26">
        <v>426.6</v>
      </c>
      <c r="Z368" s="61">
        <v>0</v>
      </c>
      <c r="AB368" s="28">
        <f t="shared" si="48"/>
        <v>0.12814224402207233</v>
      </c>
      <c r="AC368" s="110">
        <v>56.2</v>
      </c>
      <c r="AD368" s="26">
        <v>73.099999999999994</v>
      </c>
      <c r="AE368" s="61">
        <f t="shared" si="49"/>
        <v>16.899999999999991</v>
      </c>
      <c r="AF368" s="77" t="str">
        <f>_xlfn.XLOOKUP(AD368,menu!$K$2:$K$9,menu!$J$2:$J$9,"",1)</f>
        <v>淺</v>
      </c>
      <c r="AG368" s="80" t="str">
        <f>_xlfn.XLOOKUP(AH368,menu!$O$2:$O$9,menu!$H$2:$H$9,"")</f>
        <v>Cinamon</v>
      </c>
      <c r="AH368" s="81" t="s">
        <v>78</v>
      </c>
      <c r="AI368" t="str">
        <f>_xlfn.LET(_xlpm.x,_xlfn.CONCAT(_xlfn.XLOOKUP(D368,beans!$A$2:$A$300,beans!$J$2:$J$300,"")," / ",_xlfn.XLOOKUP(D368,beans!$A$2:$A$300,beans!$K$2:$K$300,"")," - ",_xlfn.XLOOKUP(D368,beans!$A$2:$A$300,beans!$L$2:$L$300,"")),IF(_xlpm.x=" /  - ","",_xlpm.x))</f>
        <v xml:space="preserve">新東方 / 小農批次 - </v>
      </c>
      <c r="AJ368" s="23" t="s">
        <v>637</v>
      </c>
    </row>
    <row r="369" spans="1:36" x14ac:dyDescent="0.3">
      <c r="A369">
        <v>352</v>
      </c>
      <c r="B369">
        <v>489.8</v>
      </c>
      <c r="D369">
        <v>77</v>
      </c>
      <c r="E369" t="str">
        <f>_xlfn.LET(_xlpm.x,_xlfn.XLOOKUP(D369,beans!$A$2:$A$300,beans!$H$2:$H$300,""),IF(_xlpm.x="","",_xlpm.x))</f>
        <v>瓜地馬拉</v>
      </c>
      <c r="F369" s="22" t="str">
        <f>_xlfn.XLOOKUP(E369,menu!$A$2:$A$37,menu!$B$2:$B$37,"")</f>
        <v>Guatemala</v>
      </c>
      <c r="G369" t="str">
        <f>_xlfn.XLOOKUP(E369,menu!$A$2:$A$37,menu!$C$2:$C$37,"")</f>
        <v>gtm</v>
      </c>
      <c r="H369" t="str">
        <f>_xlfn.LET(_xlpm.x,_xlfn.XLOOKUP(_xlfn.XLOOKUP(D369,beans!$A$2:$A$300,beans!$I$2:$I$300),menu!$E$2:$E$20,menu!$F$2:$F$20),IF(_xlpm.x="","",_xlpm.x))</f>
        <v>washed</v>
      </c>
      <c r="I369">
        <v>210</v>
      </c>
      <c r="J369">
        <v>85</v>
      </c>
      <c r="K369">
        <v>35</v>
      </c>
      <c r="L369">
        <v>90</v>
      </c>
      <c r="M369" s="68" t="s">
        <v>157</v>
      </c>
      <c r="N369">
        <v>89.2</v>
      </c>
      <c r="P369" s="67" t="s">
        <v>465</v>
      </c>
      <c r="Q369" s="68">
        <v>200.9</v>
      </c>
      <c r="R369" s="67" t="s">
        <v>541</v>
      </c>
      <c r="S369" s="68">
        <v>214</v>
      </c>
      <c r="T369" s="68">
        <f t="shared" si="50"/>
        <v>13.099999999999994</v>
      </c>
      <c r="U369">
        <f t="shared" si="46"/>
        <v>72</v>
      </c>
      <c r="V369">
        <f t="shared" si="51"/>
        <v>10.9</v>
      </c>
      <c r="W369">
        <f t="shared" si="47"/>
        <v>11.34</v>
      </c>
      <c r="X369" s="19">
        <v>45571</v>
      </c>
      <c r="Y369" s="26">
        <v>424.6</v>
      </c>
      <c r="Z369" s="61">
        <v>0</v>
      </c>
      <c r="AB369" s="28">
        <f t="shared" si="48"/>
        <v>0.13311555737035521</v>
      </c>
      <c r="AC369" s="110">
        <v>51.1</v>
      </c>
      <c r="AD369" s="26">
        <v>76.2</v>
      </c>
      <c r="AE369" s="61">
        <f t="shared" si="49"/>
        <v>25.1</v>
      </c>
      <c r="AF369" s="77" t="str">
        <f>_xlfn.XLOOKUP(AD369,menu!$K$2:$K$9,menu!$J$2:$J$9,"",1)</f>
        <v>淺</v>
      </c>
      <c r="AG369" s="80" t="str">
        <f>_xlfn.XLOOKUP(AH369,menu!$O$2:$O$9,menu!$H$2:$H$9,"")</f>
        <v>Cinamon</v>
      </c>
      <c r="AH369" s="81" t="s">
        <v>78</v>
      </c>
      <c r="AI369" t="str">
        <f>_xlfn.LET(_xlpm.x,_xlfn.CONCAT(_xlfn.XLOOKUP(D369,beans!$A$2:$A$300,beans!$J$2:$J$300,"")," / ",_xlfn.XLOOKUP(D369,beans!$A$2:$A$300,beans!$K$2:$K$300,"")," - ",_xlfn.XLOOKUP(D369,beans!$A$2:$A$300,beans!$L$2:$L$300,"")),IF(_xlpm.x=" /  - ","",_xlpm.x))</f>
        <v>阿蒂特蘭湖 / 達克鴨 - 鐵皮卡、卡杜拉</v>
      </c>
      <c r="AJ369" s="23" t="s">
        <v>637</v>
      </c>
    </row>
    <row r="370" spans="1:36" x14ac:dyDescent="0.3">
      <c r="A370">
        <v>353</v>
      </c>
      <c r="B370">
        <v>500</v>
      </c>
      <c r="D370">
        <v>47</v>
      </c>
      <c r="E370" t="str">
        <f>_xlfn.LET(_xlpm.x,_xlfn.XLOOKUP(D370,beans!$A$2:$A$300,beans!$H$2:$H$300,""),IF(_xlpm.x="","",_xlpm.x))</f>
        <v>衣索比亞</v>
      </c>
      <c r="F370" s="22" t="str">
        <f>_xlfn.XLOOKUP(E370,menu!$A$2:$A$37,menu!$B$2:$B$37,"")</f>
        <v>Ethiopia</v>
      </c>
      <c r="G370" t="str">
        <f>_xlfn.XLOOKUP(E370,menu!$A$2:$A$37,menu!$C$2:$C$37,"")</f>
        <v>eth</v>
      </c>
      <c r="H370" t="str">
        <f>_xlfn.LET(_xlpm.x,_xlfn.XLOOKUP(_xlfn.XLOOKUP(D370,beans!$A$2:$A$300,beans!$I$2:$I$300),menu!$E$2:$E$20,menu!$F$2:$F$20),IF(_xlpm.x="","",_xlpm.x))</f>
        <v>washed</v>
      </c>
      <c r="I370">
        <v>210</v>
      </c>
      <c r="J370">
        <v>85</v>
      </c>
      <c r="K370">
        <v>35</v>
      </c>
      <c r="L370">
        <v>90</v>
      </c>
      <c r="M370" s="68" t="s">
        <v>207</v>
      </c>
      <c r="N370">
        <v>88.3</v>
      </c>
      <c r="P370" s="67" t="s">
        <v>237</v>
      </c>
      <c r="Q370" s="68">
        <v>199.2</v>
      </c>
      <c r="R370" s="67" t="s">
        <v>405</v>
      </c>
      <c r="S370" s="68">
        <v>213.7</v>
      </c>
      <c r="T370" s="68">
        <f t="shared" si="50"/>
        <v>14.5</v>
      </c>
      <c r="U370">
        <f t="shared" si="46"/>
        <v>73</v>
      </c>
      <c r="V370">
        <f t="shared" si="51"/>
        <v>11.9</v>
      </c>
      <c r="W370">
        <f t="shared" si="47"/>
        <v>10.46</v>
      </c>
      <c r="X370" s="19">
        <v>45571</v>
      </c>
      <c r="Y370" s="26">
        <v>426</v>
      </c>
      <c r="Z370" s="61">
        <v>0</v>
      </c>
      <c r="AB370" s="28">
        <f t="shared" si="48"/>
        <v>0.14799999999999999</v>
      </c>
      <c r="AC370" s="110">
        <v>56.2</v>
      </c>
      <c r="AD370" s="26">
        <v>73.400000000000006</v>
      </c>
      <c r="AE370" s="61">
        <f t="shared" si="49"/>
        <v>17.200000000000003</v>
      </c>
      <c r="AF370" s="77" t="str">
        <f>_xlfn.XLOOKUP(AD370,menu!$K$2:$K$9,menu!$J$2:$J$9,"",1)</f>
        <v>淺</v>
      </c>
      <c r="AG370" s="80" t="str">
        <f>_xlfn.XLOOKUP(AH370,menu!$O$2:$O$9,menu!$H$2:$H$9,"")</f>
        <v>Cinamon</v>
      </c>
      <c r="AH370" s="81" t="s">
        <v>78</v>
      </c>
      <c r="AI370" t="str">
        <f>_xlfn.LET(_xlpm.x,_xlfn.CONCAT(_xlfn.XLOOKUP(D370,beans!$A$2:$A$300,beans!$J$2:$J$300,"")," / ",_xlfn.XLOOKUP(D370,beans!$A$2:$A$300,beans!$K$2:$K$300,"")," - ",_xlfn.XLOOKUP(D370,beans!$A$2:$A$300,beans!$L$2:$L$300,"")),IF(_xlpm.x=" /  - ","",_xlpm.x))</f>
        <v>吉馬莉姆 / 果美村 - 寶貝藝妓</v>
      </c>
      <c r="AJ370" s="23" t="s">
        <v>637</v>
      </c>
    </row>
    <row r="371" spans="1:36" x14ac:dyDescent="0.3">
      <c r="A371">
        <v>354</v>
      </c>
      <c r="B371">
        <v>252</v>
      </c>
      <c r="D371">
        <v>76</v>
      </c>
      <c r="E371" t="str">
        <f>_xlfn.LET(_xlpm.x,_xlfn.XLOOKUP(D371,beans!$A$2:$A$300,beans!$H$2:$H$300,""),IF(_xlpm.x="","",_xlpm.x))</f>
        <v>瓜地馬拉</v>
      </c>
      <c r="F371" s="22" t="str">
        <f>_xlfn.XLOOKUP(E371,menu!$A$2:$A$37,menu!$B$2:$B$37,"")</f>
        <v>Guatemala</v>
      </c>
      <c r="G371" t="str">
        <f>_xlfn.XLOOKUP(E371,menu!$A$2:$A$37,menu!$C$2:$C$37,"")</f>
        <v>gtm</v>
      </c>
      <c r="H371" t="str">
        <f>_xlfn.LET(_xlpm.x,_xlfn.XLOOKUP(_xlfn.XLOOKUP(D371,beans!$A$2:$A$300,beans!$I$2:$I$300),menu!$E$2:$E$20,menu!$F$2:$F$20),IF(_xlpm.x="","",_xlpm.x))</f>
        <v>washed</v>
      </c>
      <c r="I371">
        <v>210</v>
      </c>
      <c r="J371">
        <v>85</v>
      </c>
      <c r="K371">
        <v>35</v>
      </c>
      <c r="L371">
        <v>90</v>
      </c>
      <c r="M371" s="68" t="s">
        <v>207</v>
      </c>
      <c r="N371">
        <v>95.9</v>
      </c>
      <c r="P371" s="67" t="s">
        <v>640</v>
      </c>
      <c r="Q371" s="68">
        <v>204.2</v>
      </c>
      <c r="R371" s="67" t="s">
        <v>237</v>
      </c>
      <c r="S371" s="68">
        <v>217.2</v>
      </c>
      <c r="T371" s="68">
        <f t="shared" si="50"/>
        <v>13</v>
      </c>
      <c r="U371">
        <f t="shared" si="46"/>
        <v>71</v>
      </c>
      <c r="V371">
        <f t="shared" si="51"/>
        <v>11</v>
      </c>
      <c r="W371">
        <f t="shared" si="47"/>
        <v>11.36</v>
      </c>
      <c r="X371" s="19">
        <v>45571</v>
      </c>
      <c r="Y371" s="26">
        <v>219</v>
      </c>
      <c r="Z371" s="61">
        <v>0</v>
      </c>
      <c r="AA371" s="61">
        <v>0</v>
      </c>
      <c r="AB371" s="28">
        <f t="shared" si="48"/>
        <v>0.13095238095238096</v>
      </c>
      <c r="AC371" s="110">
        <v>56</v>
      </c>
      <c r="AD371" s="26">
        <v>72.099999999999994</v>
      </c>
      <c r="AE371" s="61">
        <f t="shared" si="49"/>
        <v>16.099999999999994</v>
      </c>
      <c r="AF371" s="77" t="str">
        <f>_xlfn.XLOOKUP(AD371,menu!$K$2:$K$9,menu!$J$2:$J$9,"",1)</f>
        <v>淺</v>
      </c>
      <c r="AG371" s="80" t="str">
        <f>_xlfn.XLOOKUP(AH371,menu!$O$2:$O$9,menu!$H$2:$H$9,"")</f>
        <v>Cinamon</v>
      </c>
      <c r="AH371" s="81" t="s">
        <v>78</v>
      </c>
      <c r="AI371" t="str">
        <f>_xlfn.LET(_xlpm.x,_xlfn.CONCAT(_xlfn.XLOOKUP(D371,beans!$A$2:$A$300,beans!$J$2:$J$300,"")," / ",_xlfn.XLOOKUP(D371,beans!$A$2:$A$300,beans!$K$2:$K$300,"")," - ",_xlfn.XLOOKUP(D371,beans!$A$2:$A$300,beans!$L$2:$L$300,"")),IF(_xlpm.x=" /  - ","",_xlpm.x))</f>
        <v>安提瓜 (Antiqua) / 花神 - 波旁、卡杜拉</v>
      </c>
      <c r="AJ371" s="23" t="s">
        <v>641</v>
      </c>
    </row>
    <row r="372" spans="1:36" x14ac:dyDescent="0.3">
      <c r="A372">
        <v>355</v>
      </c>
      <c r="B372">
        <v>250</v>
      </c>
      <c r="D372">
        <v>75</v>
      </c>
      <c r="E372" t="str">
        <f>_xlfn.LET(_xlpm.x,_xlfn.XLOOKUP(D372,beans!$A$2:$A$300,beans!$H$2:$H$300,""),IF(_xlpm.x="","",_xlpm.x))</f>
        <v>瓜地馬拉</v>
      </c>
      <c r="F372" s="22" t="str">
        <f>_xlfn.XLOOKUP(E372,menu!$A$2:$A$37,menu!$B$2:$B$37,"")</f>
        <v>Guatemala</v>
      </c>
      <c r="G372" t="str">
        <f>_xlfn.XLOOKUP(E372,menu!$A$2:$A$37,menu!$C$2:$C$37,"")</f>
        <v>gtm</v>
      </c>
      <c r="H372" t="str">
        <f>_xlfn.LET(_xlpm.x,_xlfn.XLOOKUP(_xlfn.XLOOKUP(D372,beans!$A$2:$A$300,beans!$I$2:$I$300),menu!$E$2:$E$20,menu!$F$2:$F$20),IF(_xlpm.x="","",_xlpm.x))</f>
        <v>Anaerobic Natural</v>
      </c>
      <c r="I372">
        <v>210</v>
      </c>
      <c r="J372">
        <v>85</v>
      </c>
      <c r="K372">
        <v>35</v>
      </c>
      <c r="L372">
        <v>90</v>
      </c>
      <c r="M372" s="68" t="s">
        <v>75</v>
      </c>
      <c r="N372">
        <v>97.6</v>
      </c>
      <c r="P372" s="67" t="s">
        <v>452</v>
      </c>
      <c r="Q372" s="68">
        <v>214</v>
      </c>
      <c r="R372" s="67" t="s">
        <v>642</v>
      </c>
      <c r="S372" s="68">
        <v>221.3</v>
      </c>
      <c r="T372" s="68">
        <f t="shared" si="50"/>
        <v>7.3000000000000114</v>
      </c>
      <c r="U372">
        <f t="shared" si="46"/>
        <v>49</v>
      </c>
      <c r="V372">
        <f t="shared" si="51"/>
        <v>8.9</v>
      </c>
      <c r="W372">
        <f t="shared" si="47"/>
        <v>8.8000000000000007</v>
      </c>
      <c r="X372" s="19">
        <v>45571</v>
      </c>
      <c r="Y372" s="26">
        <v>214</v>
      </c>
      <c r="Z372" s="61">
        <v>0</v>
      </c>
      <c r="AA372" s="61">
        <v>0</v>
      </c>
      <c r="AB372" s="28">
        <f t="shared" si="48"/>
        <v>0.14399999999999999</v>
      </c>
      <c r="AC372" s="110">
        <v>44.7</v>
      </c>
      <c r="AD372" s="26">
        <v>67.5</v>
      </c>
      <c r="AE372" s="61">
        <f t="shared" si="49"/>
        <v>22.799999999999997</v>
      </c>
      <c r="AF372" s="77" t="str">
        <f>_xlfn.XLOOKUP(AD372,menu!$K$2:$K$9,menu!$J$2:$J$9,"",1)</f>
        <v>中淺</v>
      </c>
      <c r="AG372" s="80" t="str">
        <f>_xlfn.XLOOKUP(AH372,menu!$O$2:$O$9,menu!$H$2:$H$9,"")</f>
        <v>Medium</v>
      </c>
      <c r="AH372" s="81" t="s">
        <v>72</v>
      </c>
      <c r="AI372" t="str">
        <f>_xlfn.LET(_xlpm.x,_xlfn.CONCAT(_xlfn.XLOOKUP(D372,beans!$A$2:$A$300,beans!$J$2:$J$300,"")," / ",_xlfn.XLOOKUP(D372,beans!$A$2:$A$300,beans!$K$2:$K$300,"")," - ",_xlfn.XLOOKUP(D372,beans!$A$2:$A$300,beans!$L$2:$L$300,"")),IF(_xlpm.x=" /  - ","",_xlpm.x))</f>
        <v xml:space="preserve">新東方 / 小農批次 - </v>
      </c>
      <c r="AJ372" s="23" t="s">
        <v>643</v>
      </c>
    </row>
    <row r="373" spans="1:36" x14ac:dyDescent="0.3">
      <c r="A373">
        <v>356</v>
      </c>
      <c r="B373">
        <v>250</v>
      </c>
      <c r="D373">
        <v>68</v>
      </c>
      <c r="E373" t="str">
        <f>_xlfn.LET(_xlpm.x,_xlfn.XLOOKUP(D373,beans!$A$2:$A$300,beans!$H$2:$H$300,""),IF(_xlpm.x="","",_xlpm.x))</f>
        <v>哥倫比亞</v>
      </c>
      <c r="F373" s="22" t="str">
        <f>_xlfn.XLOOKUP(E373,menu!$A$2:$A$37,menu!$B$2:$B$37,"")</f>
        <v>Colombia</v>
      </c>
      <c r="G373" t="str">
        <f>_xlfn.XLOOKUP(E373,menu!$A$2:$A$37,menu!$C$2:$C$37,"")</f>
        <v>col</v>
      </c>
      <c r="H373" t="str">
        <f>_xlfn.LET(_xlpm.x,_xlfn.XLOOKUP(_xlfn.XLOOKUP(D373,beans!$A$2:$A$300,beans!$I$2:$I$300),menu!$E$2:$E$20,menu!$F$2:$F$20),IF(_xlpm.x="","",_xlpm.x))</f>
        <v>Anaerobic Natural</v>
      </c>
      <c r="I373">
        <v>210</v>
      </c>
      <c r="J373">
        <v>85</v>
      </c>
      <c r="K373">
        <v>35</v>
      </c>
      <c r="L373">
        <v>90</v>
      </c>
      <c r="M373" s="68" t="s">
        <v>54</v>
      </c>
      <c r="N373">
        <v>94</v>
      </c>
      <c r="P373" s="67" t="s">
        <v>88</v>
      </c>
      <c r="Q373" s="68">
        <v>202.7</v>
      </c>
      <c r="R373" s="67" t="s">
        <v>139</v>
      </c>
      <c r="S373" s="68">
        <v>217.3</v>
      </c>
      <c r="T373" s="68">
        <f>_xlfn.LET(_xlpm.x,S373-Q373,IF(_xlpm.x=0,"",_xlpm.x))</f>
        <v>14.600000000000023</v>
      </c>
      <c r="U373">
        <f t="shared" si="46"/>
        <v>84</v>
      </c>
      <c r="V373">
        <f t="shared" si="51"/>
        <v>10.4</v>
      </c>
      <c r="W373">
        <f t="shared" si="47"/>
        <v>13.53</v>
      </c>
      <c r="X373" s="19">
        <v>45571</v>
      </c>
      <c r="Y373" s="26">
        <v>213.6</v>
      </c>
      <c r="Z373" s="61">
        <v>0</v>
      </c>
      <c r="AB373" s="28">
        <f t="shared" si="48"/>
        <v>0.14560000000000003</v>
      </c>
      <c r="AE373" s="61" t="str">
        <f t="shared" si="49"/>
        <v/>
      </c>
      <c r="AF373" s="77" t="str">
        <f>_xlfn.XLOOKUP(AD373,menu!$K$2:$K$9,menu!$J$2:$J$9,"",1)</f>
        <v/>
      </c>
      <c r="AG373" s="80" t="str">
        <f>_xlfn.XLOOKUP(AH373,menu!$O$2:$O$9,menu!$H$2:$H$9,"")</f>
        <v>Cinamon</v>
      </c>
      <c r="AH373" s="81" t="s">
        <v>78</v>
      </c>
      <c r="AI373" t="str">
        <f>_xlfn.LET(_xlpm.x,_xlfn.CONCAT(_xlfn.XLOOKUP(D373,beans!$A$2:$A$300,beans!$J$2:$J$300,"")," / ",_xlfn.XLOOKUP(D373,beans!$A$2:$A$300,beans!$K$2:$K$300,"")," - ",_xlfn.XLOOKUP(D373,beans!$A$2:$A$300,beans!$L$2:$L$300,"")),IF(_xlpm.x=" /  - ","",_xlpm.x))</f>
        <v xml:space="preserve"> / 天堂莊園-日出桂花香 - </v>
      </c>
      <c r="AJ373" s="23" t="s">
        <v>644</v>
      </c>
    </row>
    <row r="374" spans="1:36" x14ac:dyDescent="0.3">
      <c r="A374">
        <v>357</v>
      </c>
      <c r="B374">
        <v>500</v>
      </c>
      <c r="D374">
        <v>18</v>
      </c>
      <c r="E374" t="str">
        <f>_xlfn.LET(_xlpm.x,_xlfn.XLOOKUP(D374,beans!$A$2:$A$300,beans!$H$2:$H$300,""),IF(_xlpm.x="","",_xlpm.x))</f>
        <v>衣索比亞</v>
      </c>
      <c r="F374" s="22" t="str">
        <f>_xlfn.XLOOKUP(E374,menu!$A$2:$A$37,menu!$B$2:$B$37,"")</f>
        <v>Ethiopia</v>
      </c>
      <c r="G374" t="str">
        <f>_xlfn.XLOOKUP(E374,menu!$A$2:$A$37,menu!$C$2:$C$37,"")</f>
        <v>eth</v>
      </c>
      <c r="H374" t="str">
        <f>_xlfn.LET(_xlpm.x,_xlfn.XLOOKUP(_xlfn.XLOOKUP(D374,beans!$A$2:$A$300,beans!$I$2:$I$300),menu!$E$2:$E$20,menu!$F$2:$F$20),IF(_xlpm.x="","",_xlpm.x))</f>
        <v>washed</v>
      </c>
      <c r="I374">
        <v>200</v>
      </c>
      <c r="J374">
        <v>85</v>
      </c>
      <c r="K374">
        <v>40</v>
      </c>
      <c r="L374">
        <v>90</v>
      </c>
      <c r="M374" s="68" t="s">
        <v>157</v>
      </c>
      <c r="N374">
        <v>81</v>
      </c>
      <c r="P374" s="67" t="s">
        <v>127</v>
      </c>
      <c r="Q374" s="68">
        <v>198.6</v>
      </c>
      <c r="R374" s="67" t="s">
        <v>362</v>
      </c>
      <c r="S374" s="68">
        <v>213.9</v>
      </c>
      <c r="T374" s="68">
        <f t="shared" si="50"/>
        <v>15.300000000000011</v>
      </c>
      <c r="U374">
        <f t="shared" si="46"/>
        <v>72</v>
      </c>
      <c r="V374">
        <f t="shared" si="51"/>
        <v>12.8</v>
      </c>
      <c r="W374">
        <f t="shared" si="47"/>
        <v>10.23</v>
      </c>
      <c r="X374" s="19">
        <v>45576</v>
      </c>
      <c r="Y374" s="26">
        <v>436</v>
      </c>
      <c r="Z374" s="61">
        <v>0</v>
      </c>
      <c r="AB374" s="28">
        <f t="shared" si="48"/>
        <v>0.128</v>
      </c>
      <c r="AC374" s="110">
        <v>63.3</v>
      </c>
      <c r="AD374" s="26">
        <v>76.7</v>
      </c>
      <c r="AE374" s="61">
        <f t="shared" si="49"/>
        <v>13.400000000000006</v>
      </c>
      <c r="AF374" s="77" t="str">
        <f>_xlfn.XLOOKUP(AD374,menu!$K$2:$K$9,menu!$J$2:$J$9,"",1)</f>
        <v>淺</v>
      </c>
      <c r="AG374" s="80" t="str">
        <f>_xlfn.XLOOKUP(AH374,menu!$O$2:$O$9,menu!$H$2:$H$9,"")</f>
        <v>Cinamon</v>
      </c>
      <c r="AH374" s="81" t="s">
        <v>78</v>
      </c>
      <c r="AI374" t="str">
        <f>_xlfn.LET(_xlpm.x,_xlfn.CONCAT(_xlfn.XLOOKUP(D374,beans!$A$2:$A$300,beans!$J$2:$J$300,"")," / ",_xlfn.XLOOKUP(D374,beans!$A$2:$A$300,beans!$K$2:$K$300,"")," - ",_xlfn.XLOOKUP(D374,beans!$A$2:$A$300,beans!$L$2:$L$300,"")),IF(_xlpm.x=" /  - ","",_xlpm.x))</f>
        <v>古吉 夏奇索 / 瓦力 - Heirloom</v>
      </c>
      <c r="AJ374" s="23" t="s">
        <v>607</v>
      </c>
    </row>
    <row r="375" spans="1:36" x14ac:dyDescent="0.3">
      <c r="A375">
        <v>358</v>
      </c>
      <c r="B375">
        <v>500</v>
      </c>
      <c r="D375">
        <v>31</v>
      </c>
      <c r="E375" t="str">
        <f>_xlfn.LET(_xlpm.x,_xlfn.XLOOKUP(D375,beans!$A$2:$A$300,beans!$H$2:$H$300,""),IF(_xlpm.x="","",_xlpm.x))</f>
        <v>肯亞</v>
      </c>
      <c r="F375" s="22" t="str">
        <f>_xlfn.XLOOKUP(E375,menu!$A$2:$A$37,menu!$B$2:$B$37,"")</f>
        <v>Kenya</v>
      </c>
      <c r="G375" t="str">
        <f>_xlfn.XLOOKUP(E375,menu!$A$2:$A$37,menu!$C$2:$C$37,"")</f>
        <v>ken</v>
      </c>
      <c r="H375" t="str">
        <f>_xlfn.LET(_xlpm.x,_xlfn.XLOOKUP(_xlfn.XLOOKUP(D375,beans!$A$2:$A$300,beans!$I$2:$I$300),menu!$E$2:$E$20,menu!$F$2:$F$20),IF(_xlpm.x="","",_xlpm.x))</f>
        <v>washed</v>
      </c>
      <c r="I375">
        <v>200</v>
      </c>
      <c r="J375">
        <v>85</v>
      </c>
      <c r="K375">
        <v>40</v>
      </c>
      <c r="L375">
        <v>90</v>
      </c>
      <c r="M375" s="68" t="s">
        <v>188</v>
      </c>
      <c r="N375">
        <v>81.5</v>
      </c>
      <c r="P375" s="67" t="s">
        <v>588</v>
      </c>
      <c r="Q375" s="68">
        <v>198.4</v>
      </c>
      <c r="R375" s="67" t="s">
        <v>436</v>
      </c>
      <c r="S375" s="68">
        <v>209.4</v>
      </c>
      <c r="T375" s="68">
        <f t="shared" si="50"/>
        <v>11</v>
      </c>
      <c r="U375">
        <f t="shared" si="46"/>
        <v>53</v>
      </c>
      <c r="V375">
        <f t="shared" si="51"/>
        <v>12.5</v>
      </c>
      <c r="W375">
        <f t="shared" si="47"/>
        <v>8.6300000000000008</v>
      </c>
      <c r="X375" s="19">
        <v>45576</v>
      </c>
      <c r="Y375" s="26">
        <v>437</v>
      </c>
      <c r="Z375" s="61">
        <v>0</v>
      </c>
      <c r="AB375" s="28">
        <f t="shared" si="48"/>
        <v>0.126</v>
      </c>
      <c r="AC375" s="110">
        <v>58.7</v>
      </c>
      <c r="AD375" s="26">
        <v>86.4</v>
      </c>
      <c r="AE375" s="61">
        <f t="shared" si="49"/>
        <v>27.700000000000003</v>
      </c>
      <c r="AF375" s="77" t="str">
        <f>_xlfn.XLOOKUP(AD375,menu!$K$2:$K$9,menu!$J$2:$J$9,"",1)</f>
        <v>極淺</v>
      </c>
      <c r="AG375" s="80" t="str">
        <f>_xlfn.XLOOKUP(AH375,menu!$O$2:$O$9,menu!$H$2:$H$9,"")</f>
        <v>Light</v>
      </c>
      <c r="AH375" s="81" t="s">
        <v>193</v>
      </c>
      <c r="AI375" t="str">
        <f>_xlfn.LET(_xlpm.x,_xlfn.CONCAT(_xlfn.XLOOKUP(D375,beans!$A$2:$A$300,beans!$J$2:$J$300,"")," / ",_xlfn.XLOOKUP(D375,beans!$A$2:$A$300,beans!$K$2:$K$300,"")," - ",_xlfn.XLOOKUP(D375,beans!$A$2:$A$300,beans!$L$2:$L$300,"")),IF(_xlpm.x=" /  - ","",_xlpm.x))</f>
        <v>涅里 / 奇查芬尼處理廠 - SL 28 / SL34 / Ruiru 11 / Batian</v>
      </c>
      <c r="AJ375" s="23" t="s">
        <v>645</v>
      </c>
    </row>
    <row r="376" spans="1:36" x14ac:dyDescent="0.3">
      <c r="A376">
        <v>359</v>
      </c>
      <c r="B376">
        <v>250</v>
      </c>
      <c r="D376">
        <v>82</v>
      </c>
      <c r="E376" t="str">
        <f>_xlfn.LET(_xlpm.x,_xlfn.XLOOKUP(D376,beans!$A$2:$A$300,beans!$H$2:$H$300,""),IF(_xlpm.x="","",_xlpm.x))</f>
        <v>衣索比亞</v>
      </c>
      <c r="F376" s="22" t="str">
        <f>_xlfn.XLOOKUP(E376,menu!$A$2:$A$37,menu!$B$2:$B$37,"")</f>
        <v>Ethiopia</v>
      </c>
      <c r="G376" t="str">
        <f>_xlfn.XLOOKUP(E376,menu!$A$2:$A$37,menu!$C$2:$C$37,"")</f>
        <v>eth</v>
      </c>
      <c r="H376" t="str">
        <f>_xlfn.LET(_xlpm.x,_xlfn.XLOOKUP(_xlfn.XLOOKUP(D376,beans!$A$2:$A$300,beans!$I$2:$I$300),menu!$E$2:$E$20,menu!$F$2:$F$20),IF(_xlpm.x="","",_xlpm.x))</f>
        <v>Anaerobic Washed</v>
      </c>
      <c r="I376">
        <v>200</v>
      </c>
      <c r="J376">
        <v>85</v>
      </c>
      <c r="K376">
        <v>40</v>
      </c>
      <c r="L376">
        <v>70</v>
      </c>
      <c r="M376" s="68" t="s">
        <v>125</v>
      </c>
      <c r="N376">
        <v>89</v>
      </c>
      <c r="P376" s="67" t="s">
        <v>593</v>
      </c>
      <c r="Q376" s="68">
        <v>205.8</v>
      </c>
      <c r="R376" s="67" t="s">
        <v>569</v>
      </c>
      <c r="S376" s="68">
        <v>212.2</v>
      </c>
      <c r="T376" s="68">
        <f t="shared" si="50"/>
        <v>6.3999999999999773</v>
      </c>
      <c r="U376">
        <f t="shared" si="46"/>
        <v>35</v>
      </c>
      <c r="V376">
        <f t="shared" si="51"/>
        <v>11</v>
      </c>
      <c r="W376">
        <f t="shared" si="47"/>
        <v>6.34</v>
      </c>
      <c r="X376" s="19">
        <v>45576</v>
      </c>
      <c r="Y376" s="26">
        <v>218.7</v>
      </c>
      <c r="Z376" s="61">
        <v>0</v>
      </c>
      <c r="AB376" s="28">
        <f t="shared" si="48"/>
        <v>0.12520000000000003</v>
      </c>
      <c r="AC376" s="110">
        <v>67.2</v>
      </c>
      <c r="AD376" s="26">
        <v>86.7</v>
      </c>
      <c r="AE376" s="61">
        <f t="shared" si="49"/>
        <v>19.5</v>
      </c>
      <c r="AF376" s="77" t="str">
        <f>_xlfn.XLOOKUP(AD376,menu!$K$2:$K$9,menu!$J$2:$J$9,"",1)</f>
        <v>極淺</v>
      </c>
      <c r="AG376" s="80" t="str">
        <f>_xlfn.XLOOKUP(AH376,menu!$O$2:$O$9,menu!$H$2:$H$9,"")</f>
        <v>Light</v>
      </c>
      <c r="AH376" s="81" t="s">
        <v>193</v>
      </c>
      <c r="AI376" t="str">
        <f>_xlfn.LET(_xlpm.x,_xlfn.CONCAT(_xlfn.XLOOKUP(D376,beans!$A$2:$A$300,beans!$J$2:$J$300,"")," / ",_xlfn.XLOOKUP(D376,beans!$A$2:$A$300,beans!$K$2:$K$300,"")," - ",_xlfn.XLOOKUP(D376,beans!$A$2:$A$300,beans!$L$2:$L$300,"")),IF(_xlpm.x=" /  - ","",_xlpm.x))</f>
        <v xml:space="preserve">烏拉嗄 / 香水月季 - </v>
      </c>
      <c r="AJ376" s="23" t="s">
        <v>225</v>
      </c>
    </row>
    <row r="377" spans="1:36" x14ac:dyDescent="0.3">
      <c r="A377">
        <v>360</v>
      </c>
      <c r="B377">
        <v>500</v>
      </c>
      <c r="D377">
        <v>69</v>
      </c>
      <c r="E377" t="str">
        <f>_xlfn.LET(_xlpm.x,_xlfn.XLOOKUP(D377,beans!$A$2:$A$300,beans!$H$2:$H$300,""),IF(_xlpm.x="","",_xlpm.x))</f>
        <v>衣索比亞</v>
      </c>
      <c r="F377" s="22" t="str">
        <f>_xlfn.XLOOKUP(E377,menu!$A$2:$A$37,menu!$B$2:$B$37,"")</f>
        <v>Ethiopia</v>
      </c>
      <c r="G377" t="str">
        <f>_xlfn.XLOOKUP(E377,menu!$A$2:$A$37,menu!$C$2:$C$37,"")</f>
        <v>eth</v>
      </c>
      <c r="H377" t="str">
        <f>_xlfn.LET(_xlpm.x,_xlfn.XLOOKUP(_xlfn.XLOOKUP(D377,beans!$A$2:$A$300,beans!$I$2:$I$300),menu!$E$2:$E$20,menu!$F$2:$F$20),IF(_xlpm.x="","",_xlpm.x))</f>
        <v>Anaerobic Natural</v>
      </c>
      <c r="P377" s="67" t="s">
        <v>646</v>
      </c>
      <c r="Q377" s="68">
        <v>202</v>
      </c>
      <c r="R377" s="67" t="s">
        <v>201</v>
      </c>
      <c r="S377" s="68">
        <v>223</v>
      </c>
      <c r="T377" s="68">
        <f t="shared" si="50"/>
        <v>21</v>
      </c>
      <c r="U377">
        <f t="shared" si="46"/>
        <v>84</v>
      </c>
      <c r="V377">
        <f t="shared" si="51"/>
        <v>15</v>
      </c>
      <c r="W377">
        <f t="shared" si="47"/>
        <v>15.88</v>
      </c>
      <c r="X377" s="19">
        <v>45592</v>
      </c>
      <c r="Y377" s="26">
        <v>423</v>
      </c>
      <c r="Z377" s="61">
        <v>0</v>
      </c>
      <c r="AB377" s="28">
        <f t="shared" si="48"/>
        <v>0.154</v>
      </c>
      <c r="AC377" s="110">
        <v>53.9</v>
      </c>
      <c r="AD377" s="26">
        <v>62.5</v>
      </c>
      <c r="AE377" s="61">
        <f t="shared" si="49"/>
        <v>8.6000000000000014</v>
      </c>
      <c r="AF377" s="77" t="str">
        <f>_xlfn.XLOOKUP(AD377,menu!$K$2:$K$9,menu!$J$2:$J$9,"",1)</f>
        <v>中淺</v>
      </c>
      <c r="AG377" s="80" t="str">
        <f>_xlfn.XLOOKUP(AH377,menu!$O$2:$O$9,menu!$H$2:$H$9,"")</f>
        <v>Cinamon</v>
      </c>
      <c r="AH377" s="81" t="s">
        <v>78</v>
      </c>
      <c r="AI377" t="str">
        <f>_xlfn.LET(_xlpm.x,_xlfn.CONCAT(_xlfn.XLOOKUP(D377,beans!$A$2:$A$300,beans!$J$2:$J$300,"")," / ",_xlfn.XLOOKUP(D377,beans!$A$2:$A$300,beans!$K$2:$K$300,"")," - ",_xlfn.XLOOKUP(D377,beans!$A$2:$A$300,beans!$L$2:$L$300,"")),IF(_xlpm.x=" /  - ","",_xlpm.x))</f>
        <v>古吉烏拉嘎 / 月光酒釀 - 74110/74112</v>
      </c>
      <c r="AJ377" s="23" t="s">
        <v>647</v>
      </c>
    </row>
    <row r="378" spans="1:36" x14ac:dyDescent="0.3">
      <c r="A378">
        <v>361</v>
      </c>
      <c r="B378">
        <v>500</v>
      </c>
      <c r="D378">
        <v>80</v>
      </c>
      <c r="E378" t="str">
        <f>_xlfn.LET(_xlpm.x,_xlfn.XLOOKUP(D378,beans!$A$2:$A$300,beans!$H$2:$H$300,""),IF(_xlpm.x="","",_xlpm.x))</f>
        <v>衣索比亞</v>
      </c>
      <c r="F378" s="22" t="str">
        <f>_xlfn.XLOOKUP(E378,menu!$A$2:$A$37,menu!$B$2:$B$37,"")</f>
        <v>Ethiopia</v>
      </c>
      <c r="G378" t="str">
        <f>_xlfn.XLOOKUP(E378,menu!$A$2:$A$37,menu!$C$2:$C$37,"")</f>
        <v>eth</v>
      </c>
      <c r="H378" t="str">
        <f>_xlfn.LET(_xlpm.x,_xlfn.XLOOKUP(_xlfn.XLOOKUP(D378,beans!$A$2:$A$300,beans!$I$2:$I$300),menu!$E$2:$E$20,menu!$F$2:$F$20),IF(_xlpm.x="","",_xlpm.x))</f>
        <v>washed</v>
      </c>
      <c r="I378">
        <v>200</v>
      </c>
      <c r="J378">
        <v>80</v>
      </c>
      <c r="K378">
        <v>55</v>
      </c>
      <c r="L378">
        <v>90</v>
      </c>
      <c r="M378" s="68" t="s">
        <v>157</v>
      </c>
      <c r="N378">
        <v>81</v>
      </c>
      <c r="P378" s="67" t="s">
        <v>524</v>
      </c>
      <c r="Q378" s="68">
        <v>201.2</v>
      </c>
      <c r="R378" s="67" t="s">
        <v>575</v>
      </c>
      <c r="S378" s="68">
        <v>217.1</v>
      </c>
      <c r="T378" s="68">
        <f t="shared" si="50"/>
        <v>15.900000000000006</v>
      </c>
      <c r="U378">
        <f t="shared" si="46"/>
        <v>68</v>
      </c>
      <c r="V378">
        <f t="shared" si="51"/>
        <v>14</v>
      </c>
      <c r="W378">
        <f t="shared" si="47"/>
        <v>9.94</v>
      </c>
      <c r="X378" s="19">
        <v>45592</v>
      </c>
      <c r="Y378" s="26">
        <v>429</v>
      </c>
      <c r="Z378" s="61">
        <v>0</v>
      </c>
      <c r="AB378" s="28">
        <f t="shared" si="48"/>
        <v>0.14199999999999999</v>
      </c>
      <c r="AC378" s="110">
        <v>54.1</v>
      </c>
      <c r="AD378" s="26">
        <v>72.099999999999994</v>
      </c>
      <c r="AE378" s="61">
        <f t="shared" si="49"/>
        <v>17.999999999999993</v>
      </c>
      <c r="AF378" s="77" t="str">
        <f>_xlfn.XLOOKUP(AD378,menu!$K$2:$K$9,menu!$J$2:$J$9,"",1)</f>
        <v>淺</v>
      </c>
      <c r="AG378" s="80" t="str">
        <f>_xlfn.XLOOKUP(AH378,menu!$O$2:$O$9,menu!$H$2:$H$9,"")</f>
        <v>Cinamon</v>
      </c>
      <c r="AH378" s="81" t="s">
        <v>78</v>
      </c>
      <c r="AI378" t="str">
        <f>_xlfn.LET(_xlpm.x,_xlfn.CONCAT(_xlfn.XLOOKUP(D378,beans!$A$2:$A$300,beans!$J$2:$J$300,"")," / ",_xlfn.XLOOKUP(D378,beans!$A$2:$A$300,beans!$K$2:$K$300,"")," - ",_xlfn.XLOOKUP(D378,beans!$A$2:$A$300,beans!$L$2:$L$300,"")),IF(_xlpm.x=" /  - ","",_xlpm.x))</f>
        <v xml:space="preserve">古吉 丁圖 / 罕貝拉 - </v>
      </c>
      <c r="AJ378" s="23" t="s">
        <v>648</v>
      </c>
    </row>
    <row r="379" spans="1:36" x14ac:dyDescent="0.3">
      <c r="A379">
        <v>362</v>
      </c>
      <c r="B379">
        <v>500</v>
      </c>
      <c r="D379">
        <v>78</v>
      </c>
      <c r="E379" t="str">
        <f>_xlfn.LET(_xlpm.x,_xlfn.XLOOKUP(D379,beans!$A$2:$A$300,beans!$H$2:$H$300,""),IF(_xlpm.x="","",_xlpm.x))</f>
        <v>衣索比亞</v>
      </c>
      <c r="F379" s="22" t="str">
        <f>_xlfn.XLOOKUP(E379,menu!$A$2:$A$37,menu!$B$2:$B$37,"")</f>
        <v>Ethiopia</v>
      </c>
      <c r="G379" t="str">
        <f>_xlfn.XLOOKUP(E379,menu!$A$2:$A$37,menu!$C$2:$C$37,"")</f>
        <v>eth</v>
      </c>
      <c r="H379" t="str">
        <f>_xlfn.LET(_xlpm.x,_xlfn.XLOOKUP(_xlfn.XLOOKUP(D379,beans!$A$2:$A$300,beans!$I$2:$I$300),menu!$E$2:$E$20,menu!$F$2:$F$20),IF(_xlpm.x="","",_xlpm.x))</f>
        <v>honey</v>
      </c>
      <c r="I379">
        <v>200</v>
      </c>
      <c r="J379">
        <v>80</v>
      </c>
      <c r="K379">
        <v>40</v>
      </c>
      <c r="L379">
        <v>90</v>
      </c>
      <c r="M379" s="68" t="s">
        <v>80</v>
      </c>
      <c r="N379">
        <v>88.7</v>
      </c>
      <c r="P379" s="67" t="s">
        <v>649</v>
      </c>
      <c r="Q379" s="68">
        <v>204.6</v>
      </c>
      <c r="R379" s="67" t="s">
        <v>259</v>
      </c>
      <c r="S379" s="68">
        <v>219.7</v>
      </c>
      <c r="T379" s="68">
        <f t="shared" si="50"/>
        <v>15.099999999999994</v>
      </c>
      <c r="U379">
        <f t="shared" si="46"/>
        <v>55</v>
      </c>
      <c r="V379">
        <f t="shared" si="51"/>
        <v>16.5</v>
      </c>
      <c r="W379">
        <f t="shared" si="47"/>
        <v>8.7899999999999991</v>
      </c>
      <c r="X379" s="19">
        <v>45592</v>
      </c>
      <c r="Y379" s="26">
        <v>423</v>
      </c>
      <c r="Z379" s="61">
        <v>0</v>
      </c>
      <c r="AB379" s="28">
        <f t="shared" si="48"/>
        <v>0.154</v>
      </c>
      <c r="AC379" s="110">
        <v>51.1</v>
      </c>
      <c r="AD379" s="26">
        <v>69.900000000000006</v>
      </c>
      <c r="AE379" s="61">
        <f t="shared" si="49"/>
        <v>18.800000000000004</v>
      </c>
      <c r="AF379" s="77" t="str">
        <f>_xlfn.XLOOKUP(AD379,menu!$K$2:$K$9,menu!$J$2:$J$9,"",1)</f>
        <v>中淺</v>
      </c>
      <c r="AG379" s="80" t="str">
        <f>_xlfn.XLOOKUP(AH379,menu!$O$2:$O$9,menu!$H$2:$H$9,"")</f>
        <v>Medium</v>
      </c>
      <c r="AH379" s="81" t="s">
        <v>72</v>
      </c>
      <c r="AI379" t="str">
        <f>_xlfn.LET(_xlpm.x,_xlfn.CONCAT(_xlfn.XLOOKUP(D379,beans!$A$2:$A$300,beans!$J$2:$J$300,"")," / ",_xlfn.XLOOKUP(D379,beans!$A$2:$A$300,beans!$K$2:$K$300,"")," - ",_xlfn.XLOOKUP(D379,beans!$A$2:$A$300,beans!$L$2:$L$300,"")),IF(_xlpm.x=" /  - ","",_xlpm.x))</f>
        <v xml:space="preserve">耶加雪菲 / 科克 - </v>
      </c>
      <c r="AJ379" s="23" t="s">
        <v>650</v>
      </c>
    </row>
    <row r="380" spans="1:36" x14ac:dyDescent="0.3">
      <c r="A380">
        <v>363</v>
      </c>
      <c r="B380">
        <v>500</v>
      </c>
      <c r="D380">
        <v>18</v>
      </c>
      <c r="E380" t="str">
        <f>_xlfn.LET(_xlpm.x,_xlfn.XLOOKUP(D380,beans!$A$2:$A$300,beans!$H$2:$H$300,""),IF(_xlpm.x="","",_xlpm.x))</f>
        <v>衣索比亞</v>
      </c>
      <c r="F380" s="22" t="str">
        <f>_xlfn.XLOOKUP(E380,menu!$A$2:$A$37,menu!$B$2:$B$37,"")</f>
        <v>Ethiopia</v>
      </c>
      <c r="G380" t="str">
        <f>_xlfn.XLOOKUP(E380,menu!$A$2:$A$37,menu!$C$2:$C$37,"")</f>
        <v>eth</v>
      </c>
      <c r="H380" t="str">
        <f>_xlfn.LET(_xlpm.x,_xlfn.XLOOKUP(_xlfn.XLOOKUP(D380,beans!$A$2:$A$300,beans!$I$2:$I$300),menu!$E$2:$E$20,menu!$F$2:$F$20),IF(_xlpm.x="","",_xlpm.x))</f>
        <v>washed</v>
      </c>
      <c r="I380">
        <v>200</v>
      </c>
      <c r="J380">
        <v>80</v>
      </c>
      <c r="K380">
        <v>40</v>
      </c>
      <c r="L380">
        <v>90</v>
      </c>
      <c r="M380" s="68" t="s">
        <v>157</v>
      </c>
      <c r="N380">
        <v>91</v>
      </c>
      <c r="P380" s="67" t="s">
        <v>651</v>
      </c>
      <c r="Q380" s="68">
        <v>201.7</v>
      </c>
      <c r="R380" s="67" t="s">
        <v>509</v>
      </c>
      <c r="S380" s="68">
        <v>219.2</v>
      </c>
      <c r="T380" s="68">
        <f t="shared" si="50"/>
        <v>17.5</v>
      </c>
      <c r="U380">
        <f t="shared" si="46"/>
        <v>97</v>
      </c>
      <c r="V380">
        <f t="shared" si="51"/>
        <v>10.8</v>
      </c>
      <c r="W380">
        <f t="shared" si="47"/>
        <v>15.16</v>
      </c>
      <c r="X380" s="19">
        <v>45592</v>
      </c>
      <c r="Y380" s="26">
        <v>426</v>
      </c>
      <c r="Z380" s="61">
        <v>0</v>
      </c>
      <c r="AB380" s="28">
        <f t="shared" si="48"/>
        <v>0.14799999999999999</v>
      </c>
      <c r="AC380" s="110">
        <v>55.1</v>
      </c>
      <c r="AD380" s="26">
        <v>64.099999999999994</v>
      </c>
      <c r="AE380" s="61">
        <f t="shared" si="49"/>
        <v>8.9999999999999929</v>
      </c>
      <c r="AF380" s="77" t="str">
        <f>_xlfn.XLOOKUP(AD380,menu!$K$2:$K$9,menu!$J$2:$J$9,"",1)</f>
        <v>中淺</v>
      </c>
      <c r="AG380" s="80" t="str">
        <f>_xlfn.XLOOKUP(AH380,menu!$O$2:$O$9,menu!$H$2:$H$9,"")</f>
        <v>Medium</v>
      </c>
      <c r="AH380" s="81" t="s">
        <v>72</v>
      </c>
      <c r="AI380" t="str">
        <f>_xlfn.LET(_xlpm.x,_xlfn.CONCAT(_xlfn.XLOOKUP(D380,beans!$A$2:$A$300,beans!$J$2:$J$300,"")," / ",_xlfn.XLOOKUP(D380,beans!$A$2:$A$300,beans!$K$2:$K$300,"")," - ",_xlfn.XLOOKUP(D380,beans!$A$2:$A$300,beans!$L$2:$L$300,"")),IF(_xlpm.x=" /  - ","",_xlpm.x))</f>
        <v>古吉 夏奇索 / 瓦力 - Heirloom</v>
      </c>
      <c r="AJ380" s="23" t="s">
        <v>650</v>
      </c>
    </row>
    <row r="381" spans="1:36" x14ac:dyDescent="0.3">
      <c r="A381">
        <v>364</v>
      </c>
      <c r="B381">
        <v>500</v>
      </c>
      <c r="D381">
        <v>63</v>
      </c>
      <c r="E381" t="str">
        <f>_xlfn.LET(_xlpm.x,_xlfn.XLOOKUP(D381,beans!$A$2:$A$300,beans!$H$2:$H$300,""),IF(_xlpm.x="","",_xlpm.x))</f>
        <v>衣索比亞</v>
      </c>
      <c r="F381" s="22" t="str">
        <f>_xlfn.XLOOKUP(E381,menu!$A$2:$A$37,menu!$B$2:$B$37,"")</f>
        <v>Ethiopia</v>
      </c>
      <c r="G381" t="str">
        <f>_xlfn.XLOOKUP(E381,menu!$A$2:$A$37,menu!$C$2:$C$37,"")</f>
        <v>eth</v>
      </c>
      <c r="H381" t="str">
        <f>_xlfn.LET(_xlpm.x,_xlfn.XLOOKUP(_xlfn.XLOOKUP(D381,beans!$A$2:$A$300,beans!$I$2:$I$300),menu!$E$2:$E$20,menu!$F$2:$F$20),IF(_xlpm.x="","",_xlpm.x))</f>
        <v>washed</v>
      </c>
      <c r="I381">
        <v>200</v>
      </c>
      <c r="J381">
        <v>85</v>
      </c>
      <c r="K381">
        <v>40</v>
      </c>
      <c r="L381">
        <v>90</v>
      </c>
      <c r="M381" s="68" t="s">
        <v>75</v>
      </c>
      <c r="N381">
        <v>84.4</v>
      </c>
      <c r="P381" s="67" t="s">
        <v>179</v>
      </c>
      <c r="Q381" s="68">
        <v>199.2</v>
      </c>
      <c r="R381" s="67" t="s">
        <v>621</v>
      </c>
      <c r="S381" s="68">
        <v>215.2</v>
      </c>
      <c r="T381" s="68">
        <f t="shared" si="50"/>
        <v>16</v>
      </c>
      <c r="U381">
        <f t="shared" si="46"/>
        <v>58</v>
      </c>
      <c r="V381">
        <f t="shared" si="51"/>
        <v>16.600000000000001</v>
      </c>
      <c r="W381">
        <f t="shared" si="47"/>
        <v>9.81</v>
      </c>
      <c r="X381" s="19">
        <v>45592</v>
      </c>
      <c r="Y381" s="26">
        <v>431</v>
      </c>
      <c r="Z381" s="61">
        <v>0</v>
      </c>
      <c r="AB381" s="28">
        <f t="shared" si="48"/>
        <v>0.13800000000000001</v>
      </c>
      <c r="AC381" s="110">
        <v>65.900000000000006</v>
      </c>
      <c r="AD381" s="26">
        <v>73.5</v>
      </c>
      <c r="AE381" s="61">
        <f t="shared" si="49"/>
        <v>7.5999999999999943</v>
      </c>
      <c r="AF381" s="77" t="str">
        <f>_xlfn.XLOOKUP(AD381,menu!$K$2:$K$9,menu!$J$2:$J$9,"",1)</f>
        <v>淺</v>
      </c>
      <c r="AG381" s="80" t="str">
        <f>_xlfn.XLOOKUP(AH381,menu!$O$2:$O$9,menu!$H$2:$H$9,"")</f>
        <v>Cinamon</v>
      </c>
      <c r="AH381" s="81" t="s">
        <v>78</v>
      </c>
      <c r="AI381" t="str">
        <f>_xlfn.LET(_xlpm.x,_xlfn.CONCAT(_xlfn.XLOOKUP(D381,beans!$A$2:$A$300,beans!$J$2:$J$300,"")," / ",_xlfn.XLOOKUP(D381,beans!$A$2:$A$300,beans!$K$2:$K$300,"")," - ",_xlfn.XLOOKUP(D381,beans!$A$2:$A$300,beans!$L$2:$L$300,"")),IF(_xlpm.x=" /  - ","",_xlpm.x))</f>
        <v>班奇 馬吉 / 露西 - Geisha</v>
      </c>
      <c r="AJ381" s="23" t="s">
        <v>652</v>
      </c>
    </row>
    <row r="382" spans="1:36" x14ac:dyDescent="0.3">
      <c r="A382">
        <v>365</v>
      </c>
      <c r="B382">
        <v>500</v>
      </c>
      <c r="D382">
        <v>79</v>
      </c>
      <c r="E382" t="str">
        <f>_xlfn.LET(_xlpm.x,_xlfn.XLOOKUP(D382,beans!$A$2:$A$300,beans!$H$2:$H$300,""),IF(_xlpm.x="","",_xlpm.x))</f>
        <v>衣索比亞</v>
      </c>
      <c r="F382" s="22" t="str">
        <f>_xlfn.XLOOKUP(E382,menu!$A$2:$A$37,menu!$B$2:$B$37,"")</f>
        <v>Ethiopia</v>
      </c>
      <c r="G382" t="str">
        <f>_xlfn.XLOOKUP(E382,menu!$A$2:$A$37,menu!$C$2:$C$37,"")</f>
        <v>eth</v>
      </c>
      <c r="H382" t="str">
        <f>_xlfn.LET(_xlpm.x,_xlfn.XLOOKUP(_xlfn.XLOOKUP(D382,beans!$A$2:$A$300,beans!$I$2:$I$300),menu!$E$2:$E$20,menu!$F$2:$F$20),IF(_xlpm.x="","",_xlpm.x))</f>
        <v>natural</v>
      </c>
      <c r="I382">
        <v>200</v>
      </c>
      <c r="J382">
        <v>85</v>
      </c>
      <c r="K382">
        <v>40</v>
      </c>
      <c r="L382">
        <v>90</v>
      </c>
      <c r="M382" s="68" t="s">
        <v>121</v>
      </c>
      <c r="N382">
        <v>86.8</v>
      </c>
      <c r="P382" s="67" t="s">
        <v>76</v>
      </c>
      <c r="Q382" s="68">
        <v>205.5</v>
      </c>
      <c r="R382" s="67" t="s">
        <v>354</v>
      </c>
      <c r="S382" s="68">
        <v>219.3</v>
      </c>
      <c r="T382" s="68">
        <f t="shared" si="50"/>
        <v>13.800000000000011</v>
      </c>
      <c r="U382">
        <f t="shared" si="46"/>
        <v>60</v>
      </c>
      <c r="V382">
        <f t="shared" si="51"/>
        <v>13.8</v>
      </c>
      <c r="W382">
        <f t="shared" si="47"/>
        <v>9.69</v>
      </c>
      <c r="X382" s="19">
        <v>45592</v>
      </c>
      <c r="Y382" s="26">
        <v>421</v>
      </c>
      <c r="Z382" s="61">
        <v>0</v>
      </c>
      <c r="AB382" s="28">
        <f t="shared" si="48"/>
        <v>0.158</v>
      </c>
      <c r="AC382" s="110">
        <v>44.2</v>
      </c>
      <c r="AD382" s="26">
        <v>67.099999999999994</v>
      </c>
      <c r="AE382" s="61">
        <f t="shared" si="49"/>
        <v>22.899999999999991</v>
      </c>
      <c r="AF382" s="77" t="str">
        <f>_xlfn.XLOOKUP(AD382,menu!$K$2:$K$9,menu!$J$2:$J$9,"",1)</f>
        <v>中淺</v>
      </c>
      <c r="AG382" s="80" t="str">
        <f>_xlfn.XLOOKUP(AH382,menu!$O$2:$O$9,menu!$H$2:$H$9,"")</f>
        <v>Medium</v>
      </c>
      <c r="AH382" s="81" t="s">
        <v>72</v>
      </c>
      <c r="AI382" t="str">
        <f>_xlfn.LET(_xlpm.x,_xlfn.CONCAT(_xlfn.XLOOKUP(D382,beans!$A$2:$A$300,beans!$J$2:$J$300,"")," / ",_xlfn.XLOOKUP(D382,beans!$A$2:$A$300,beans!$K$2:$K$300,"")," - ",_xlfn.XLOOKUP(D382,beans!$A$2:$A$300,beans!$L$2:$L$300,"")),IF(_xlpm.x=" /  - ","",_xlpm.x))</f>
        <v xml:space="preserve">古吉 烏拉嘎 / 所羅門 - </v>
      </c>
      <c r="AJ382" s="23" t="s">
        <v>650</v>
      </c>
    </row>
    <row r="383" spans="1:36" x14ac:dyDescent="0.3">
      <c r="A383">
        <v>366</v>
      </c>
      <c r="B383">
        <v>500</v>
      </c>
      <c r="D383">
        <v>63</v>
      </c>
      <c r="E383" t="str">
        <f>_xlfn.LET(_xlpm.x,_xlfn.XLOOKUP(D383,beans!$A$2:$A$300,beans!$H$2:$H$300,""),IF(_xlpm.x="","",_xlpm.x))</f>
        <v>衣索比亞</v>
      </c>
      <c r="F383" s="22" t="str">
        <f>_xlfn.XLOOKUP(E383,menu!$A$2:$A$37,menu!$B$2:$B$37,"")</f>
        <v>Ethiopia</v>
      </c>
      <c r="G383" t="str">
        <f>_xlfn.XLOOKUP(E383,menu!$A$2:$A$37,menu!$C$2:$C$37,"")</f>
        <v>eth</v>
      </c>
      <c r="H383" t="str">
        <f>_xlfn.LET(_xlpm.x,_xlfn.XLOOKUP(_xlfn.XLOOKUP(D383,beans!$A$2:$A$300,beans!$I$2:$I$300),menu!$E$2:$E$20,menu!$F$2:$F$20),IF(_xlpm.x="","",_xlpm.x))</f>
        <v>washed</v>
      </c>
      <c r="I383">
        <v>200</v>
      </c>
      <c r="J383">
        <v>85</v>
      </c>
      <c r="K383">
        <v>40</v>
      </c>
      <c r="L383">
        <v>90</v>
      </c>
      <c r="M383" s="68" t="s">
        <v>125</v>
      </c>
      <c r="N383">
        <v>85.8</v>
      </c>
      <c r="P383" s="67" t="s">
        <v>653</v>
      </c>
      <c r="Q383" s="68">
        <v>203.4</v>
      </c>
      <c r="R383" s="67" t="s">
        <v>347</v>
      </c>
      <c r="S383" s="68">
        <v>219.4</v>
      </c>
      <c r="T383" s="68">
        <f t="shared" si="50"/>
        <v>16</v>
      </c>
      <c r="U383">
        <f t="shared" si="46"/>
        <v>78</v>
      </c>
      <c r="V383">
        <f t="shared" si="51"/>
        <v>12.3</v>
      </c>
      <c r="W383">
        <f t="shared" si="47"/>
        <v>11.71</v>
      </c>
      <c r="X383" s="19">
        <v>45592</v>
      </c>
      <c r="Y383" s="26">
        <v>424</v>
      </c>
      <c r="Z383" s="61">
        <v>0</v>
      </c>
      <c r="AB383" s="28">
        <f t="shared" si="48"/>
        <v>0.152</v>
      </c>
      <c r="AC383" s="110">
        <v>56.5</v>
      </c>
      <c r="AD383" s="26">
        <v>66.2</v>
      </c>
      <c r="AE383" s="61">
        <f t="shared" si="49"/>
        <v>9.7000000000000028</v>
      </c>
      <c r="AF383" s="77" t="str">
        <f>_xlfn.XLOOKUP(AD383,menu!$K$2:$K$9,menu!$J$2:$J$9,"",1)</f>
        <v>中淺</v>
      </c>
      <c r="AG383" s="80" t="str">
        <f>_xlfn.XLOOKUP(AH383,menu!$O$2:$O$9,menu!$H$2:$H$9,"")</f>
        <v>Medium</v>
      </c>
      <c r="AH383" s="81" t="s">
        <v>72</v>
      </c>
      <c r="AI383" t="str">
        <f>_xlfn.LET(_xlpm.x,_xlfn.CONCAT(_xlfn.XLOOKUP(D383,beans!$A$2:$A$300,beans!$J$2:$J$300,"")," / ",_xlfn.XLOOKUP(D383,beans!$A$2:$A$300,beans!$K$2:$K$300,"")," - ",_xlfn.XLOOKUP(D383,beans!$A$2:$A$300,beans!$L$2:$L$300,"")),IF(_xlpm.x=" /  - ","",_xlpm.x))</f>
        <v>班奇 馬吉 / 露西 - Geisha</v>
      </c>
      <c r="AJ383" s="23" t="s">
        <v>652</v>
      </c>
    </row>
    <row r="384" spans="1:36" x14ac:dyDescent="0.3">
      <c r="A384">
        <v>367</v>
      </c>
      <c r="B384">
        <v>500</v>
      </c>
      <c r="D384">
        <v>63</v>
      </c>
      <c r="E384" t="str">
        <f>_xlfn.LET(_xlpm.x,_xlfn.XLOOKUP(D384,beans!$A$2:$A$300,beans!$H$2:$H$300,""),IF(_xlpm.x="","",_xlpm.x))</f>
        <v>衣索比亞</v>
      </c>
      <c r="F384" s="22" t="str">
        <f>_xlfn.XLOOKUP(E384,menu!$A$2:$A$37,menu!$B$2:$B$37,"")</f>
        <v>Ethiopia</v>
      </c>
      <c r="G384" t="str">
        <f>_xlfn.XLOOKUP(E384,menu!$A$2:$A$37,menu!$C$2:$C$37,"")</f>
        <v>eth</v>
      </c>
      <c r="H384" t="str">
        <f>_xlfn.LET(_xlpm.x,_xlfn.XLOOKUP(_xlfn.XLOOKUP(D384,beans!$A$2:$A$300,beans!$I$2:$I$300),menu!$E$2:$E$20,menu!$F$2:$F$20),IF(_xlpm.x="","",_xlpm.x))</f>
        <v>washed</v>
      </c>
      <c r="I384">
        <v>200</v>
      </c>
      <c r="J384">
        <v>85</v>
      </c>
      <c r="K384">
        <v>40</v>
      </c>
      <c r="L384">
        <v>90</v>
      </c>
      <c r="M384" s="68" t="s">
        <v>125</v>
      </c>
      <c r="N384">
        <v>85.9</v>
      </c>
      <c r="P384" s="67" t="s">
        <v>653</v>
      </c>
      <c r="Q384" s="68">
        <v>204</v>
      </c>
      <c r="R384" s="67" t="s">
        <v>386</v>
      </c>
      <c r="S384" s="68">
        <v>219.5</v>
      </c>
      <c r="T384" s="68">
        <f t="shared" si="50"/>
        <v>15.5</v>
      </c>
      <c r="U384">
        <f t="shared" si="46"/>
        <v>76</v>
      </c>
      <c r="V384">
        <f t="shared" si="51"/>
        <v>12.2</v>
      </c>
      <c r="W384">
        <f t="shared" si="47"/>
        <v>11.45</v>
      </c>
      <c r="X384" s="19">
        <v>45592</v>
      </c>
      <c r="Y384" s="26">
        <v>420</v>
      </c>
      <c r="Z384" s="61">
        <v>0</v>
      </c>
      <c r="AB384" s="28">
        <f t="shared" si="48"/>
        <v>0.16</v>
      </c>
      <c r="AC384" s="110">
        <v>56.5</v>
      </c>
      <c r="AD384" s="26">
        <v>66.2</v>
      </c>
      <c r="AE384" s="61">
        <f t="shared" si="49"/>
        <v>9.7000000000000028</v>
      </c>
      <c r="AF384" s="77" t="str">
        <f>_xlfn.XLOOKUP(AD384,menu!$K$2:$K$9,menu!$J$2:$J$9,"",1)</f>
        <v>中淺</v>
      </c>
      <c r="AG384" s="80" t="str">
        <f>_xlfn.XLOOKUP(AH384,menu!$O$2:$O$9,menu!$H$2:$H$9,"")</f>
        <v>Medium</v>
      </c>
      <c r="AH384" s="81" t="s">
        <v>72</v>
      </c>
      <c r="AI384" t="str">
        <f>_xlfn.LET(_xlpm.x,_xlfn.CONCAT(_xlfn.XLOOKUP(D384,beans!$A$2:$A$300,beans!$J$2:$J$300,"")," / ",_xlfn.XLOOKUP(D384,beans!$A$2:$A$300,beans!$K$2:$K$300,"")," - ",_xlfn.XLOOKUP(D384,beans!$A$2:$A$300,beans!$L$2:$L$300,"")),IF(_xlpm.x=" /  - ","",_xlpm.x))</f>
        <v>班奇 馬吉 / 露西 - Geisha</v>
      </c>
      <c r="AJ384" s="23" t="s">
        <v>652</v>
      </c>
    </row>
    <row r="385" spans="1:36" x14ac:dyDescent="0.3">
      <c r="A385">
        <v>368</v>
      </c>
      <c r="B385">
        <v>500</v>
      </c>
      <c r="D385">
        <v>68</v>
      </c>
      <c r="E385" t="str">
        <f>_xlfn.LET(_xlpm.x,_xlfn.XLOOKUP(D385,beans!$A$2:$A$300,beans!$H$2:$H$300,""),IF(_xlpm.x="","",_xlpm.x))</f>
        <v>哥倫比亞</v>
      </c>
      <c r="F385" s="22" t="str">
        <f>_xlfn.XLOOKUP(E385,menu!$A$2:$A$37,menu!$B$2:$B$37,"")</f>
        <v>Colombia</v>
      </c>
      <c r="G385" t="str">
        <f>_xlfn.XLOOKUP(E385,menu!$A$2:$A$37,menu!$C$2:$C$37,"")</f>
        <v>col</v>
      </c>
      <c r="H385" t="str">
        <f>_xlfn.LET(_xlpm.x,_xlfn.XLOOKUP(_xlfn.XLOOKUP(D385,beans!$A$2:$A$300,beans!$I$2:$I$300),menu!$E$2:$E$20,menu!$F$2:$F$20),IF(_xlpm.x="","",_xlpm.x))</f>
        <v>Anaerobic Natural</v>
      </c>
      <c r="I385">
        <v>200</v>
      </c>
      <c r="J385">
        <v>85</v>
      </c>
      <c r="K385">
        <v>45</v>
      </c>
      <c r="L385">
        <v>90</v>
      </c>
      <c r="M385" s="68" t="s">
        <v>318</v>
      </c>
      <c r="N385">
        <v>88.8</v>
      </c>
      <c r="P385" s="67" t="s">
        <v>654</v>
      </c>
      <c r="Q385" s="68">
        <v>204.1</v>
      </c>
      <c r="R385" s="67" t="s">
        <v>98</v>
      </c>
      <c r="S385" s="68">
        <v>219.3</v>
      </c>
      <c r="T385" s="68">
        <f t="shared" si="50"/>
        <v>15.200000000000017</v>
      </c>
      <c r="U385">
        <f t="shared" si="46"/>
        <v>82</v>
      </c>
      <c r="V385">
        <f t="shared" si="51"/>
        <v>11.1</v>
      </c>
      <c r="W385">
        <f t="shared" si="47"/>
        <v>12.69</v>
      </c>
      <c r="X385" s="19">
        <v>45592</v>
      </c>
      <c r="Y385" s="26">
        <v>435</v>
      </c>
      <c r="Z385" s="61">
        <v>0</v>
      </c>
      <c r="AB385" s="28">
        <f t="shared" si="48"/>
        <v>0.13</v>
      </c>
      <c r="AC385" s="110">
        <v>52.2</v>
      </c>
      <c r="AD385" s="26">
        <v>68.7</v>
      </c>
      <c r="AE385" s="61">
        <f t="shared" si="49"/>
        <v>16.5</v>
      </c>
      <c r="AF385" s="77" t="str">
        <f>_xlfn.XLOOKUP(AD385,menu!$K$2:$K$9,menu!$J$2:$J$9,"",1)</f>
        <v>中淺</v>
      </c>
      <c r="AG385" s="80" t="str">
        <f>_xlfn.XLOOKUP(AH385,menu!$O$2:$O$9,menu!$H$2:$H$9,"")</f>
        <v>Cinamon</v>
      </c>
      <c r="AH385" s="81" t="s">
        <v>78</v>
      </c>
      <c r="AI385" t="str">
        <f>_xlfn.LET(_xlpm.x,_xlfn.CONCAT(_xlfn.XLOOKUP(D385,beans!$A$2:$A$300,beans!$J$2:$J$300,"")," / ",_xlfn.XLOOKUP(D385,beans!$A$2:$A$300,beans!$K$2:$K$300,"")," - ",_xlfn.XLOOKUP(D385,beans!$A$2:$A$300,beans!$L$2:$L$300,"")),IF(_xlpm.x=" /  - ","",_xlpm.x))</f>
        <v xml:space="preserve"> / 天堂莊園-日出桂花香 - </v>
      </c>
      <c r="AJ385" s="23" t="s">
        <v>650</v>
      </c>
    </row>
    <row r="386" spans="1:36" x14ac:dyDescent="0.3">
      <c r="A386">
        <v>369</v>
      </c>
      <c r="B386">
        <v>500</v>
      </c>
      <c r="D386">
        <v>83</v>
      </c>
      <c r="E386" t="str">
        <f>_xlfn.LET(_xlpm.x,_xlfn.XLOOKUP(D386,beans!$A$2:$A$300,beans!$H$2:$H$300,""),IF(_xlpm.x="","",_xlpm.x))</f>
        <v>印尼</v>
      </c>
      <c r="F386" s="22" t="str">
        <f>_xlfn.XLOOKUP(E386,menu!$A$2:$A$37,menu!$B$2:$B$37,"")</f>
        <v>Indonisia</v>
      </c>
      <c r="G386" t="str">
        <f>_xlfn.XLOOKUP(E386,menu!$A$2:$A$37,menu!$C$2:$C$37,"")</f>
        <v>idn</v>
      </c>
      <c r="H386" t="str">
        <f>_xlfn.LET(_xlpm.x,_xlfn.XLOOKUP(_xlfn.XLOOKUP(D386,beans!$A$2:$A$300,beans!$I$2:$I$300),menu!$E$2:$E$20,menu!$F$2:$F$20),IF(_xlpm.x="","",_xlpm.x))</f>
        <v>washed</v>
      </c>
      <c r="I386">
        <v>200</v>
      </c>
      <c r="J386">
        <v>85</v>
      </c>
      <c r="K386">
        <v>45</v>
      </c>
      <c r="L386">
        <v>90</v>
      </c>
      <c r="M386" s="68" t="s">
        <v>190</v>
      </c>
      <c r="N386">
        <v>89.2</v>
      </c>
      <c r="P386" s="67" t="s">
        <v>655</v>
      </c>
      <c r="Q386" s="68">
        <v>201.1</v>
      </c>
      <c r="R386" s="67" t="s">
        <v>656</v>
      </c>
      <c r="S386" s="68">
        <v>242.8</v>
      </c>
      <c r="T386" s="68">
        <f t="shared" si="50"/>
        <v>41.700000000000017</v>
      </c>
      <c r="U386">
        <f t="shared" ref="U386:U449" si="52">_xlfn.LET(_xlpm.x,(TIMEVALUE("0:"&amp;SUBSTITUTE(R386,"'",":"))-TIMEVALUE("0:"&amp;SUBSTITUTE(P386,"'",":")))*86400,IF(_xlpm.x=0,"",ROUND(_xlpm.x,2)))</f>
        <v>168</v>
      </c>
      <c r="V386">
        <f t="shared" si="51"/>
        <v>14.9</v>
      </c>
      <c r="W386">
        <f t="shared" ref="W386:W449" si="53">_xlfn.LET(_xlpm.x,(TIMEVALUE("0:"&amp;SUBSTITUTE(R386,"'",":"))-TIMEVALUE("0:"&amp;SUBSTITUTE(P386,"'",":")))*86400,IF(_xlpm.x=0,"",ROUND(_xlpm.x/((TIMEVALUE("0:"&amp;SUBSTITUTE(R386,"'",":"))-TIMEVALUE("0:0:0"))*864),2)))</f>
        <v>23.56</v>
      </c>
      <c r="X386" s="19">
        <v>45592</v>
      </c>
      <c r="Y386" s="26">
        <v>400</v>
      </c>
      <c r="Z386" s="61">
        <v>0</v>
      </c>
      <c r="AB386" s="28">
        <f t="shared" ref="AB386:AB449" si="54">IF(Y386 &gt; 0,(B386-Y386)/B386," ")</f>
        <v>0.2</v>
      </c>
      <c r="AE386" s="61" t="str">
        <f t="shared" ref="AE386:AE449" si="55">_xlfn.LET(_xlpm.x,AD386-AC386,IF(_xlpm.x=0,"",_xlpm.x))</f>
        <v/>
      </c>
      <c r="AF386" s="77" t="str">
        <f>_xlfn.XLOOKUP(AD386,menu!$K$2:$K$9,menu!$J$2:$J$9,"",1)</f>
        <v/>
      </c>
      <c r="AG386" s="80" t="str">
        <f>_xlfn.XLOOKUP(AH386,menu!$O$2:$O$9,menu!$H$2:$H$9,"")</f>
        <v>French</v>
      </c>
      <c r="AH386" s="81" t="s">
        <v>490</v>
      </c>
      <c r="AI386" t="str">
        <f>_xlfn.LET(_xlpm.x,_xlfn.CONCAT(_xlfn.XLOOKUP(D386,beans!$A$2:$A$300,beans!$J$2:$J$300,"")," / ",_xlfn.XLOOKUP(D386,beans!$A$2:$A$300,beans!$K$2:$K$300,"")," - ",_xlfn.XLOOKUP(D386,beans!$A$2:$A$300,beans!$L$2:$L$300,"")),IF(_xlpm.x=" /  - ","",_xlpm.x))</f>
        <v xml:space="preserve"> / 曼特寧 - </v>
      </c>
      <c r="AJ386" s="23" t="s">
        <v>225</v>
      </c>
    </row>
    <row r="387" spans="1:36" x14ac:dyDescent="0.3">
      <c r="A387">
        <v>370</v>
      </c>
      <c r="B387">
        <v>250</v>
      </c>
      <c r="D387">
        <v>71</v>
      </c>
      <c r="E387" t="str">
        <f>_xlfn.LET(_xlpm.x,_xlfn.XLOOKUP(D387,beans!$A$2:$A$300,beans!$H$2:$H$300,""),IF(_xlpm.x="","",_xlpm.x))</f>
        <v>尼加拉瓜</v>
      </c>
      <c r="F387" s="22" t="str">
        <f>_xlfn.XLOOKUP(E387,menu!$A$2:$A$37,menu!$B$2:$B$37,"")</f>
        <v>Nicaragua</v>
      </c>
      <c r="G387" t="str">
        <f>_xlfn.XLOOKUP(E387,menu!$A$2:$A$37,menu!$C$2:$C$37,"")</f>
        <v>nic</v>
      </c>
      <c r="H387" t="str">
        <f>_xlfn.LET(_xlpm.x,_xlfn.XLOOKUP(_xlfn.XLOOKUP(D387,beans!$A$2:$A$300,beans!$I$2:$I$300),menu!$E$2:$E$20,menu!$F$2:$F$20),IF(_xlpm.x="","",_xlpm.x))</f>
        <v>washed</v>
      </c>
      <c r="I387">
        <v>190</v>
      </c>
      <c r="J387">
        <v>70</v>
      </c>
      <c r="K387">
        <v>30</v>
      </c>
      <c r="L387">
        <v>70</v>
      </c>
      <c r="M387" s="68" t="s">
        <v>346</v>
      </c>
      <c r="N387">
        <v>87.1</v>
      </c>
      <c r="R387" s="67" t="s">
        <v>310</v>
      </c>
      <c r="S387" s="68">
        <v>214.8</v>
      </c>
      <c r="T387" s="68">
        <f t="shared" ref="T387:T450" si="56">_xlfn.LET(_xlpm.x,S387-Q387,IF(_xlpm.x=0,"",_xlpm.x))</f>
        <v>214.8</v>
      </c>
      <c r="U387">
        <f t="shared" si="52"/>
        <v>731</v>
      </c>
      <c r="V387">
        <f t="shared" ref="V387:V450" si="57">IFERROR(ROUND(T387*60/U387,1), )</f>
        <v>17.600000000000001</v>
      </c>
      <c r="W387">
        <f t="shared" si="53"/>
        <v>100</v>
      </c>
      <c r="X387" s="19">
        <v>45599</v>
      </c>
      <c r="Y387" s="26">
        <v>210</v>
      </c>
      <c r="Z387" s="61">
        <v>0</v>
      </c>
      <c r="AB387" s="28">
        <f t="shared" si="54"/>
        <v>0.16</v>
      </c>
      <c r="AC387" s="110">
        <v>53.5</v>
      </c>
      <c r="AD387" s="26">
        <v>63.9</v>
      </c>
      <c r="AE387" s="61">
        <v>63.9</v>
      </c>
      <c r="AF387" s="77" t="str">
        <f>_xlfn.XLOOKUP(AD387,menu!$K$2:$K$9,menu!$J$2:$J$9,"",1)</f>
        <v>中淺</v>
      </c>
      <c r="AG387" s="80" t="str">
        <f>_xlfn.XLOOKUP(AH387,menu!$O$2:$O$9,menu!$H$2:$H$9,"")</f>
        <v/>
      </c>
      <c r="AI387" t="str">
        <f>_xlfn.LET(_xlpm.x,_xlfn.CONCAT(_xlfn.XLOOKUP(D387,beans!$A$2:$A$300,beans!$J$2:$J$300,"")," / ",_xlfn.XLOOKUP(D387,beans!$A$2:$A$300,beans!$K$2:$K$300,"")," - ",_xlfn.XLOOKUP(D387,beans!$A$2:$A$300,beans!$L$2:$L$300,"")),IF(_xlpm.x=" /  - ","",_xlpm.x))</f>
        <v xml:space="preserve"> / 米娜莊園 - 紅帕卡瑪拉</v>
      </c>
      <c r="AJ387" s="23" t="s">
        <v>657</v>
      </c>
    </row>
    <row r="388" spans="1:36" x14ac:dyDescent="0.3">
      <c r="A388">
        <v>371</v>
      </c>
      <c r="B388">
        <v>230</v>
      </c>
      <c r="D388">
        <v>44</v>
      </c>
      <c r="E388" t="str">
        <f>_xlfn.LET(_xlpm.x,_xlfn.XLOOKUP(D388,beans!$A$2:$A$300,beans!$H$2:$H$300,""),IF(_xlpm.x="","",_xlpm.x))</f>
        <v>衣索比亞</v>
      </c>
      <c r="F388" s="22" t="str">
        <f>_xlfn.XLOOKUP(E388,menu!$A$2:$A$37,menu!$B$2:$B$37,"")</f>
        <v>Ethiopia</v>
      </c>
      <c r="G388" t="str">
        <f>_xlfn.XLOOKUP(E388,menu!$A$2:$A$37,menu!$C$2:$C$37,"")</f>
        <v>eth</v>
      </c>
      <c r="H388" t="str">
        <f>_xlfn.LET(_xlpm.x,_xlfn.XLOOKUP(_xlfn.XLOOKUP(D388,beans!$A$2:$A$300,beans!$I$2:$I$300),menu!$E$2:$E$20,menu!$F$2:$F$20),IF(_xlpm.x="","",_xlpm.x))</f>
        <v>Special</v>
      </c>
      <c r="I388">
        <v>190</v>
      </c>
      <c r="J388">
        <v>70</v>
      </c>
      <c r="K388">
        <v>30</v>
      </c>
      <c r="L388">
        <v>70</v>
      </c>
      <c r="M388" s="68" t="s">
        <v>157</v>
      </c>
      <c r="N388">
        <v>83.9</v>
      </c>
      <c r="P388" s="67" t="s">
        <v>581</v>
      </c>
      <c r="Q388" s="68">
        <v>203.3</v>
      </c>
      <c r="R388" s="67" t="s">
        <v>122</v>
      </c>
      <c r="S388" s="68">
        <v>212</v>
      </c>
      <c r="T388" s="68">
        <f t="shared" si="56"/>
        <v>8.6999999999999886</v>
      </c>
      <c r="U388">
        <f t="shared" si="52"/>
        <v>31</v>
      </c>
      <c r="V388">
        <f t="shared" si="57"/>
        <v>16.8</v>
      </c>
      <c r="W388">
        <f t="shared" si="53"/>
        <v>5.47</v>
      </c>
      <c r="X388" s="19">
        <v>45599</v>
      </c>
      <c r="Y388" s="26">
        <v>198</v>
      </c>
      <c r="Z388" s="61">
        <v>0</v>
      </c>
      <c r="AB388" s="28">
        <f t="shared" si="54"/>
        <v>0.1391304347826087</v>
      </c>
      <c r="AC388" s="110">
        <v>58.4</v>
      </c>
      <c r="AD388" s="26">
        <v>78.5</v>
      </c>
      <c r="AE388" s="61">
        <f t="shared" si="55"/>
        <v>20.100000000000001</v>
      </c>
      <c r="AF388" s="77" t="str">
        <f>_xlfn.XLOOKUP(AD388,menu!$K$2:$K$9,menu!$J$2:$J$9,"",1)</f>
        <v>淺</v>
      </c>
      <c r="AG388" s="80" t="str">
        <f>_xlfn.XLOOKUP(AH388,menu!$O$2:$O$9,menu!$H$2:$H$9,"")</f>
        <v>Cinamon</v>
      </c>
      <c r="AH388" s="81" t="s">
        <v>78</v>
      </c>
      <c r="AI388" t="str">
        <f>_xlfn.LET(_xlpm.x,_xlfn.CONCAT(_xlfn.XLOOKUP(D388,beans!$A$2:$A$300,beans!$J$2:$J$300,"")," / ",_xlfn.XLOOKUP(D388,beans!$A$2:$A$300,beans!$K$2:$K$300,"")," - ",_xlfn.XLOOKUP(D388,beans!$A$2:$A$300,beans!$L$2:$L$300,"")),IF(_xlpm.x=" /  - ","",_xlpm.x))</f>
        <v xml:space="preserve">耶加雪菲 / 百香果特殊發酵 厭氧日曬處理 G1 - </v>
      </c>
      <c r="AJ388" s="23" t="s">
        <v>658</v>
      </c>
    </row>
    <row r="389" spans="1:36" x14ac:dyDescent="0.3">
      <c r="A389">
        <v>372</v>
      </c>
      <c r="B389">
        <v>236</v>
      </c>
      <c r="D389">
        <v>84</v>
      </c>
      <c r="E389" t="str">
        <f>_xlfn.LET(_xlpm.x,_xlfn.XLOOKUP(D389,beans!$A$2:$A$300,beans!$H$2:$H$300,""),IF(_xlpm.x="","",_xlpm.x))</f>
        <v>哥倫比亞</v>
      </c>
      <c r="F389" s="22" t="str">
        <f>_xlfn.XLOOKUP(E389,menu!$A$2:$A$37,menu!$B$2:$B$37,"")</f>
        <v>Colombia</v>
      </c>
      <c r="G389" t="str">
        <f>_xlfn.XLOOKUP(E389,menu!$A$2:$A$37,menu!$C$2:$C$37,"")</f>
        <v>col</v>
      </c>
      <c r="H389" t="str">
        <f>_xlfn.LET(_xlpm.x,_xlfn.XLOOKUP(_xlfn.XLOOKUP(D389,beans!$A$2:$A$300,beans!$I$2:$I$300),menu!$E$2:$E$20,menu!$F$2:$F$20),IF(_xlpm.x="","",_xlpm.x))</f>
        <v>Anaerobic Washed</v>
      </c>
      <c r="I389">
        <v>200</v>
      </c>
      <c r="J389">
        <v>75</v>
      </c>
      <c r="K389">
        <v>30</v>
      </c>
      <c r="L389">
        <v>70</v>
      </c>
      <c r="M389" s="68" t="s">
        <v>217</v>
      </c>
      <c r="N389">
        <v>87.6</v>
      </c>
      <c r="P389" s="67" t="s">
        <v>440</v>
      </c>
      <c r="Q389" s="68">
        <v>202.1</v>
      </c>
      <c r="R389" s="67" t="s">
        <v>137</v>
      </c>
      <c r="S389" s="68">
        <v>214.4</v>
      </c>
      <c r="T389" s="68">
        <f t="shared" si="56"/>
        <v>12.300000000000011</v>
      </c>
      <c r="U389">
        <f t="shared" si="52"/>
        <v>64</v>
      </c>
      <c r="V389">
        <f t="shared" si="57"/>
        <v>11.5</v>
      </c>
      <c r="W389">
        <f t="shared" si="53"/>
        <v>9.5500000000000007</v>
      </c>
      <c r="X389" s="19">
        <v>45606</v>
      </c>
      <c r="Y389" s="26">
        <v>204</v>
      </c>
      <c r="Z389" s="61">
        <v>0</v>
      </c>
      <c r="AB389" s="28">
        <f t="shared" si="54"/>
        <v>0.13559322033898305</v>
      </c>
      <c r="AC389" s="110">
        <v>67.599999999999994</v>
      </c>
      <c r="AD389" s="26">
        <v>76</v>
      </c>
      <c r="AE389" s="61">
        <f t="shared" si="55"/>
        <v>8.4000000000000057</v>
      </c>
      <c r="AF389" s="77" t="str">
        <f>_xlfn.XLOOKUP(AD389,menu!$K$2:$K$9,menu!$J$2:$J$9,"",1)</f>
        <v>淺</v>
      </c>
      <c r="AG389" s="80" t="str">
        <f>_xlfn.XLOOKUP(AH389,menu!$O$2:$O$9,menu!$H$2:$H$9,"")</f>
        <v>Light</v>
      </c>
      <c r="AH389" s="81" t="s">
        <v>193</v>
      </c>
      <c r="AI389" t="str">
        <f>_xlfn.LET(_xlpm.x,_xlfn.CONCAT(_xlfn.XLOOKUP(D389,beans!$A$2:$A$300,beans!$J$2:$J$300,"")," / ",_xlfn.XLOOKUP(D389,beans!$A$2:$A$300,beans!$K$2:$K$300,"")," - ",_xlfn.XLOOKUP(D389,beans!$A$2:$A$300,beans!$L$2:$L$300,"")),IF(_xlpm.x=" /  - ","",_xlpm.x))</f>
        <v xml:space="preserve">瑪格麗特 / 玉荷包荔枝 - </v>
      </c>
      <c r="AJ389" s="23" t="s">
        <v>659</v>
      </c>
    </row>
    <row r="390" spans="1:36" x14ac:dyDescent="0.3">
      <c r="A390">
        <v>373</v>
      </c>
      <c r="B390">
        <v>250</v>
      </c>
      <c r="D390">
        <v>53</v>
      </c>
      <c r="E390" t="str">
        <f>_xlfn.LET(_xlpm.x,_xlfn.XLOOKUP(D390,beans!$A$2:$A$300,beans!$H$2:$H$300,""),IF(_xlpm.x="","",_xlpm.x))</f>
        <v>衣索比亞</v>
      </c>
      <c r="F390" s="22" t="str">
        <f>_xlfn.XLOOKUP(E390,menu!$A$2:$A$37,menu!$B$2:$B$37,"")</f>
        <v>Ethiopia</v>
      </c>
      <c r="G390" t="str">
        <f>_xlfn.XLOOKUP(E390,menu!$A$2:$A$37,menu!$C$2:$C$37,"")</f>
        <v>eth</v>
      </c>
      <c r="H390" t="str">
        <f>_xlfn.LET(_xlpm.x,_xlfn.XLOOKUP(_xlfn.XLOOKUP(D390,beans!$A$2:$A$300,beans!$I$2:$I$300),menu!$E$2:$E$20,menu!$F$2:$F$20),IF(_xlpm.x="","",_xlpm.x))</f>
        <v>Anaerobic Natural</v>
      </c>
      <c r="I390">
        <v>200</v>
      </c>
      <c r="J390">
        <v>80</v>
      </c>
      <c r="K390">
        <v>30</v>
      </c>
      <c r="L390">
        <v>70</v>
      </c>
      <c r="M390" s="68" t="s">
        <v>109</v>
      </c>
      <c r="N390">
        <v>88.3</v>
      </c>
      <c r="P390" s="67" t="s">
        <v>537</v>
      </c>
      <c r="Q390" s="68">
        <v>206.4</v>
      </c>
      <c r="R390" s="67" t="s">
        <v>369</v>
      </c>
      <c r="S390" s="68">
        <v>215.1</v>
      </c>
      <c r="T390" s="68">
        <f t="shared" si="56"/>
        <v>8.6999999999999886</v>
      </c>
      <c r="U390">
        <f t="shared" si="52"/>
        <v>36</v>
      </c>
      <c r="V390">
        <f t="shared" si="57"/>
        <v>14.5</v>
      </c>
      <c r="W390">
        <f t="shared" si="53"/>
        <v>5.71</v>
      </c>
      <c r="X390" s="19">
        <v>45606</v>
      </c>
      <c r="Y390" s="26">
        <v>214</v>
      </c>
      <c r="Z390" s="61">
        <v>0</v>
      </c>
      <c r="AB390" s="28">
        <f t="shared" si="54"/>
        <v>0.14399999999999999</v>
      </c>
      <c r="AC390" s="110">
        <v>62.7</v>
      </c>
      <c r="AD390" s="26">
        <v>78.3</v>
      </c>
      <c r="AE390" s="61">
        <f t="shared" si="55"/>
        <v>15.599999999999994</v>
      </c>
      <c r="AF390" s="77" t="str">
        <f>_xlfn.XLOOKUP(AD390,menu!$K$2:$K$9,menu!$J$2:$J$9,"",1)</f>
        <v>淺</v>
      </c>
      <c r="AG390" s="80" t="str">
        <f>_xlfn.XLOOKUP(AH390,menu!$O$2:$O$9,menu!$H$2:$H$9,"")</f>
        <v>Cinamon</v>
      </c>
      <c r="AH390" s="81" t="s">
        <v>78</v>
      </c>
      <c r="AI390" t="str">
        <f>_xlfn.LET(_xlpm.x,_xlfn.CONCAT(_xlfn.XLOOKUP(D390,beans!$A$2:$A$300,beans!$J$2:$J$300,"")," / ",_xlfn.XLOOKUP(D390,beans!$A$2:$A$300,beans!$K$2:$K$300,"")," - ",_xlfn.XLOOKUP(D390,beans!$A$2:$A$300,beans!$L$2:$L$300,"")),IF(_xlpm.x=" /  - ","",_xlpm.x))</f>
        <v>耶加雪菲 / 切切雷(Chelchele) - 原生種</v>
      </c>
      <c r="AJ390" s="23" t="s">
        <v>660</v>
      </c>
    </row>
    <row r="391" spans="1:36" x14ac:dyDescent="0.3">
      <c r="A391">
        <v>374</v>
      </c>
      <c r="B391">
        <v>250</v>
      </c>
      <c r="D391">
        <v>58</v>
      </c>
      <c r="E391" t="str">
        <f>_xlfn.LET(_xlpm.x,_xlfn.XLOOKUP(D391,beans!$A$2:$A$300,beans!$H$2:$H$300,""),IF(_xlpm.x="","",_xlpm.x))</f>
        <v>哥倫比亞</v>
      </c>
      <c r="F391" s="22" t="str">
        <f>_xlfn.XLOOKUP(E391,menu!$A$2:$A$37,menu!$B$2:$B$37,"")</f>
        <v>Colombia</v>
      </c>
      <c r="G391" t="str">
        <f>_xlfn.XLOOKUP(E391,menu!$A$2:$A$37,menu!$C$2:$C$37,"")</f>
        <v>col</v>
      </c>
      <c r="H391" t="str">
        <f>_xlfn.LET(_xlpm.x,_xlfn.XLOOKUP(_xlfn.XLOOKUP(D391,beans!$A$2:$A$300,beans!$I$2:$I$300),menu!$E$2:$E$20,menu!$F$2:$F$20),IF(_xlpm.x="","",_xlpm.x))</f>
        <v>honey</v>
      </c>
      <c r="I391">
        <v>200</v>
      </c>
      <c r="J391">
        <v>85</v>
      </c>
      <c r="K391">
        <v>30</v>
      </c>
      <c r="L391">
        <v>70</v>
      </c>
      <c r="M391" s="68" t="s">
        <v>125</v>
      </c>
      <c r="N391">
        <v>90.5</v>
      </c>
      <c r="P391" s="67" t="s">
        <v>661</v>
      </c>
      <c r="Q391" s="68">
        <v>201.1</v>
      </c>
      <c r="R391" s="67" t="s">
        <v>662</v>
      </c>
      <c r="S391" s="68">
        <v>208.4</v>
      </c>
      <c r="T391" s="68">
        <f t="shared" si="56"/>
        <v>7.3000000000000114</v>
      </c>
      <c r="U391">
        <f t="shared" si="52"/>
        <v>30</v>
      </c>
      <c r="V391">
        <f t="shared" si="57"/>
        <v>14.6</v>
      </c>
      <c r="W391">
        <f t="shared" si="53"/>
        <v>6.26</v>
      </c>
      <c r="X391" s="19">
        <v>45606</v>
      </c>
      <c r="Y391" s="26">
        <v>224.7</v>
      </c>
      <c r="Z391" s="61">
        <v>0</v>
      </c>
      <c r="AB391" s="28">
        <f t="shared" si="54"/>
        <v>0.10120000000000004</v>
      </c>
      <c r="AC391" s="110">
        <v>76.7</v>
      </c>
      <c r="AD391" s="26">
        <v>88.7</v>
      </c>
      <c r="AE391" s="61">
        <f t="shared" si="55"/>
        <v>12</v>
      </c>
      <c r="AF391" s="77" t="str">
        <f>_xlfn.XLOOKUP(AD391,menu!$K$2:$K$9,menu!$J$2:$J$9,"",1)</f>
        <v>極淺</v>
      </c>
      <c r="AG391" s="80" t="str">
        <f>_xlfn.XLOOKUP(AH391,menu!$O$2:$O$9,menu!$H$2:$H$9,"")</f>
        <v>Light</v>
      </c>
      <c r="AH391" s="81" t="s">
        <v>193</v>
      </c>
      <c r="AI391" t="str">
        <f>_xlfn.LET(_xlpm.x,_xlfn.CONCAT(_xlfn.XLOOKUP(D391,beans!$A$2:$A$300,beans!$J$2:$J$300,"")," / ",_xlfn.XLOOKUP(D391,beans!$A$2:$A$300,beans!$K$2:$K$300,"")," - ",_xlfn.XLOOKUP(D391,beans!$A$2:$A$300,beans!$L$2:$L$300,"")),IF(_xlpm.x=" /  - ","",_xlpm.x))</f>
        <v xml:space="preserve"> / Los Patios - Geisha</v>
      </c>
      <c r="AJ391" s="23" t="s">
        <v>225</v>
      </c>
    </row>
    <row r="392" spans="1:36" x14ac:dyDescent="0.3">
      <c r="A392">
        <v>375</v>
      </c>
      <c r="B392">
        <v>250</v>
      </c>
      <c r="D392">
        <v>68</v>
      </c>
      <c r="E392" t="str">
        <f>_xlfn.LET(_xlpm.x,_xlfn.XLOOKUP(D392,beans!$A$2:$A$300,beans!$H$2:$H$300,""),IF(_xlpm.x="","",_xlpm.x))</f>
        <v>哥倫比亞</v>
      </c>
      <c r="F392" s="22" t="str">
        <f>_xlfn.XLOOKUP(E392,menu!$A$2:$A$37,menu!$B$2:$B$37,"")</f>
        <v>Colombia</v>
      </c>
      <c r="G392" t="str">
        <f>_xlfn.XLOOKUP(E392,menu!$A$2:$A$37,menu!$C$2:$C$37,"")</f>
        <v>col</v>
      </c>
      <c r="H392" t="str">
        <f>_xlfn.LET(_xlpm.x,_xlfn.XLOOKUP(_xlfn.XLOOKUP(D392,beans!$A$2:$A$300,beans!$I$2:$I$300),menu!$E$2:$E$20,menu!$F$2:$F$20),IF(_xlpm.x="","",_xlpm.x))</f>
        <v>Anaerobic Natural</v>
      </c>
      <c r="T392" s="68" t="str">
        <f t="shared" si="56"/>
        <v/>
      </c>
      <c r="U392" t="str">
        <f t="shared" si="52"/>
        <v/>
      </c>
      <c r="V392">
        <f t="shared" si="57"/>
        <v>0</v>
      </c>
      <c r="W392" t="str">
        <f t="shared" si="53"/>
        <v/>
      </c>
      <c r="X392" s="19">
        <v>45606</v>
      </c>
      <c r="Z392" s="61">
        <v>0</v>
      </c>
      <c r="AB392" s="28" t="str">
        <f t="shared" si="54"/>
        <v xml:space="preserve"> </v>
      </c>
      <c r="AE392" s="61" t="str">
        <f t="shared" si="55"/>
        <v/>
      </c>
      <c r="AF392" s="77" t="str">
        <f>_xlfn.XLOOKUP(AD392,menu!$K$2:$K$9,menu!$J$2:$J$9,"",1)</f>
        <v/>
      </c>
      <c r="AG392" s="80" t="str">
        <f>_xlfn.XLOOKUP(AH392,menu!$O$2:$O$9,menu!$H$2:$H$9,"")</f>
        <v/>
      </c>
      <c r="AI392" t="str">
        <f>_xlfn.LET(_xlpm.x,_xlfn.CONCAT(_xlfn.XLOOKUP(D392,beans!$A$2:$A$300,beans!$J$2:$J$300,"")," / ",_xlfn.XLOOKUP(D392,beans!$A$2:$A$300,beans!$K$2:$K$300,"")," - ",_xlfn.XLOOKUP(D392,beans!$A$2:$A$300,beans!$L$2:$L$300,"")),IF(_xlpm.x=" /  - ","",_xlpm.x))</f>
        <v xml:space="preserve"> / 天堂莊園-日出桂花香 - </v>
      </c>
      <c r="AJ392" s="23" t="s">
        <v>663</v>
      </c>
    </row>
    <row r="393" spans="1:36" x14ac:dyDescent="0.3">
      <c r="A393">
        <v>376</v>
      </c>
      <c r="B393">
        <v>250</v>
      </c>
      <c r="D393">
        <v>68</v>
      </c>
      <c r="E393" t="str">
        <f>_xlfn.LET(_xlpm.x,_xlfn.XLOOKUP(D393,beans!$A$2:$A$300,beans!$H$2:$H$300,""),IF(_xlpm.x="","",_xlpm.x))</f>
        <v>哥倫比亞</v>
      </c>
      <c r="F393" s="22" t="str">
        <f>_xlfn.XLOOKUP(E393,menu!$A$2:$A$37,menu!$B$2:$B$37,"")</f>
        <v>Colombia</v>
      </c>
      <c r="G393" t="str">
        <f>_xlfn.XLOOKUP(E393,menu!$A$2:$A$37,menu!$C$2:$C$37,"")</f>
        <v>col</v>
      </c>
      <c r="H393" t="str">
        <f>_xlfn.LET(_xlpm.x,_xlfn.XLOOKUP(_xlfn.XLOOKUP(D393,beans!$A$2:$A$300,beans!$I$2:$I$300),menu!$E$2:$E$20,menu!$F$2:$F$20),IF(_xlpm.x="","",_xlpm.x))</f>
        <v>Anaerobic Natural</v>
      </c>
      <c r="T393" s="68" t="str">
        <f t="shared" si="56"/>
        <v/>
      </c>
      <c r="U393" t="str">
        <f t="shared" si="52"/>
        <v/>
      </c>
      <c r="V393">
        <f t="shared" si="57"/>
        <v>0</v>
      </c>
      <c r="W393" t="str">
        <f t="shared" si="53"/>
        <v/>
      </c>
      <c r="X393" s="19">
        <v>45606</v>
      </c>
      <c r="Z393" s="61">
        <v>0</v>
      </c>
      <c r="AB393" s="28" t="str">
        <f t="shared" si="54"/>
        <v xml:space="preserve"> </v>
      </c>
      <c r="AE393" s="61" t="str">
        <f t="shared" si="55"/>
        <v/>
      </c>
      <c r="AF393" s="77" t="str">
        <f>_xlfn.XLOOKUP(AD393,menu!$K$2:$K$9,menu!$J$2:$J$9,"",1)</f>
        <v/>
      </c>
      <c r="AG393" s="80" t="str">
        <f>_xlfn.XLOOKUP(AH393,menu!$O$2:$O$9,menu!$H$2:$H$9,"")</f>
        <v/>
      </c>
      <c r="AI393" t="str">
        <f>_xlfn.LET(_xlpm.x,_xlfn.CONCAT(_xlfn.XLOOKUP(D393,beans!$A$2:$A$300,beans!$J$2:$J$300,"")," / ",_xlfn.XLOOKUP(D393,beans!$A$2:$A$300,beans!$K$2:$K$300,"")," - ",_xlfn.XLOOKUP(D393,beans!$A$2:$A$300,beans!$L$2:$L$300,"")),IF(_xlpm.x=" /  - ","",_xlpm.x))</f>
        <v xml:space="preserve"> / 天堂莊園-日出桂花香 - </v>
      </c>
      <c r="AJ393" s="23" t="s">
        <v>663</v>
      </c>
    </row>
    <row r="394" spans="1:36" x14ac:dyDescent="0.3">
      <c r="A394">
        <v>377</v>
      </c>
      <c r="B394">
        <v>250</v>
      </c>
      <c r="D394">
        <v>45</v>
      </c>
      <c r="E394" t="str">
        <f>_xlfn.LET(_xlpm.x,_xlfn.XLOOKUP(D394,beans!$A$2:$A$300,beans!$H$2:$H$300,""),IF(_xlpm.x="","",_xlpm.x))</f>
        <v>哥倫比亞</v>
      </c>
      <c r="F394" s="22" t="str">
        <f>_xlfn.XLOOKUP(E394,menu!$A$2:$A$37,menu!$B$2:$B$37,"")</f>
        <v>Colombia</v>
      </c>
      <c r="G394" t="str">
        <f>_xlfn.XLOOKUP(E394,menu!$A$2:$A$37,menu!$C$2:$C$37,"")</f>
        <v>col</v>
      </c>
      <c r="H394" t="str">
        <f>_xlfn.LET(_xlpm.x,_xlfn.XLOOKUP(_xlfn.XLOOKUP(D394,beans!$A$2:$A$300,beans!$I$2:$I$300),menu!$E$2:$E$20,menu!$F$2:$F$20),IF(_xlpm.x="","",_xlpm.x))</f>
        <v>Special</v>
      </c>
      <c r="T394" s="68" t="str">
        <f t="shared" si="56"/>
        <v/>
      </c>
      <c r="U394" t="str">
        <f t="shared" si="52"/>
        <v/>
      </c>
      <c r="V394">
        <f t="shared" si="57"/>
        <v>0</v>
      </c>
      <c r="W394" t="str">
        <f t="shared" si="53"/>
        <v/>
      </c>
      <c r="X394" s="19">
        <v>45606</v>
      </c>
      <c r="Z394" s="61">
        <v>0</v>
      </c>
      <c r="AB394" s="28" t="str">
        <f t="shared" si="54"/>
        <v xml:space="preserve"> </v>
      </c>
      <c r="AE394" s="61" t="str">
        <f t="shared" si="55"/>
        <v/>
      </c>
      <c r="AF394" s="77" t="str">
        <f>_xlfn.XLOOKUP(AD394,menu!$K$2:$K$9,menu!$J$2:$J$9,"",1)</f>
        <v/>
      </c>
      <c r="AG394" s="80" t="str">
        <f>_xlfn.XLOOKUP(AH394,menu!$O$2:$O$9,menu!$H$2:$H$9,"")</f>
        <v/>
      </c>
      <c r="AI394" t="str">
        <f>_xlfn.LET(_xlpm.x,_xlfn.CONCAT(_xlfn.XLOOKUP(D394,beans!$A$2:$A$300,beans!$J$2:$J$300,"")," / ",_xlfn.XLOOKUP(D394,beans!$A$2:$A$300,beans!$K$2:$K$300,"")," - ",_xlfn.XLOOKUP(D394,beans!$A$2:$A$300,beans!$L$2:$L$300,"")),IF(_xlpm.x=" /  - ","",_xlpm.x))</f>
        <v>薇拉省 / 蒙大布蘭蔻莊園 - 紫卡杜拉</v>
      </c>
      <c r="AJ394" s="23" t="s">
        <v>663</v>
      </c>
    </row>
    <row r="395" spans="1:36" x14ac:dyDescent="0.3">
      <c r="A395">
        <v>378</v>
      </c>
      <c r="B395">
        <v>250</v>
      </c>
      <c r="D395">
        <v>45</v>
      </c>
      <c r="E395" t="str">
        <f>_xlfn.LET(_xlpm.x,_xlfn.XLOOKUP(D395,beans!$A$2:$A$300,beans!$H$2:$H$300,""),IF(_xlpm.x="","",_xlpm.x))</f>
        <v>哥倫比亞</v>
      </c>
      <c r="F395" s="22" t="str">
        <f>_xlfn.XLOOKUP(E395,menu!$A$2:$A$37,menu!$B$2:$B$37,"")</f>
        <v>Colombia</v>
      </c>
      <c r="G395" t="str">
        <f>_xlfn.XLOOKUP(E395,menu!$A$2:$A$37,menu!$C$2:$C$37,"")</f>
        <v>col</v>
      </c>
      <c r="H395" t="str">
        <f>_xlfn.LET(_xlpm.x,_xlfn.XLOOKUP(_xlfn.XLOOKUP(D395,beans!$A$2:$A$300,beans!$I$2:$I$300),menu!$E$2:$E$20,menu!$F$2:$F$20),IF(_xlpm.x="","",_xlpm.x))</f>
        <v>Special</v>
      </c>
      <c r="T395" s="68" t="str">
        <f t="shared" si="56"/>
        <v/>
      </c>
      <c r="U395" t="str">
        <f t="shared" si="52"/>
        <v/>
      </c>
      <c r="V395">
        <f t="shared" si="57"/>
        <v>0</v>
      </c>
      <c r="W395" t="str">
        <f t="shared" si="53"/>
        <v/>
      </c>
      <c r="X395" s="19">
        <v>45606</v>
      </c>
      <c r="Z395" s="61">
        <v>0</v>
      </c>
      <c r="AB395" s="28" t="str">
        <f t="shared" si="54"/>
        <v xml:space="preserve"> </v>
      </c>
      <c r="AE395" s="61" t="str">
        <f t="shared" si="55"/>
        <v/>
      </c>
      <c r="AF395" s="77" t="str">
        <f>_xlfn.XLOOKUP(AD395,menu!$K$2:$K$9,menu!$J$2:$J$9,"",1)</f>
        <v/>
      </c>
      <c r="AG395" s="80" t="str">
        <f>_xlfn.XLOOKUP(AH395,menu!$O$2:$O$9,menu!$H$2:$H$9,"")</f>
        <v/>
      </c>
      <c r="AI395" t="str">
        <f>_xlfn.LET(_xlpm.x,_xlfn.CONCAT(_xlfn.XLOOKUP(D395,beans!$A$2:$A$300,beans!$J$2:$J$300,"")," / ",_xlfn.XLOOKUP(D395,beans!$A$2:$A$300,beans!$K$2:$K$300,"")," - ",_xlfn.XLOOKUP(D395,beans!$A$2:$A$300,beans!$L$2:$L$300,"")),IF(_xlpm.x=" /  - ","",_xlpm.x))</f>
        <v>薇拉省 / 蒙大布蘭蔻莊園 - 紫卡杜拉</v>
      </c>
      <c r="AJ395" s="23" t="s">
        <v>663</v>
      </c>
    </row>
    <row r="396" spans="1:36" x14ac:dyDescent="0.3">
      <c r="A396">
        <v>379</v>
      </c>
      <c r="B396">
        <v>250</v>
      </c>
      <c r="D396">
        <v>58</v>
      </c>
      <c r="E396" t="str">
        <f>_xlfn.LET(_xlpm.x,_xlfn.XLOOKUP(D396,beans!$A$2:$A$300,beans!$H$2:$H$300,""),IF(_xlpm.x="","",_xlpm.x))</f>
        <v>哥倫比亞</v>
      </c>
      <c r="F396" s="22" t="str">
        <f>_xlfn.XLOOKUP(E396,menu!$A$2:$A$37,menu!$B$2:$B$37,"")</f>
        <v>Colombia</v>
      </c>
      <c r="G396" t="str">
        <f>_xlfn.XLOOKUP(E396,menu!$A$2:$A$37,menu!$C$2:$C$37,"")</f>
        <v>col</v>
      </c>
      <c r="H396" t="str">
        <f>_xlfn.LET(_xlpm.x,_xlfn.XLOOKUP(_xlfn.XLOOKUP(D396,beans!$A$2:$A$300,beans!$I$2:$I$300),menu!$E$2:$E$20,menu!$F$2:$F$20),IF(_xlpm.x="","",_xlpm.x))</f>
        <v>honey</v>
      </c>
      <c r="I396">
        <v>200</v>
      </c>
      <c r="J396">
        <v>85</v>
      </c>
      <c r="K396">
        <v>30</v>
      </c>
      <c r="L396">
        <v>70</v>
      </c>
      <c r="M396" s="68" t="s">
        <v>125</v>
      </c>
      <c r="N396">
        <v>89.8</v>
      </c>
      <c r="P396" s="67" t="s">
        <v>547</v>
      </c>
      <c r="Q396" s="68">
        <v>203.2</v>
      </c>
      <c r="R396" s="67" t="s">
        <v>343</v>
      </c>
      <c r="S396" s="68">
        <v>212</v>
      </c>
      <c r="T396" s="68">
        <f t="shared" si="56"/>
        <v>8.8000000000000114</v>
      </c>
      <c r="U396">
        <f t="shared" si="52"/>
        <v>50</v>
      </c>
      <c r="V396">
        <f t="shared" si="57"/>
        <v>10.6</v>
      </c>
      <c r="W396">
        <f t="shared" si="53"/>
        <v>8.49</v>
      </c>
      <c r="X396" s="19">
        <v>45606</v>
      </c>
      <c r="Y396" s="26">
        <v>217</v>
      </c>
      <c r="Z396" s="61">
        <v>0</v>
      </c>
      <c r="AA396" s="61">
        <v>0</v>
      </c>
      <c r="AB396" s="28">
        <f t="shared" si="54"/>
        <v>0.13200000000000001</v>
      </c>
      <c r="AE396" s="61" t="str">
        <f t="shared" si="55"/>
        <v/>
      </c>
      <c r="AF396" s="77" t="str">
        <f>_xlfn.XLOOKUP(AD396,menu!$K$2:$K$9,menu!$J$2:$J$9,"",1)</f>
        <v/>
      </c>
      <c r="AG396" s="80" t="str">
        <f>_xlfn.XLOOKUP(AH396,menu!$O$2:$O$9,menu!$H$2:$H$9,"")</f>
        <v>Cinamon</v>
      </c>
      <c r="AH396" s="81" t="s">
        <v>78</v>
      </c>
      <c r="AI396" t="str">
        <f>_xlfn.LET(_xlpm.x,_xlfn.CONCAT(_xlfn.XLOOKUP(D396,beans!$A$2:$A$300,beans!$J$2:$J$300,"")," / ",_xlfn.XLOOKUP(D396,beans!$A$2:$A$300,beans!$K$2:$K$300,"")," - ",_xlfn.XLOOKUP(D396,beans!$A$2:$A$300,beans!$L$2:$L$300,"")),IF(_xlpm.x=" /  - ","",_xlpm.x))</f>
        <v xml:space="preserve"> / Los Patios - Geisha</v>
      </c>
      <c r="AJ396" s="23" t="s">
        <v>664</v>
      </c>
    </row>
    <row r="397" spans="1:36" x14ac:dyDescent="0.3">
      <c r="A397">
        <v>380</v>
      </c>
      <c r="B397">
        <v>500</v>
      </c>
      <c r="E397" t="s">
        <v>665</v>
      </c>
      <c r="F397" s="22" t="str">
        <f>_xlfn.XLOOKUP(E397,menu!$A$2:$A$37,menu!$B$2:$B$37,"")</f>
        <v/>
      </c>
      <c r="G397" t="str">
        <f>_xlfn.XLOOKUP(E397,menu!$A$2:$A$37,menu!$C$2:$C$37,"")</f>
        <v/>
      </c>
      <c r="H397" t="str">
        <f>_xlfn.LET(_xlpm.x,_xlfn.XLOOKUP(_xlfn.XLOOKUP(D397,beans!$A$2:$A$300,beans!$I$2:$I$300),menu!$E$2:$E$20,menu!$F$2:$F$20),IF(_xlpm.x="","",_xlpm.x))</f>
        <v/>
      </c>
      <c r="I397">
        <v>200</v>
      </c>
      <c r="J397">
        <v>85</v>
      </c>
      <c r="K397">
        <v>30</v>
      </c>
      <c r="L397">
        <v>90</v>
      </c>
      <c r="M397" s="68" t="s">
        <v>217</v>
      </c>
      <c r="N397">
        <v>89.1</v>
      </c>
      <c r="P397" s="67" t="s">
        <v>465</v>
      </c>
      <c r="Q397" s="68">
        <v>200.5</v>
      </c>
      <c r="R397" s="67" t="s">
        <v>457</v>
      </c>
      <c r="S397" s="68">
        <v>216.8</v>
      </c>
      <c r="T397" s="68">
        <f t="shared" si="56"/>
        <v>16.300000000000011</v>
      </c>
      <c r="U397">
        <f t="shared" si="52"/>
        <v>104</v>
      </c>
      <c r="V397">
        <f t="shared" si="57"/>
        <v>9.4</v>
      </c>
      <c r="W397">
        <f t="shared" si="53"/>
        <v>15.59</v>
      </c>
      <c r="X397" s="19">
        <v>45606</v>
      </c>
      <c r="Y397" s="26">
        <v>422.9</v>
      </c>
      <c r="Z397" s="61">
        <v>0</v>
      </c>
      <c r="AB397" s="28">
        <f t="shared" si="54"/>
        <v>0.15420000000000006</v>
      </c>
      <c r="AC397" s="110">
        <v>53.1</v>
      </c>
      <c r="AD397" s="26">
        <v>65</v>
      </c>
      <c r="AE397" s="61">
        <f t="shared" si="55"/>
        <v>11.899999999999999</v>
      </c>
      <c r="AF397" s="77" t="str">
        <f>_xlfn.XLOOKUP(AD397,menu!$K$2:$K$9,menu!$J$2:$J$9,"",1)</f>
        <v>中淺</v>
      </c>
      <c r="AG397" s="80" t="str">
        <f>_xlfn.XLOOKUP(AH397,menu!$O$2:$O$9,menu!$H$2:$H$9,"")</f>
        <v>Cinamon</v>
      </c>
      <c r="AH397" s="81" t="s">
        <v>78</v>
      </c>
      <c r="AI397" t="s">
        <v>666</v>
      </c>
      <c r="AJ397" s="23" t="s">
        <v>667</v>
      </c>
    </row>
    <row r="398" spans="1:36" x14ac:dyDescent="0.3">
      <c r="A398">
        <v>381</v>
      </c>
      <c r="B398">
        <v>250</v>
      </c>
      <c r="D398">
        <v>84</v>
      </c>
      <c r="E398" t="str">
        <f>_xlfn.LET(_xlpm.x,_xlfn.XLOOKUP(D398,beans!$A$2:$A$300,beans!$H$2:$H$300,""),IF(_xlpm.x="","",_xlpm.x))</f>
        <v>哥倫比亞</v>
      </c>
      <c r="F398" s="22" t="str">
        <f>_xlfn.XLOOKUP(E398,menu!$A$2:$A$37,menu!$B$2:$B$37,"")</f>
        <v>Colombia</v>
      </c>
      <c r="G398" t="str">
        <f>_xlfn.XLOOKUP(E398,menu!$A$2:$A$37,menu!$C$2:$C$37,"")</f>
        <v>col</v>
      </c>
      <c r="H398" t="str">
        <f>_xlfn.LET(_xlpm.x,_xlfn.XLOOKUP(_xlfn.XLOOKUP(D398,beans!$A$2:$A$300,beans!$I$2:$I$300),menu!$E$2:$E$20,menu!$F$2:$F$20),IF(_xlpm.x="","",_xlpm.x))</f>
        <v>Anaerobic Washed</v>
      </c>
      <c r="I398">
        <v>200</v>
      </c>
      <c r="J398">
        <v>80</v>
      </c>
      <c r="K398">
        <v>30</v>
      </c>
      <c r="L398">
        <v>75</v>
      </c>
      <c r="M398" s="68" t="s">
        <v>109</v>
      </c>
      <c r="N398">
        <v>92.1</v>
      </c>
      <c r="P398" s="67" t="s">
        <v>553</v>
      </c>
      <c r="Q398" s="68">
        <v>203.5</v>
      </c>
      <c r="R398" s="67" t="s">
        <v>654</v>
      </c>
      <c r="S398" s="68">
        <v>221.4</v>
      </c>
      <c r="T398" s="68">
        <f t="shared" si="56"/>
        <v>17.900000000000006</v>
      </c>
      <c r="U398">
        <f t="shared" si="52"/>
        <v>65</v>
      </c>
      <c r="V398">
        <f t="shared" si="57"/>
        <v>16.5</v>
      </c>
      <c r="W398">
        <f t="shared" si="53"/>
        <v>11.52</v>
      </c>
      <c r="X398" s="19">
        <v>45606</v>
      </c>
      <c r="Y398" s="26">
        <v>201.9</v>
      </c>
      <c r="Z398" s="61">
        <v>0</v>
      </c>
      <c r="AB398" s="28">
        <f t="shared" si="54"/>
        <v>0.19239999999999999</v>
      </c>
      <c r="AC398" s="110">
        <v>57.8</v>
      </c>
      <c r="AD398" s="26">
        <v>66.3</v>
      </c>
      <c r="AE398" s="61">
        <f t="shared" si="55"/>
        <v>8.5</v>
      </c>
      <c r="AF398" s="77" t="str">
        <f>_xlfn.XLOOKUP(AD398,menu!$K$2:$K$9,menu!$J$2:$J$9,"",1)</f>
        <v>中淺</v>
      </c>
      <c r="AG398" s="80" t="str">
        <f>_xlfn.XLOOKUP(AH398,menu!$O$2:$O$9,menu!$H$2:$H$9,"")</f>
        <v>Cinamon</v>
      </c>
      <c r="AH398" s="81" t="s">
        <v>78</v>
      </c>
      <c r="AI398" t="str">
        <f>_xlfn.LET(_xlpm.x,_xlfn.CONCAT(_xlfn.XLOOKUP(D398,beans!$A$2:$A$300,beans!$J$2:$J$300,"")," / ",_xlfn.XLOOKUP(D398,beans!$A$2:$A$300,beans!$K$2:$K$300,"")," - ",_xlfn.XLOOKUP(D398,beans!$A$2:$A$300,beans!$L$2:$L$300,"")),IF(_xlpm.x=" /  - ","",_xlpm.x))</f>
        <v xml:space="preserve">瑪格麗特 / 玉荷包荔枝 - </v>
      </c>
      <c r="AJ398" s="23" t="s">
        <v>117</v>
      </c>
    </row>
    <row r="399" spans="1:36" x14ac:dyDescent="0.3">
      <c r="A399">
        <v>382</v>
      </c>
      <c r="B399">
        <v>245</v>
      </c>
      <c r="D399">
        <v>2</v>
      </c>
      <c r="E399" t="str">
        <f>_xlfn.LET(_xlpm.x,_xlfn.XLOOKUP(D399,beans!$A$2:$A$300,beans!$H$2:$H$300,""),IF(_xlpm.x="","",_xlpm.x))</f>
        <v>哥斯大黎加</v>
      </c>
      <c r="F399" s="22" t="str">
        <f>_xlfn.XLOOKUP(E399,menu!$A$2:$A$37,menu!$B$2:$B$37,"")</f>
        <v>Costa Rica</v>
      </c>
      <c r="G399" t="str">
        <f>_xlfn.XLOOKUP(E399,menu!$A$2:$A$37,menu!$C$2:$C$37,"")</f>
        <v>cri</v>
      </c>
      <c r="H399" t="str">
        <f>_xlfn.LET(_xlpm.x,_xlfn.XLOOKUP(_xlfn.XLOOKUP(D399,beans!$A$2:$A$300,beans!$I$2:$I$300),menu!$E$2:$E$20,menu!$F$2:$F$20),IF(_xlpm.x="","",_xlpm.x))</f>
        <v>raisin-honey</v>
      </c>
      <c r="I399">
        <v>200</v>
      </c>
      <c r="J399">
        <v>85</v>
      </c>
      <c r="K399">
        <v>40</v>
      </c>
      <c r="L399">
        <v>70</v>
      </c>
      <c r="M399" s="68" t="s">
        <v>207</v>
      </c>
      <c r="N399">
        <v>88.8</v>
      </c>
      <c r="P399" s="67" t="s">
        <v>642</v>
      </c>
      <c r="Q399" s="68">
        <v>205.4</v>
      </c>
      <c r="R399" s="67" t="s">
        <v>668</v>
      </c>
      <c r="S399" s="68">
        <v>211.3</v>
      </c>
      <c r="T399" s="68">
        <f t="shared" si="56"/>
        <v>5.9000000000000057</v>
      </c>
      <c r="U399">
        <f t="shared" si="52"/>
        <v>33</v>
      </c>
      <c r="V399">
        <f t="shared" si="57"/>
        <v>10.7</v>
      </c>
      <c r="W399">
        <f t="shared" si="53"/>
        <v>5.59</v>
      </c>
      <c r="X399" s="19">
        <v>45612</v>
      </c>
      <c r="Y399" s="26">
        <v>204</v>
      </c>
      <c r="Z399" s="61">
        <v>0</v>
      </c>
      <c r="AB399" s="28">
        <f t="shared" si="54"/>
        <v>0.16734693877551021</v>
      </c>
      <c r="AC399" s="110">
        <v>55</v>
      </c>
      <c r="AD399" s="26">
        <v>78.099999999999994</v>
      </c>
      <c r="AE399" s="61">
        <f t="shared" si="55"/>
        <v>23.099999999999994</v>
      </c>
      <c r="AF399" s="77" t="str">
        <f>_xlfn.XLOOKUP(AD399,menu!$K$2:$K$9,menu!$J$2:$J$9,"",1)</f>
        <v>淺</v>
      </c>
      <c r="AG399" s="80" t="str">
        <f>_xlfn.XLOOKUP(AH399,menu!$O$2:$O$9,menu!$H$2:$H$9,"")</f>
        <v>Light</v>
      </c>
      <c r="AH399" s="81" t="s">
        <v>193</v>
      </c>
      <c r="AI399" t="str">
        <f>_xlfn.LET(_xlpm.x,_xlfn.CONCAT(_xlfn.XLOOKUP(D399,beans!$A$2:$A$300,beans!$J$2:$J$300,"")," / ",_xlfn.XLOOKUP(D399,beans!$A$2:$A$300,beans!$K$2:$K$300,"")," - ",_xlfn.XLOOKUP(D399,beans!$A$2:$A$300,beans!$L$2:$L$300,"")),IF(_xlpm.x=" /  - ","",_xlpm.x))</f>
        <v xml:space="preserve">Tarrazu / 卡內特 音樂家系列 莫札特 - </v>
      </c>
      <c r="AJ399" s="23" t="s">
        <v>669</v>
      </c>
    </row>
    <row r="400" spans="1:36" x14ac:dyDescent="0.3">
      <c r="A400">
        <v>383</v>
      </c>
      <c r="B400">
        <v>495</v>
      </c>
      <c r="D400">
        <v>65</v>
      </c>
      <c r="E400" t="str">
        <f>_xlfn.LET(_xlpm.x,_xlfn.XLOOKUP(D400,beans!$A$2:$A$300,beans!$H$2:$H$300,""),IF(_xlpm.x="","",_xlpm.x))</f>
        <v>衣索比亞</v>
      </c>
      <c r="F400" s="22" t="str">
        <f>_xlfn.XLOOKUP(E400,menu!$A$2:$A$37,menu!$B$2:$B$37,"")</f>
        <v>Ethiopia</v>
      </c>
      <c r="G400" t="str">
        <f>_xlfn.XLOOKUP(E400,menu!$A$2:$A$37,menu!$C$2:$C$37,"")</f>
        <v>eth</v>
      </c>
      <c r="H400" t="str">
        <f>_xlfn.LET(_xlpm.x,_xlfn.XLOOKUP(_xlfn.XLOOKUP(D400,beans!$A$2:$A$300,beans!$I$2:$I$300),menu!$E$2:$E$20,menu!$F$2:$F$20),IF(_xlpm.x="","",_xlpm.x))</f>
        <v>natural</v>
      </c>
      <c r="I400">
        <v>210</v>
      </c>
      <c r="J400">
        <v>90</v>
      </c>
      <c r="K400">
        <v>40</v>
      </c>
      <c r="L400">
        <v>90</v>
      </c>
      <c r="M400" s="68" t="s">
        <v>75</v>
      </c>
      <c r="N400">
        <v>88.2</v>
      </c>
      <c r="P400" s="67" t="s">
        <v>236</v>
      </c>
      <c r="Q400" s="68">
        <v>208</v>
      </c>
      <c r="R400" s="67" t="s">
        <v>237</v>
      </c>
      <c r="S400" s="68">
        <v>216.2</v>
      </c>
      <c r="T400" s="68">
        <f t="shared" si="56"/>
        <v>8.1999999999999886</v>
      </c>
      <c r="U400">
        <f t="shared" si="52"/>
        <v>45</v>
      </c>
      <c r="V400">
        <f t="shared" si="57"/>
        <v>10.9</v>
      </c>
      <c r="W400">
        <f t="shared" si="53"/>
        <v>7.2</v>
      </c>
      <c r="X400" s="19">
        <v>45612</v>
      </c>
      <c r="Y400" s="26">
        <v>426</v>
      </c>
      <c r="Z400" s="61">
        <v>0</v>
      </c>
      <c r="AA400" s="61">
        <v>0</v>
      </c>
      <c r="AB400" s="28">
        <f t="shared" si="54"/>
        <v>0.1393939393939394</v>
      </c>
      <c r="AC400" s="110">
        <v>50.7</v>
      </c>
      <c r="AD400" s="26">
        <v>76.2</v>
      </c>
      <c r="AE400" s="61">
        <f t="shared" si="55"/>
        <v>25.5</v>
      </c>
      <c r="AF400" s="77" t="str">
        <f>_xlfn.XLOOKUP(AD400,menu!$K$2:$K$9,menu!$J$2:$J$9,"",1)</f>
        <v>淺</v>
      </c>
      <c r="AG400" s="80" t="str">
        <f>_xlfn.XLOOKUP(AH400,menu!$O$2:$O$9,menu!$H$2:$H$9,"")</f>
        <v>Cinamon</v>
      </c>
      <c r="AH400" s="81" t="s">
        <v>78</v>
      </c>
      <c r="AI400" t="str">
        <f>_xlfn.LET(_xlpm.x,_xlfn.CONCAT(_xlfn.XLOOKUP(D400,beans!$A$2:$A$300,beans!$J$2:$J$300,"")," / ",_xlfn.XLOOKUP(D400,beans!$A$2:$A$300,beans!$K$2:$K$300,"")," - ",_xlfn.XLOOKUP(D400,beans!$A$2:$A$300,beans!$L$2:$L$300,"")),IF(_xlpm.x=" /  - ","",_xlpm.x))</f>
        <v>耶加雪菲 / 科契爾 - 牧羊人 - 原生種</v>
      </c>
      <c r="AJ400" s="23" t="s">
        <v>670</v>
      </c>
    </row>
    <row r="401" spans="1:37" x14ac:dyDescent="0.3">
      <c r="A401">
        <v>384</v>
      </c>
      <c r="B401">
        <v>497</v>
      </c>
      <c r="D401">
        <v>41</v>
      </c>
      <c r="E401" t="str">
        <f>_xlfn.LET(_xlpm.x,_xlfn.XLOOKUP(D401,beans!$A$2:$A$300,beans!$H$2:$H$300,""),IF(_xlpm.x="","",_xlpm.x))</f>
        <v>衣索比亞</v>
      </c>
      <c r="F401" s="22" t="str">
        <f>_xlfn.XLOOKUP(E401,menu!$A$2:$A$37,menu!$B$2:$B$37,"")</f>
        <v>Ethiopia</v>
      </c>
      <c r="G401" t="str">
        <f>_xlfn.XLOOKUP(E401,menu!$A$2:$A$37,menu!$C$2:$C$37,"")</f>
        <v>eth</v>
      </c>
      <c r="H401" t="str">
        <f>_xlfn.LET(_xlpm.x,_xlfn.XLOOKUP(_xlfn.XLOOKUP(D401,beans!$A$2:$A$300,beans!$I$2:$I$300),menu!$E$2:$E$20,menu!$F$2:$F$20),IF(_xlpm.x="","",_xlpm.x))</f>
        <v>washed</v>
      </c>
      <c r="I401">
        <v>210</v>
      </c>
      <c r="J401">
        <v>90</v>
      </c>
      <c r="K401">
        <v>40</v>
      </c>
      <c r="L401">
        <v>90</v>
      </c>
      <c r="M401" s="68" t="s">
        <v>75</v>
      </c>
      <c r="N401">
        <v>85.5</v>
      </c>
      <c r="P401" s="67" t="s">
        <v>517</v>
      </c>
      <c r="Q401" s="68">
        <v>202.4</v>
      </c>
      <c r="R401" s="67" t="s">
        <v>127</v>
      </c>
      <c r="S401" s="68">
        <v>214.3</v>
      </c>
      <c r="T401" s="68">
        <f t="shared" si="56"/>
        <v>11.900000000000006</v>
      </c>
      <c r="U401">
        <f t="shared" si="52"/>
        <v>64</v>
      </c>
      <c r="V401">
        <f t="shared" si="57"/>
        <v>11.2</v>
      </c>
      <c r="W401">
        <f t="shared" si="53"/>
        <v>10.130000000000001</v>
      </c>
      <c r="X401" s="19">
        <v>45612</v>
      </c>
      <c r="Y401" s="26">
        <v>432</v>
      </c>
      <c r="Z401" s="61">
        <v>0</v>
      </c>
      <c r="AA401" s="61">
        <v>0</v>
      </c>
      <c r="AB401" s="28">
        <f t="shared" si="54"/>
        <v>0.13078470824949698</v>
      </c>
      <c r="AC401" s="110">
        <v>53.5</v>
      </c>
      <c r="AD401" s="26">
        <v>73.900000000000006</v>
      </c>
      <c r="AE401" s="61">
        <f t="shared" si="55"/>
        <v>20.400000000000006</v>
      </c>
      <c r="AF401" s="77" t="str">
        <f>_xlfn.XLOOKUP(AD401,menu!$K$2:$K$9,menu!$J$2:$J$9,"",1)</f>
        <v>淺</v>
      </c>
      <c r="AG401" s="80" t="str">
        <f>_xlfn.XLOOKUP(AH401,menu!$O$2:$O$9,menu!$H$2:$H$9,"")</f>
        <v>Cinamon</v>
      </c>
      <c r="AH401" s="81" t="s">
        <v>78</v>
      </c>
      <c r="AI401" t="str">
        <f>_xlfn.LET(_xlpm.x,_xlfn.CONCAT(_xlfn.XLOOKUP(D401,beans!$A$2:$A$300,beans!$J$2:$J$300,"")," / ",_xlfn.XLOOKUP(D401,beans!$A$2:$A$300,beans!$K$2:$K$300,"")," - ",_xlfn.XLOOKUP(D401,beans!$A$2:$A$300,beans!$L$2:$L$300,"")),IF(_xlpm.x=" /  - ","",_xlpm.x))</f>
        <v xml:space="preserve">耶加雪菲 / 阿若默 - </v>
      </c>
      <c r="AJ401" s="23" t="s">
        <v>670</v>
      </c>
    </row>
    <row r="402" spans="1:37" x14ac:dyDescent="0.3">
      <c r="A402">
        <v>385</v>
      </c>
      <c r="B402">
        <v>499</v>
      </c>
      <c r="D402">
        <v>43</v>
      </c>
      <c r="E402" t="str">
        <f>_xlfn.LET(_xlpm.x,_xlfn.XLOOKUP(D402,beans!$A$2:$A$300,beans!$H$2:$H$300,""),IF(_xlpm.x="","",_xlpm.x))</f>
        <v>衣索比亞</v>
      </c>
      <c r="F402" s="22" t="str">
        <f>_xlfn.XLOOKUP(E402,menu!$A$2:$A$37,menu!$B$2:$B$37,"")</f>
        <v>Ethiopia</v>
      </c>
      <c r="G402" t="str">
        <f>_xlfn.XLOOKUP(E402,menu!$A$2:$A$37,menu!$C$2:$C$37,"")</f>
        <v>eth</v>
      </c>
      <c r="H402" t="str">
        <f>_xlfn.LET(_xlpm.x,_xlfn.XLOOKUP(_xlfn.XLOOKUP(D402,beans!$A$2:$A$300,beans!$I$2:$I$300),menu!$E$2:$E$20,menu!$F$2:$F$20),IF(_xlpm.x="","",_xlpm.x))</f>
        <v>natural</v>
      </c>
      <c r="I402">
        <v>200</v>
      </c>
      <c r="J402">
        <v>90</v>
      </c>
      <c r="K402">
        <v>40</v>
      </c>
      <c r="L402">
        <v>90</v>
      </c>
      <c r="M402" s="68" t="s">
        <v>160</v>
      </c>
      <c r="N402">
        <v>80.7</v>
      </c>
      <c r="P402" s="67" t="s">
        <v>649</v>
      </c>
      <c r="Q402" s="68">
        <v>209.2</v>
      </c>
      <c r="R402" s="67" t="s">
        <v>325</v>
      </c>
      <c r="S402" s="68">
        <v>217.8</v>
      </c>
      <c r="T402" s="68">
        <f t="shared" si="56"/>
        <v>8.6000000000000227</v>
      </c>
      <c r="U402">
        <f t="shared" si="52"/>
        <v>36</v>
      </c>
      <c r="V402">
        <f t="shared" si="57"/>
        <v>14.3</v>
      </c>
      <c r="W402">
        <f t="shared" si="53"/>
        <v>5.93</v>
      </c>
      <c r="X402" s="19">
        <v>45623</v>
      </c>
      <c r="Y402" s="26">
        <v>430</v>
      </c>
      <c r="Z402" s="61">
        <v>0</v>
      </c>
      <c r="AB402" s="28">
        <f t="shared" si="54"/>
        <v>0.13827655310621242</v>
      </c>
      <c r="AE402" s="61" t="str">
        <f t="shared" si="55"/>
        <v/>
      </c>
      <c r="AF402" s="77" t="str">
        <f>_xlfn.XLOOKUP(AD402,menu!$K$2:$K$9,menu!$J$2:$J$9,"",1)</f>
        <v/>
      </c>
      <c r="AG402" s="80" t="str">
        <f>_xlfn.XLOOKUP(AH402,menu!$O$2:$O$9,menu!$H$2:$H$9,"")</f>
        <v>Cinamon</v>
      </c>
      <c r="AH402" s="81" t="s">
        <v>78</v>
      </c>
      <c r="AI402" t="str">
        <f>_xlfn.LET(_xlpm.x,_xlfn.CONCAT(_xlfn.XLOOKUP(D402,beans!$A$2:$A$300,beans!$J$2:$J$300,"")," / ",_xlfn.XLOOKUP(D402,beans!$A$2:$A$300,beans!$K$2:$K$300,"")," - ",_xlfn.XLOOKUP(D402,beans!$A$2:$A$300,beans!$L$2:$L$300,"")),IF(_xlpm.x=" /  - ","",_xlpm.x))</f>
        <v>西達馬 / 朵望丘合作社 - 74110</v>
      </c>
      <c r="AJ402" s="23" t="s">
        <v>671</v>
      </c>
    </row>
    <row r="403" spans="1:37" x14ac:dyDescent="0.3">
      <c r="A403">
        <v>386</v>
      </c>
      <c r="B403">
        <v>498.5</v>
      </c>
      <c r="D403">
        <v>41</v>
      </c>
      <c r="E403" t="str">
        <f>_xlfn.LET(_xlpm.x,_xlfn.XLOOKUP(D403,beans!$A$2:$A$300,beans!$H$2:$H$300,""),IF(_xlpm.x="","",_xlpm.x))</f>
        <v>衣索比亞</v>
      </c>
      <c r="F403" s="22" t="str">
        <f>_xlfn.XLOOKUP(E403,menu!$A$2:$A$37,menu!$B$2:$B$37,"")</f>
        <v>Ethiopia</v>
      </c>
      <c r="G403" t="str">
        <f>_xlfn.XLOOKUP(E403,menu!$A$2:$A$37,menu!$C$2:$C$37,"")</f>
        <v>eth</v>
      </c>
      <c r="H403" t="str">
        <f>_xlfn.LET(_xlpm.x,_xlfn.XLOOKUP(_xlfn.XLOOKUP(D403,beans!$A$2:$A$300,beans!$I$2:$I$300),menu!$E$2:$E$20,menu!$F$2:$F$20),IF(_xlpm.x="","",_xlpm.x))</f>
        <v>washed</v>
      </c>
      <c r="I403">
        <v>200</v>
      </c>
      <c r="J403">
        <v>90</v>
      </c>
      <c r="K403">
        <v>40</v>
      </c>
      <c r="L403">
        <v>90</v>
      </c>
      <c r="M403" s="68" t="s">
        <v>160</v>
      </c>
      <c r="N403">
        <v>81.400000000000006</v>
      </c>
      <c r="P403" s="67" t="s">
        <v>289</v>
      </c>
      <c r="Q403" s="68">
        <v>201.8</v>
      </c>
      <c r="R403" s="67" t="s">
        <v>414</v>
      </c>
      <c r="S403" s="68">
        <v>213.5</v>
      </c>
      <c r="T403" s="68">
        <f t="shared" si="56"/>
        <v>11.699999999999989</v>
      </c>
      <c r="U403">
        <f t="shared" si="52"/>
        <v>64</v>
      </c>
      <c r="V403">
        <f t="shared" si="57"/>
        <v>11</v>
      </c>
      <c r="W403">
        <f t="shared" si="53"/>
        <v>9.98</v>
      </c>
      <c r="X403" s="19">
        <v>45623</v>
      </c>
      <c r="Y403" s="26">
        <v>434</v>
      </c>
      <c r="Z403" s="61">
        <v>0</v>
      </c>
      <c r="AB403" s="28">
        <f t="shared" si="54"/>
        <v>0.12938816449348045</v>
      </c>
      <c r="AE403" s="61" t="str">
        <f t="shared" si="55"/>
        <v/>
      </c>
      <c r="AF403" s="77" t="str">
        <f>_xlfn.XLOOKUP(AD403,menu!$K$2:$K$9,menu!$J$2:$J$9,"",1)</f>
        <v/>
      </c>
      <c r="AG403" s="80" t="str">
        <f>_xlfn.XLOOKUP(AH403,menu!$O$2:$O$9,menu!$H$2:$H$9,"")</f>
        <v>Cinamon</v>
      </c>
      <c r="AH403" s="81" t="s">
        <v>78</v>
      </c>
      <c r="AI403" t="str">
        <f>_xlfn.LET(_xlpm.x,_xlfn.CONCAT(_xlfn.XLOOKUP(D403,beans!$A$2:$A$300,beans!$J$2:$J$300,"")," / ",_xlfn.XLOOKUP(D403,beans!$A$2:$A$300,beans!$K$2:$K$300,"")," - ",_xlfn.XLOOKUP(D403,beans!$A$2:$A$300,beans!$L$2:$L$300,"")),IF(_xlpm.x=" /  - ","",_xlpm.x))</f>
        <v xml:space="preserve">耶加雪菲 / 阿若默 - </v>
      </c>
      <c r="AJ403" s="23" t="s">
        <v>672</v>
      </c>
    </row>
    <row r="404" spans="1:37" x14ac:dyDescent="0.3">
      <c r="A404">
        <v>387</v>
      </c>
      <c r="B404">
        <v>243</v>
      </c>
      <c r="D404">
        <v>21</v>
      </c>
      <c r="E404" t="str">
        <f>_xlfn.LET(_xlpm.x,_xlfn.XLOOKUP(D404,beans!$A$2:$A$300,beans!$H$2:$H$300,""),IF(_xlpm.x="","",_xlpm.x))</f>
        <v>衣索比亞</v>
      </c>
      <c r="F404" s="22" t="str">
        <f>_xlfn.XLOOKUP(E404,menu!$A$2:$A$37,menu!$B$2:$B$37,"")</f>
        <v>Ethiopia</v>
      </c>
      <c r="G404" t="str">
        <f>_xlfn.XLOOKUP(E404,menu!$A$2:$A$37,menu!$C$2:$C$37,"")</f>
        <v>eth</v>
      </c>
      <c r="H404" t="str">
        <f>_xlfn.LET(_xlpm.x,_xlfn.XLOOKUP(_xlfn.XLOOKUP(D404,beans!$A$2:$A$300,beans!$I$2:$I$300),menu!$E$2:$E$20,menu!$F$2:$F$20),IF(_xlpm.x="","",_xlpm.x))</f>
        <v>natural</v>
      </c>
      <c r="I404">
        <v>200</v>
      </c>
      <c r="J404">
        <v>85</v>
      </c>
      <c r="K404">
        <v>30</v>
      </c>
      <c r="L404">
        <v>70</v>
      </c>
      <c r="M404" s="68" t="s">
        <v>125</v>
      </c>
      <c r="N404">
        <v>89.1</v>
      </c>
      <c r="P404" s="67" t="s">
        <v>558</v>
      </c>
      <c r="Q404" s="68">
        <v>209.5</v>
      </c>
      <c r="R404" s="67" t="s">
        <v>243</v>
      </c>
      <c r="S404" s="68">
        <v>217.3</v>
      </c>
      <c r="T404" s="68">
        <f t="shared" si="56"/>
        <v>7.8000000000000114</v>
      </c>
      <c r="U404">
        <f t="shared" si="52"/>
        <v>46</v>
      </c>
      <c r="V404">
        <f t="shared" si="57"/>
        <v>10.199999999999999</v>
      </c>
      <c r="W404">
        <f t="shared" si="53"/>
        <v>7.57</v>
      </c>
      <c r="X404" s="19">
        <v>45623</v>
      </c>
      <c r="Y404" s="26">
        <v>210.4</v>
      </c>
      <c r="Z404" s="61">
        <v>0</v>
      </c>
      <c r="AA404" s="61">
        <v>0</v>
      </c>
      <c r="AB404" s="28">
        <f t="shared" si="54"/>
        <v>0.13415637860082302</v>
      </c>
      <c r="AE404" s="61" t="str">
        <f t="shared" si="55"/>
        <v/>
      </c>
      <c r="AF404" s="77" t="str">
        <f>_xlfn.XLOOKUP(AD404,menu!$K$2:$K$9,menu!$J$2:$J$9,"",1)</f>
        <v/>
      </c>
      <c r="AG404" s="80" t="str">
        <f>_xlfn.XLOOKUP(AH404,menu!$O$2:$O$9,menu!$H$2:$H$9,"")</f>
        <v>Cinamon</v>
      </c>
      <c r="AH404" s="81" t="s">
        <v>78</v>
      </c>
      <c r="AI404" t="str">
        <f>_xlfn.LET(_xlpm.x,_xlfn.CONCAT(_xlfn.XLOOKUP(D404,beans!$A$2:$A$300,beans!$J$2:$J$300,"")," / ",_xlfn.XLOOKUP(D404,beans!$A$2:$A$300,beans!$K$2:$K$300,"")," - ",_xlfn.XLOOKUP(D404,beans!$A$2:$A$300,beans!$L$2:$L$300,"")),IF(_xlpm.x=" /  - ","",_xlpm.x))</f>
        <v>古吉 南希寶 / 神燈系列 南希寶 莓姬 - Heirloom</v>
      </c>
      <c r="AJ404" s="23" t="s">
        <v>673</v>
      </c>
    </row>
    <row r="405" spans="1:37" x14ac:dyDescent="0.3">
      <c r="A405">
        <v>388</v>
      </c>
      <c r="B405">
        <v>245</v>
      </c>
      <c r="D405">
        <v>21</v>
      </c>
      <c r="E405" t="str">
        <f>_xlfn.LET(_xlpm.x,_xlfn.XLOOKUP(D405,beans!$A$2:$A$300,beans!$H$2:$H$300,""),IF(_xlpm.x="","",_xlpm.x))</f>
        <v>衣索比亞</v>
      </c>
      <c r="F405" s="22" t="str">
        <f>_xlfn.XLOOKUP(E405,menu!$A$2:$A$37,menu!$B$2:$B$37,"")</f>
        <v>Ethiopia</v>
      </c>
      <c r="G405" t="str">
        <f>_xlfn.XLOOKUP(E405,menu!$A$2:$A$37,menu!$C$2:$C$37,"")</f>
        <v>eth</v>
      </c>
      <c r="H405" t="str">
        <f>_xlfn.LET(_xlpm.x,_xlfn.XLOOKUP(_xlfn.XLOOKUP(D405,beans!$A$2:$A$300,beans!$I$2:$I$300),menu!$E$2:$E$20,menu!$F$2:$F$20),IF(_xlpm.x="","",_xlpm.x))</f>
        <v>natural</v>
      </c>
      <c r="I405">
        <v>260</v>
      </c>
      <c r="J405">
        <v>83</v>
      </c>
      <c r="K405">
        <v>30</v>
      </c>
      <c r="L405">
        <v>70</v>
      </c>
      <c r="M405" s="68" t="s">
        <v>109</v>
      </c>
      <c r="N405">
        <v>108</v>
      </c>
      <c r="P405" s="67" t="s">
        <v>496</v>
      </c>
      <c r="Q405" s="68">
        <v>210.8</v>
      </c>
      <c r="R405" s="67" t="s">
        <v>588</v>
      </c>
      <c r="S405" s="68">
        <v>219.1</v>
      </c>
      <c r="T405" s="68">
        <f t="shared" si="56"/>
        <v>8.2999999999999829</v>
      </c>
      <c r="U405">
        <f t="shared" si="52"/>
        <v>47</v>
      </c>
      <c r="V405">
        <f t="shared" si="57"/>
        <v>10.6</v>
      </c>
      <c r="W405">
        <f t="shared" si="53"/>
        <v>8.3800000000000008</v>
      </c>
      <c r="X405" s="19">
        <v>45623</v>
      </c>
      <c r="Y405" s="26">
        <v>210.3</v>
      </c>
      <c r="Z405" s="61">
        <v>0</v>
      </c>
      <c r="AA405" s="61">
        <v>0</v>
      </c>
      <c r="AB405" s="28">
        <f t="shared" si="54"/>
        <v>0.14163265306122444</v>
      </c>
      <c r="AE405" s="61" t="str">
        <f t="shared" si="55"/>
        <v/>
      </c>
      <c r="AF405" s="77" t="str">
        <f>_xlfn.XLOOKUP(AD405,menu!$K$2:$K$9,menu!$J$2:$J$9,"",1)</f>
        <v/>
      </c>
      <c r="AG405" s="80" t="str">
        <f>_xlfn.XLOOKUP(AH405,menu!$O$2:$O$9,menu!$H$2:$H$9,"")</f>
        <v>Cinamon</v>
      </c>
      <c r="AH405" s="81" t="s">
        <v>78</v>
      </c>
      <c r="AI405" t="str">
        <f>_xlfn.LET(_xlpm.x,_xlfn.CONCAT(_xlfn.XLOOKUP(D405,beans!$A$2:$A$300,beans!$J$2:$J$300,"")," / ",_xlfn.XLOOKUP(D405,beans!$A$2:$A$300,beans!$K$2:$K$300,"")," - ",_xlfn.XLOOKUP(D405,beans!$A$2:$A$300,beans!$L$2:$L$300,"")),IF(_xlpm.x=" /  - ","",_xlpm.x))</f>
        <v>古吉 南希寶 / 神燈系列 南希寶 莓姬 - Heirloom</v>
      </c>
      <c r="AJ405" s="23" t="s">
        <v>674</v>
      </c>
    </row>
    <row r="406" spans="1:37" x14ac:dyDescent="0.3">
      <c r="A406">
        <v>389</v>
      </c>
      <c r="B406">
        <v>250</v>
      </c>
      <c r="D406">
        <v>47</v>
      </c>
      <c r="E406" t="str">
        <f>_xlfn.LET(_xlpm.x,_xlfn.XLOOKUP(D406,beans!$A$2:$A$300,beans!$H$2:$H$300,""),IF(_xlpm.x="","",_xlpm.x))</f>
        <v>衣索比亞</v>
      </c>
      <c r="F406" s="22" t="str">
        <f>_xlfn.XLOOKUP(E406,menu!$A$2:$A$37,menu!$B$2:$B$37,"")</f>
        <v>Ethiopia</v>
      </c>
      <c r="G406" t="str">
        <f>_xlfn.XLOOKUP(E406,menu!$A$2:$A$37,menu!$C$2:$C$37,"")</f>
        <v>eth</v>
      </c>
      <c r="H406" t="str">
        <f>_xlfn.LET(_xlpm.x,_xlfn.XLOOKUP(_xlfn.XLOOKUP(D406,beans!$A$2:$A$300,beans!$I$2:$I$300),menu!$E$2:$E$20,menu!$F$2:$F$20),IF(_xlpm.x="","",_xlpm.x))</f>
        <v>washed</v>
      </c>
      <c r="I406">
        <v>190</v>
      </c>
      <c r="J406">
        <v>80</v>
      </c>
      <c r="K406">
        <v>30</v>
      </c>
      <c r="L406">
        <v>70</v>
      </c>
      <c r="M406" s="68" t="s">
        <v>207</v>
      </c>
      <c r="N406">
        <v>85.8</v>
      </c>
      <c r="P406" s="67" t="s">
        <v>236</v>
      </c>
      <c r="Q406" s="68">
        <v>200.9</v>
      </c>
      <c r="R406" s="67" t="s">
        <v>301</v>
      </c>
      <c r="S406" s="68">
        <v>213.4</v>
      </c>
      <c r="T406" s="68">
        <f t="shared" si="56"/>
        <v>12.5</v>
      </c>
      <c r="U406">
        <f t="shared" si="52"/>
        <v>72</v>
      </c>
      <c r="V406">
        <f t="shared" si="57"/>
        <v>10.4</v>
      </c>
      <c r="W406">
        <f t="shared" si="53"/>
        <v>11.04</v>
      </c>
      <c r="X406" s="19">
        <v>45623</v>
      </c>
      <c r="Y406" s="26">
        <v>215</v>
      </c>
      <c r="Z406" s="61">
        <v>0</v>
      </c>
      <c r="AA406" s="61">
        <v>0</v>
      </c>
      <c r="AB406" s="28">
        <f t="shared" si="54"/>
        <v>0.14000000000000001</v>
      </c>
      <c r="AE406" s="61" t="str">
        <f t="shared" si="55"/>
        <v/>
      </c>
      <c r="AF406" s="77" t="str">
        <f>_xlfn.XLOOKUP(AD406,menu!$K$2:$K$9,menu!$J$2:$J$9,"",1)</f>
        <v/>
      </c>
      <c r="AG406" s="80" t="str">
        <f>_xlfn.XLOOKUP(AH406,menu!$O$2:$O$9,menu!$H$2:$H$9,"")</f>
        <v>Medium</v>
      </c>
      <c r="AH406" s="81" t="s">
        <v>72</v>
      </c>
      <c r="AI406" t="str">
        <f>_xlfn.LET(_xlpm.x,_xlfn.CONCAT(_xlfn.XLOOKUP(D406,beans!$A$2:$A$300,beans!$J$2:$J$300,"")," / ",_xlfn.XLOOKUP(D406,beans!$A$2:$A$300,beans!$K$2:$K$300,"")," - ",_xlfn.XLOOKUP(D406,beans!$A$2:$A$300,beans!$L$2:$L$300,"")),IF(_xlpm.x=" /  - ","",_xlpm.x))</f>
        <v>吉馬莉姆 / 果美村 - 寶貝藝妓</v>
      </c>
      <c r="AJ406" s="23" t="s">
        <v>675</v>
      </c>
    </row>
    <row r="407" spans="1:37" x14ac:dyDescent="0.3">
      <c r="A407">
        <v>390</v>
      </c>
      <c r="B407">
        <v>492.3</v>
      </c>
      <c r="D407">
        <v>44</v>
      </c>
      <c r="E407" t="str">
        <f>_xlfn.LET(_xlpm.x,_xlfn.XLOOKUP(D407,beans!$A$2:$A$300,beans!$H$2:$H$300,""),IF(_xlpm.x="","",_xlpm.x))</f>
        <v>衣索比亞</v>
      </c>
      <c r="F407" s="22" t="str">
        <f>_xlfn.XLOOKUP(E407,menu!$A$2:$A$37,menu!$B$2:$B$37,"")</f>
        <v>Ethiopia</v>
      </c>
      <c r="G407" t="str">
        <f>_xlfn.XLOOKUP(E407,menu!$A$2:$A$37,menu!$C$2:$C$37,"")</f>
        <v>eth</v>
      </c>
      <c r="H407" t="str">
        <f>_xlfn.LET(_xlpm.x,_xlfn.XLOOKUP(_xlfn.XLOOKUP(D407,beans!$A$2:$A$300,beans!$I$2:$I$300),menu!$E$2:$E$20,menu!$F$2:$F$20),IF(_xlpm.x="","",_xlpm.x))</f>
        <v>Special</v>
      </c>
      <c r="I407">
        <v>230</v>
      </c>
      <c r="J407">
        <v>90</v>
      </c>
      <c r="K407">
        <v>30</v>
      </c>
      <c r="L407">
        <v>90</v>
      </c>
      <c r="M407" s="68" t="s">
        <v>54</v>
      </c>
      <c r="N407">
        <v>92</v>
      </c>
      <c r="P407" s="67" t="s">
        <v>619</v>
      </c>
      <c r="Q407" s="68">
        <v>205.2</v>
      </c>
      <c r="R407" s="67" t="s">
        <v>292</v>
      </c>
      <c r="S407" s="68">
        <v>210.4</v>
      </c>
      <c r="T407" s="68">
        <f t="shared" si="56"/>
        <v>5.2000000000000171</v>
      </c>
      <c r="U407">
        <f t="shared" si="52"/>
        <v>63</v>
      </c>
      <c r="V407">
        <f t="shared" si="57"/>
        <v>5</v>
      </c>
      <c r="W407">
        <f t="shared" si="53"/>
        <v>10.34</v>
      </c>
      <c r="X407" s="19">
        <v>45627</v>
      </c>
      <c r="Y407" s="26">
        <v>418</v>
      </c>
      <c r="Z407" s="61">
        <v>0</v>
      </c>
      <c r="AB407" s="28">
        <f t="shared" si="54"/>
        <v>0.15092423319114362</v>
      </c>
      <c r="AC407" s="110">
        <v>43.8</v>
      </c>
      <c r="AD407" s="26">
        <v>65.900000000000006</v>
      </c>
      <c r="AE407" s="61">
        <f t="shared" si="55"/>
        <v>22.100000000000009</v>
      </c>
      <c r="AF407" s="77" t="str">
        <f>_xlfn.XLOOKUP(AD407,menu!$K$2:$K$9,menu!$J$2:$J$9,"",1)</f>
        <v>中淺</v>
      </c>
      <c r="AG407" s="80" t="str">
        <f>_xlfn.XLOOKUP(AH407,menu!$O$2:$O$9,menu!$H$2:$H$9,"")</f>
        <v/>
      </c>
      <c r="AI407" t="str">
        <f>_xlfn.LET(_xlpm.x,_xlfn.CONCAT(_xlfn.XLOOKUP(D407,beans!$A$2:$A$300,beans!$J$2:$J$300,"")," / ",_xlfn.XLOOKUP(D407,beans!$A$2:$A$300,beans!$K$2:$K$300,"")," - ",_xlfn.XLOOKUP(D407,beans!$A$2:$A$300,beans!$L$2:$L$300,"")),IF(_xlpm.x=" /  - ","",_xlpm.x))</f>
        <v xml:space="preserve">耶加雪菲 / 百香果特殊發酵 厭氧日曬處理 G1 - </v>
      </c>
      <c r="AJ407" s="23" t="s">
        <v>676</v>
      </c>
    </row>
    <row r="408" spans="1:37" x14ac:dyDescent="0.3">
      <c r="A408">
        <v>391</v>
      </c>
      <c r="B408">
        <v>500</v>
      </c>
      <c r="D408">
        <v>44</v>
      </c>
      <c r="E408" t="str">
        <f>_xlfn.LET(_xlpm.x,_xlfn.XLOOKUP(D408,beans!$A$2:$A$300,beans!$H$2:$H$300,""),IF(_xlpm.x="","",_xlpm.x))</f>
        <v>衣索比亞</v>
      </c>
      <c r="F408" s="22" t="str">
        <f>_xlfn.XLOOKUP(E408,menu!$A$2:$A$37,menu!$B$2:$B$37,"")</f>
        <v>Ethiopia</v>
      </c>
      <c r="G408" t="str">
        <f>_xlfn.XLOOKUP(E408,menu!$A$2:$A$37,menu!$C$2:$C$37,"")</f>
        <v>eth</v>
      </c>
      <c r="H408" t="str">
        <f>_xlfn.LET(_xlpm.x,_xlfn.XLOOKUP(_xlfn.XLOOKUP(D408,beans!$A$2:$A$300,beans!$I$2:$I$300),menu!$E$2:$E$20,menu!$F$2:$F$20),IF(_xlpm.x="","",_xlpm.x))</f>
        <v>Special</v>
      </c>
      <c r="I408">
        <v>230</v>
      </c>
      <c r="J408">
        <v>90</v>
      </c>
      <c r="K408">
        <v>30</v>
      </c>
      <c r="L408">
        <v>90</v>
      </c>
      <c r="M408" s="68" t="s">
        <v>190</v>
      </c>
      <c r="N408">
        <v>94.8</v>
      </c>
      <c r="P408" s="67" t="s">
        <v>610</v>
      </c>
      <c r="Q408" s="68">
        <v>204.2</v>
      </c>
      <c r="R408" s="67" t="s">
        <v>537</v>
      </c>
      <c r="S408" s="68">
        <v>214.3</v>
      </c>
      <c r="T408" s="68">
        <f t="shared" si="56"/>
        <v>10.100000000000023</v>
      </c>
      <c r="U408">
        <f t="shared" si="52"/>
        <v>62</v>
      </c>
      <c r="V408">
        <f t="shared" si="57"/>
        <v>9.8000000000000007</v>
      </c>
      <c r="W408">
        <f t="shared" si="53"/>
        <v>10.44</v>
      </c>
      <c r="X408" s="19">
        <v>45627</v>
      </c>
      <c r="Y408" s="26">
        <v>427.2</v>
      </c>
      <c r="Z408" s="61">
        <v>0</v>
      </c>
      <c r="AB408" s="28">
        <f t="shared" si="54"/>
        <v>0.14560000000000003</v>
      </c>
      <c r="AC408" s="110">
        <v>42.6</v>
      </c>
      <c r="AD408" s="26">
        <v>76.8</v>
      </c>
      <c r="AE408" s="61">
        <f t="shared" si="55"/>
        <v>34.199999999999996</v>
      </c>
      <c r="AF408" s="77" t="str">
        <f>_xlfn.XLOOKUP(AD408,menu!$K$2:$K$9,menu!$J$2:$J$9,"",1)</f>
        <v>淺</v>
      </c>
      <c r="AG408" s="80" t="str">
        <f>_xlfn.XLOOKUP(AH408,menu!$O$2:$O$9,menu!$H$2:$H$9,"")</f>
        <v/>
      </c>
      <c r="AI408" t="str">
        <f>_xlfn.LET(_xlpm.x,_xlfn.CONCAT(_xlfn.XLOOKUP(D408,beans!$A$2:$A$300,beans!$J$2:$J$300,"")," / ",_xlfn.XLOOKUP(D408,beans!$A$2:$A$300,beans!$K$2:$K$300,"")," - ",_xlfn.XLOOKUP(D408,beans!$A$2:$A$300,beans!$L$2:$L$300,"")),IF(_xlpm.x=" /  - ","",_xlpm.x))</f>
        <v xml:space="preserve">耶加雪菲 / 百香果特殊發酵 厭氧日曬處理 G1 - </v>
      </c>
      <c r="AJ408" s="23" t="s">
        <v>677</v>
      </c>
    </row>
    <row r="409" spans="1:37" x14ac:dyDescent="0.3">
      <c r="A409">
        <v>392</v>
      </c>
      <c r="B409">
        <v>498.7</v>
      </c>
      <c r="D409">
        <v>6</v>
      </c>
      <c r="E409" t="str">
        <f>_xlfn.LET(_xlpm.x,_xlfn.XLOOKUP(D409,beans!$A$2:$A$300,beans!$H$2:$H$300,""),IF(_xlpm.x="","",_xlpm.x))</f>
        <v>肯亞</v>
      </c>
      <c r="F409" s="22" t="str">
        <f>_xlfn.XLOOKUP(E409,menu!$A$2:$A$37,menu!$B$2:$B$37,"")</f>
        <v>Kenya</v>
      </c>
      <c r="G409" t="str">
        <f>_xlfn.XLOOKUP(E409,menu!$A$2:$A$37,menu!$C$2:$C$37,"")</f>
        <v>ken</v>
      </c>
      <c r="H409" t="str">
        <f>_xlfn.LET(_xlpm.x,_xlfn.XLOOKUP(_xlfn.XLOOKUP(D409,beans!$A$2:$A$300,beans!$I$2:$I$300),menu!$E$2:$E$20,menu!$F$2:$F$20),IF(_xlpm.x="","",_xlpm.x))</f>
        <v>washed</v>
      </c>
      <c r="I409">
        <v>210</v>
      </c>
      <c r="J409">
        <v>90</v>
      </c>
      <c r="K409">
        <v>30</v>
      </c>
      <c r="L409">
        <v>90</v>
      </c>
      <c r="M409" s="68" t="s">
        <v>188</v>
      </c>
      <c r="N409">
        <v>84.7</v>
      </c>
      <c r="P409" s="67" t="s">
        <v>88</v>
      </c>
      <c r="Q409" s="68">
        <v>199.3</v>
      </c>
      <c r="R409" s="67" t="s">
        <v>202</v>
      </c>
      <c r="S409" s="68">
        <v>211.2</v>
      </c>
      <c r="T409" s="68">
        <f t="shared" si="56"/>
        <v>11.899999999999977</v>
      </c>
      <c r="U409">
        <f t="shared" si="52"/>
        <v>85</v>
      </c>
      <c r="V409">
        <f t="shared" si="57"/>
        <v>8.4</v>
      </c>
      <c r="W409">
        <f t="shared" si="53"/>
        <v>13.67</v>
      </c>
      <c r="X409" s="19">
        <v>45627</v>
      </c>
      <c r="Y409" s="26">
        <v>429</v>
      </c>
      <c r="Z409" s="61">
        <v>0</v>
      </c>
      <c r="AA409" s="61">
        <v>0</v>
      </c>
      <c r="AB409" s="28">
        <f t="shared" si="54"/>
        <v>0.13976338480048123</v>
      </c>
      <c r="AC409" s="110">
        <v>50.2</v>
      </c>
      <c r="AD409" s="26">
        <v>69.5</v>
      </c>
      <c r="AE409" s="61">
        <f t="shared" si="55"/>
        <v>19.299999999999997</v>
      </c>
      <c r="AF409" s="77" t="str">
        <f>_xlfn.XLOOKUP(AD409,menu!$K$2:$K$9,menu!$J$2:$J$9,"",1)</f>
        <v>中淺</v>
      </c>
      <c r="AG409" s="80" t="str">
        <f>_xlfn.XLOOKUP(AH409,menu!$O$2:$O$9,menu!$H$2:$H$9,"")</f>
        <v/>
      </c>
      <c r="AI409" t="str">
        <f>_xlfn.LET(_xlpm.x,_xlfn.CONCAT(_xlfn.XLOOKUP(D409,beans!$A$2:$A$300,beans!$J$2:$J$300,"")," / ",_xlfn.XLOOKUP(D409,beans!$A$2:$A$300,beans!$K$2:$K$300,"")," - ",_xlfn.XLOOKUP(D409,beans!$A$2:$A$300,beans!$L$2:$L$300,"")),IF(_xlpm.x=" /  - ","",_xlpm.x))</f>
        <v>東非大裂谷產區 / 烏克栗栗/黑莓皇后 - SL28, SL34, 少許Ruiru以及Batian</v>
      </c>
      <c r="AJ409" s="23" t="s">
        <v>678</v>
      </c>
    </row>
    <row r="410" spans="1:37" x14ac:dyDescent="0.3">
      <c r="A410">
        <v>393</v>
      </c>
      <c r="B410">
        <v>496.5</v>
      </c>
      <c r="D410">
        <v>47</v>
      </c>
      <c r="E410" t="str">
        <f>_xlfn.LET(_xlpm.x,_xlfn.XLOOKUP(D410,beans!$A$2:$A$300,beans!$H$2:$H$300,""),IF(_xlpm.x="","",_xlpm.x))</f>
        <v>衣索比亞</v>
      </c>
      <c r="F410" s="22" t="str">
        <f>_xlfn.XLOOKUP(E410,menu!$A$2:$A$37,menu!$B$2:$B$37,"")</f>
        <v>Ethiopia</v>
      </c>
      <c r="G410" t="str">
        <f>_xlfn.XLOOKUP(E410,menu!$A$2:$A$37,menu!$C$2:$C$37,"")</f>
        <v>eth</v>
      </c>
      <c r="H410" t="str">
        <f>_xlfn.LET(_xlpm.x,_xlfn.XLOOKUP(_xlfn.XLOOKUP(D410,beans!$A$2:$A$300,beans!$I$2:$I$300),menu!$E$2:$E$20,menu!$F$2:$F$20),IF(_xlpm.x="","",_xlpm.x))</f>
        <v>washed</v>
      </c>
      <c r="I410">
        <v>220</v>
      </c>
      <c r="J410">
        <v>90</v>
      </c>
      <c r="K410">
        <v>30</v>
      </c>
      <c r="L410">
        <v>90</v>
      </c>
      <c r="M410" s="68" t="s">
        <v>157</v>
      </c>
      <c r="N410">
        <v>89.7</v>
      </c>
      <c r="P410" s="67" t="s">
        <v>679</v>
      </c>
      <c r="Q410" s="68">
        <v>200.8</v>
      </c>
      <c r="R410" s="67" t="s">
        <v>98</v>
      </c>
      <c r="S410" s="68">
        <v>213.4</v>
      </c>
      <c r="T410" s="68">
        <f t="shared" si="56"/>
        <v>12.599999999999994</v>
      </c>
      <c r="U410">
        <f t="shared" si="52"/>
        <v>77</v>
      </c>
      <c r="V410">
        <f t="shared" si="57"/>
        <v>9.8000000000000007</v>
      </c>
      <c r="W410">
        <f t="shared" si="53"/>
        <v>11.92</v>
      </c>
      <c r="X410" s="19">
        <v>45627</v>
      </c>
      <c r="Y410" s="26">
        <v>421.9</v>
      </c>
      <c r="Z410" s="61">
        <v>0</v>
      </c>
      <c r="AA410" s="61">
        <v>0</v>
      </c>
      <c r="AB410" s="28">
        <f t="shared" si="54"/>
        <v>0.15025176233635454</v>
      </c>
      <c r="AC410" s="110">
        <v>56.9</v>
      </c>
      <c r="AD410" s="26">
        <v>69.099999999999994</v>
      </c>
      <c r="AE410" s="61">
        <f t="shared" si="55"/>
        <v>12.199999999999996</v>
      </c>
      <c r="AF410" s="77" t="str">
        <f>_xlfn.XLOOKUP(AD410,menu!$K$2:$K$9,menu!$J$2:$J$9,"",1)</f>
        <v>中淺</v>
      </c>
      <c r="AG410" s="80" t="str">
        <f>_xlfn.XLOOKUP(AH410,menu!$O$2:$O$9,menu!$H$2:$H$9,"")</f>
        <v/>
      </c>
      <c r="AI410" t="str">
        <f>_xlfn.LET(_xlpm.x,_xlfn.CONCAT(_xlfn.XLOOKUP(D410,beans!$A$2:$A$300,beans!$J$2:$J$300,"")," / ",_xlfn.XLOOKUP(D410,beans!$A$2:$A$300,beans!$K$2:$K$300,"")," - ",_xlfn.XLOOKUP(D410,beans!$A$2:$A$300,beans!$L$2:$L$300,"")),IF(_xlpm.x=" /  - ","",_xlpm.x))</f>
        <v>吉馬莉姆 / 果美村 - 寶貝藝妓</v>
      </c>
      <c r="AJ410" s="23" t="s">
        <v>678</v>
      </c>
    </row>
    <row r="411" spans="1:37" x14ac:dyDescent="0.3">
      <c r="A411">
        <v>394</v>
      </c>
      <c r="B411">
        <v>242</v>
      </c>
      <c r="D411">
        <v>69</v>
      </c>
      <c r="E411" t="str">
        <f>_xlfn.LET(_xlpm.x,_xlfn.XLOOKUP(D411,beans!$A$2:$A$300,beans!$H$2:$H$300,""),IF(_xlpm.x="","",_xlpm.x))</f>
        <v>衣索比亞</v>
      </c>
      <c r="F411" s="22" t="str">
        <f>_xlfn.XLOOKUP(E411,menu!$A$2:$A$37,menu!$B$2:$B$37,"")</f>
        <v>Ethiopia</v>
      </c>
      <c r="G411" t="str">
        <f>_xlfn.XLOOKUP(E411,menu!$A$2:$A$37,menu!$C$2:$C$37,"")</f>
        <v>eth</v>
      </c>
      <c r="H411" t="str">
        <f>_xlfn.LET(_xlpm.x,_xlfn.XLOOKUP(_xlfn.XLOOKUP(D411,beans!$A$2:$A$300,beans!$I$2:$I$300),menu!$E$2:$E$20,menu!$F$2:$F$20),IF(_xlpm.x="","",_xlpm.x))</f>
        <v>Anaerobic Natural</v>
      </c>
      <c r="I411">
        <v>220</v>
      </c>
      <c r="J411">
        <v>85</v>
      </c>
      <c r="K411">
        <v>30</v>
      </c>
      <c r="L411">
        <v>70</v>
      </c>
      <c r="M411" s="68" t="s">
        <v>67</v>
      </c>
      <c r="N411">
        <v>94.4</v>
      </c>
      <c r="P411" s="67" t="s">
        <v>551</v>
      </c>
      <c r="Q411" s="68">
        <v>203.2</v>
      </c>
      <c r="R411" s="67" t="s">
        <v>561</v>
      </c>
      <c r="S411" s="68">
        <v>214.7</v>
      </c>
      <c r="T411" s="68">
        <f t="shared" si="56"/>
        <v>11.5</v>
      </c>
      <c r="U411">
        <f t="shared" si="52"/>
        <v>85</v>
      </c>
      <c r="V411">
        <f t="shared" si="57"/>
        <v>8.1</v>
      </c>
      <c r="W411">
        <f t="shared" si="53"/>
        <v>14.29</v>
      </c>
      <c r="X411" s="19">
        <v>45627</v>
      </c>
      <c r="Y411" s="26">
        <v>210</v>
      </c>
      <c r="Z411" s="61">
        <v>0</v>
      </c>
      <c r="AB411" s="28">
        <f t="shared" si="54"/>
        <v>0.13223140495867769</v>
      </c>
      <c r="AC411" s="110">
        <v>69.5</v>
      </c>
      <c r="AD411" s="26">
        <v>80.7</v>
      </c>
      <c r="AE411" s="61">
        <f t="shared" si="55"/>
        <v>11.200000000000003</v>
      </c>
      <c r="AF411" s="77" t="str">
        <f>_xlfn.XLOOKUP(AD411,menu!$K$2:$K$9,menu!$J$2:$J$9,"",1)</f>
        <v>極淺</v>
      </c>
      <c r="AG411" s="80" t="str">
        <f>_xlfn.XLOOKUP(AH411,menu!$O$2:$O$9,menu!$H$2:$H$9,"")</f>
        <v/>
      </c>
      <c r="AI411" t="str">
        <f>_xlfn.LET(_xlpm.x,_xlfn.CONCAT(_xlfn.XLOOKUP(D411,beans!$A$2:$A$300,beans!$J$2:$J$300,"")," / ",_xlfn.XLOOKUP(D411,beans!$A$2:$A$300,beans!$K$2:$K$300,"")," - ",_xlfn.XLOOKUP(D411,beans!$A$2:$A$300,beans!$L$2:$L$300,"")),IF(_xlpm.x=" /  - ","",_xlpm.x))</f>
        <v>古吉烏拉嘎 / 月光酒釀 - 74110/74112</v>
      </c>
      <c r="AJ411" s="23" t="s">
        <v>676</v>
      </c>
    </row>
    <row r="412" spans="1:37" x14ac:dyDescent="0.3">
      <c r="A412">
        <v>395</v>
      </c>
      <c r="B412">
        <v>253</v>
      </c>
      <c r="D412">
        <v>76</v>
      </c>
      <c r="E412" t="str">
        <f>_xlfn.LET(_xlpm.x,_xlfn.XLOOKUP(D412,beans!$A$2:$A$300,beans!$H$2:$H$300,""),IF(_xlpm.x="","",_xlpm.x))</f>
        <v>瓜地馬拉</v>
      </c>
      <c r="F412" s="22" t="str">
        <f>_xlfn.XLOOKUP(E412,menu!$A$2:$A$37,menu!$B$2:$B$37,"")</f>
        <v>Guatemala</v>
      </c>
      <c r="G412" t="str">
        <f>_xlfn.XLOOKUP(E412,menu!$A$2:$A$37,menu!$C$2:$C$37,"")</f>
        <v>gtm</v>
      </c>
      <c r="H412" t="str">
        <f>_xlfn.LET(_xlpm.x,_xlfn.XLOOKUP(_xlfn.XLOOKUP(D412,beans!$A$2:$A$300,beans!$I$2:$I$300),menu!$E$2:$E$20,menu!$F$2:$F$20),IF(_xlpm.x="","",_xlpm.x))</f>
        <v>washed</v>
      </c>
      <c r="I412">
        <v>220</v>
      </c>
      <c r="J412">
        <v>85</v>
      </c>
      <c r="K412">
        <v>30</v>
      </c>
      <c r="L412">
        <v>70</v>
      </c>
      <c r="M412" s="68" t="s">
        <v>109</v>
      </c>
      <c r="N412">
        <v>96.3</v>
      </c>
      <c r="P412" s="67" t="s">
        <v>194</v>
      </c>
      <c r="Q412" s="68">
        <v>205.3</v>
      </c>
      <c r="R412" s="67" t="s">
        <v>537</v>
      </c>
      <c r="S412" s="68">
        <v>220</v>
      </c>
      <c r="T412" s="68">
        <f t="shared" si="56"/>
        <v>14.699999999999989</v>
      </c>
      <c r="U412">
        <f t="shared" si="52"/>
        <v>82</v>
      </c>
      <c r="V412">
        <f t="shared" si="57"/>
        <v>10.8</v>
      </c>
      <c r="W412">
        <f t="shared" si="53"/>
        <v>13.8</v>
      </c>
      <c r="X412" s="19">
        <v>45627</v>
      </c>
      <c r="Y412" s="26">
        <v>217.6</v>
      </c>
      <c r="Z412" s="61">
        <v>0</v>
      </c>
      <c r="AB412" s="28">
        <f t="shared" si="54"/>
        <v>0.13992094861660082</v>
      </c>
      <c r="AE412" s="61" t="str">
        <f t="shared" si="55"/>
        <v/>
      </c>
      <c r="AF412" s="77" t="str">
        <f>_xlfn.XLOOKUP(AD412,menu!$K$2:$K$9,menu!$J$2:$J$9,"",1)</f>
        <v/>
      </c>
      <c r="AG412" s="80" t="str">
        <f>_xlfn.XLOOKUP(AH412,menu!$O$2:$O$9,menu!$H$2:$H$9,"")</f>
        <v/>
      </c>
      <c r="AI412" t="str">
        <f>_xlfn.LET(_xlpm.x,_xlfn.CONCAT(_xlfn.XLOOKUP(D412,beans!$A$2:$A$300,beans!$J$2:$J$300,"")," / ",_xlfn.XLOOKUP(D412,beans!$A$2:$A$300,beans!$K$2:$K$300,"")," - ",_xlfn.XLOOKUP(D412,beans!$A$2:$A$300,beans!$L$2:$L$300,"")),IF(_xlpm.x=" /  - ","",_xlpm.x))</f>
        <v>安提瓜 (Antiqua) / 花神 - 波旁、卡杜拉</v>
      </c>
      <c r="AJ412" s="23" t="s">
        <v>676</v>
      </c>
      <c r="AK412" s="23"/>
    </row>
    <row r="413" spans="1:37" x14ac:dyDescent="0.3">
      <c r="A413">
        <v>396</v>
      </c>
      <c r="B413">
        <v>498.8</v>
      </c>
      <c r="D413">
        <v>48</v>
      </c>
      <c r="E413" t="str">
        <f>_xlfn.LET(_xlpm.x,_xlfn.XLOOKUP(D413,beans!$A$2:$A$300,beans!$H$2:$H$300,""),IF(_xlpm.x="","",_xlpm.x))</f>
        <v>墨西哥</v>
      </c>
      <c r="F413" s="22" t="str">
        <f>_xlfn.XLOOKUP(E413,menu!$A$2:$A$37,menu!$B$2:$B$37,"")</f>
        <v>Mexico</v>
      </c>
      <c r="G413" t="str">
        <f>_xlfn.XLOOKUP(E413,menu!$A$2:$A$37,menu!$C$2:$C$37,"")</f>
        <v>mex</v>
      </c>
      <c r="H413" t="str">
        <f>_xlfn.LET(_xlpm.x,_xlfn.XLOOKUP(_xlfn.XLOOKUP(D413,beans!$A$2:$A$300,beans!$I$2:$I$300),menu!$E$2:$E$20,menu!$F$2:$F$20),IF(_xlpm.x="","",_xlpm.x))</f>
        <v>natural</v>
      </c>
      <c r="I413">
        <v>220</v>
      </c>
      <c r="J413">
        <v>90</v>
      </c>
      <c r="K413">
        <v>30</v>
      </c>
      <c r="L413">
        <v>90</v>
      </c>
      <c r="M413" s="68" t="s">
        <v>207</v>
      </c>
      <c r="N413">
        <v>88.7</v>
      </c>
      <c r="P413" s="67" t="s">
        <v>649</v>
      </c>
      <c r="Q413" s="68">
        <v>205.9</v>
      </c>
      <c r="R413" s="67" t="s">
        <v>319</v>
      </c>
      <c r="S413" s="68">
        <v>218</v>
      </c>
      <c r="T413" s="68">
        <f t="shared" si="56"/>
        <v>12.099999999999994</v>
      </c>
      <c r="U413">
        <f t="shared" si="52"/>
        <v>82</v>
      </c>
      <c r="V413">
        <f t="shared" si="57"/>
        <v>8.9</v>
      </c>
      <c r="W413">
        <f t="shared" si="53"/>
        <v>12.56</v>
      </c>
      <c r="X413" s="19">
        <v>45627</v>
      </c>
      <c r="Y413" s="26">
        <v>424.5</v>
      </c>
      <c r="Z413" s="61">
        <v>0</v>
      </c>
      <c r="AA413" s="61">
        <v>0</v>
      </c>
      <c r="AB413" s="28">
        <f t="shared" si="54"/>
        <v>0.14895749799518848</v>
      </c>
      <c r="AE413" s="61" t="str">
        <f t="shared" si="55"/>
        <v/>
      </c>
      <c r="AF413" s="77" t="str">
        <f>_xlfn.XLOOKUP(AD413,menu!$K$2:$K$9,menu!$J$2:$J$9,"",1)</f>
        <v/>
      </c>
      <c r="AG413" s="80" t="str">
        <f>_xlfn.XLOOKUP(AH413,menu!$O$2:$O$9,menu!$H$2:$H$9,"")</f>
        <v/>
      </c>
      <c r="AI413" t="str">
        <f>_xlfn.LET(_xlpm.x,_xlfn.CONCAT(_xlfn.XLOOKUP(D413,beans!$A$2:$A$300,beans!$J$2:$J$300,"")," / ",_xlfn.XLOOKUP(D413,beans!$A$2:$A$300,beans!$K$2:$K$300,"")," - ",_xlfn.XLOOKUP(D413,beans!$A$2:$A$300,beans!$L$2:$L$300,"")),IF(_xlpm.x=" /  - ","",_xlpm.x))</f>
        <v>拉斯瑪格麗塔斯 /  - Pache</v>
      </c>
      <c r="AJ413" s="23" t="s">
        <v>680</v>
      </c>
    </row>
    <row r="414" spans="1:37" x14ac:dyDescent="0.3">
      <c r="A414">
        <v>397</v>
      </c>
      <c r="B414">
        <v>498.8</v>
      </c>
      <c r="D414">
        <v>56</v>
      </c>
      <c r="E414" t="str">
        <f>_xlfn.LET(_xlpm.x,_xlfn.XLOOKUP(D414,beans!$A$2:$A$300,beans!$H$2:$H$300,""),IF(_xlpm.x="","",_xlpm.x))</f>
        <v>肯亞</v>
      </c>
      <c r="F414" s="22" t="str">
        <f>_xlfn.XLOOKUP(E414,menu!$A$2:$A$37,menu!$B$2:$B$37,"")</f>
        <v>Kenya</v>
      </c>
      <c r="G414" t="str">
        <f>_xlfn.XLOOKUP(E414,menu!$A$2:$A$37,menu!$C$2:$C$37,"")</f>
        <v>ken</v>
      </c>
      <c r="H414" t="str">
        <f>_xlfn.LET(_xlpm.x,_xlfn.XLOOKUP(_xlfn.XLOOKUP(D414,beans!$A$2:$A$300,beans!$I$2:$I$300),menu!$E$2:$E$20,menu!$F$2:$F$20),IF(_xlpm.x="","",_xlpm.x))</f>
        <v>washed</v>
      </c>
      <c r="I414">
        <v>220</v>
      </c>
      <c r="J414">
        <v>90</v>
      </c>
      <c r="K414">
        <v>30</v>
      </c>
      <c r="L414">
        <v>90</v>
      </c>
      <c r="M414" s="68" t="s">
        <v>190</v>
      </c>
      <c r="N414">
        <v>89</v>
      </c>
      <c r="P414" s="67" t="s">
        <v>642</v>
      </c>
      <c r="Q414" s="68">
        <v>203.3</v>
      </c>
      <c r="R414" s="67" t="s">
        <v>484</v>
      </c>
      <c r="S414" s="68">
        <v>215.1</v>
      </c>
      <c r="T414" s="68">
        <f t="shared" si="56"/>
        <v>11.799999999999983</v>
      </c>
      <c r="U414">
        <f t="shared" si="52"/>
        <v>86</v>
      </c>
      <c r="V414">
        <f t="shared" si="57"/>
        <v>8.1999999999999993</v>
      </c>
      <c r="W414">
        <f t="shared" si="53"/>
        <v>13.37</v>
      </c>
      <c r="X414" s="19">
        <v>45627</v>
      </c>
      <c r="Y414" s="26">
        <v>420</v>
      </c>
      <c r="Z414" s="61">
        <v>0</v>
      </c>
      <c r="AB414" s="28">
        <f t="shared" si="54"/>
        <v>0.15797914995990378</v>
      </c>
      <c r="AE414" s="61" t="str">
        <f t="shared" si="55"/>
        <v/>
      </c>
      <c r="AF414" s="77" t="str">
        <f>_xlfn.XLOOKUP(AD414,menu!$K$2:$K$9,menu!$J$2:$J$9,"",1)</f>
        <v/>
      </c>
      <c r="AG414" s="80" t="str">
        <f>_xlfn.XLOOKUP(AH414,menu!$O$2:$O$9,menu!$H$2:$H$9,"")</f>
        <v/>
      </c>
      <c r="AI414" t="str">
        <f>_xlfn.LET(_xlpm.x,_xlfn.CONCAT(_xlfn.XLOOKUP(D414,beans!$A$2:$A$300,beans!$J$2:$J$300,"")," / ",_xlfn.XLOOKUP(D414,beans!$A$2:$A$300,beans!$K$2:$K$300,"")," - ",_xlfn.XLOOKUP(D414,beans!$A$2:$A$300,beans!$L$2:$L$300,"")),IF(_xlpm.x=" /  - ","",_xlpm.x))</f>
        <v xml:space="preserve">祁安布 / FAQ - </v>
      </c>
      <c r="AJ414" t="s">
        <v>681</v>
      </c>
    </row>
    <row r="415" spans="1:37" x14ac:dyDescent="0.3">
      <c r="A415">
        <v>398</v>
      </c>
      <c r="E415" t="str">
        <f>_xlfn.LET(_xlpm.x,_xlfn.XLOOKUP(D415,beans!$A$2:$A$300,beans!$H$2:$H$300,""),IF(_xlpm.x="","",_xlpm.x))</f>
        <v/>
      </c>
      <c r="F415" s="22" t="str">
        <f>_xlfn.XLOOKUP(E415,menu!$A$2:$A$37,menu!$B$2:$B$37,"")</f>
        <v/>
      </c>
      <c r="G415" t="str">
        <f>_xlfn.XLOOKUP(E415,menu!$A$2:$A$37,menu!$C$2:$C$37,"")</f>
        <v/>
      </c>
      <c r="H415" t="str">
        <f>_xlfn.LET(_xlpm.x,_xlfn.XLOOKUP(_xlfn.XLOOKUP(D415,beans!$A$2:$A$300,beans!$I$2:$I$300),menu!$E$2:$E$20,menu!$F$2:$F$20),IF(_xlpm.x="","",_xlpm.x))</f>
        <v/>
      </c>
      <c r="T415" s="68" t="str">
        <f t="shared" si="56"/>
        <v/>
      </c>
      <c r="U415" t="str">
        <f t="shared" si="52"/>
        <v/>
      </c>
      <c r="V415">
        <f t="shared" si="57"/>
        <v>0</v>
      </c>
      <c r="W415" t="str">
        <f t="shared" si="53"/>
        <v/>
      </c>
      <c r="X415" s="19">
        <v>45627</v>
      </c>
      <c r="Z415" s="61">
        <v>0</v>
      </c>
      <c r="AB415" s="28" t="str">
        <f t="shared" si="54"/>
        <v xml:space="preserve"> </v>
      </c>
      <c r="AE415" s="61" t="str">
        <f t="shared" si="55"/>
        <v/>
      </c>
      <c r="AF415" s="77" t="str">
        <f>_xlfn.XLOOKUP(AD415,menu!$K$2:$K$9,menu!$J$2:$J$9,"",1)</f>
        <v/>
      </c>
      <c r="AG415" s="80" t="str">
        <f>_xlfn.XLOOKUP(AH415,menu!$O$2:$O$9,menu!$H$2:$H$9,"")</f>
        <v/>
      </c>
      <c r="AI415" t="str">
        <f>_xlfn.LET(_xlpm.x,_xlfn.CONCAT(_xlfn.XLOOKUP(D415,beans!$A$2:$A$300,beans!$J$2:$J$300,"")," / ",_xlfn.XLOOKUP(D415,beans!$A$2:$A$300,beans!$K$2:$K$300,"")," - ",_xlfn.XLOOKUP(D415,beans!$A$2:$A$300,beans!$L$2:$L$300,"")),IF(_xlpm.x=" /  - ","",_xlpm.x))</f>
        <v/>
      </c>
      <c r="AJ415" s="23" t="s">
        <v>682</v>
      </c>
    </row>
    <row r="416" spans="1:37" x14ac:dyDescent="0.3">
      <c r="A416">
        <v>399</v>
      </c>
      <c r="E416" t="str">
        <f>_xlfn.LET(_xlpm.x,_xlfn.XLOOKUP(D416,beans!$A$2:$A$300,beans!$H$2:$H$300,""),IF(_xlpm.x="","",_xlpm.x))</f>
        <v/>
      </c>
      <c r="F416" s="22" t="str">
        <f>_xlfn.XLOOKUP(E416,menu!$A$2:$A$37,menu!$B$2:$B$37,"")</f>
        <v/>
      </c>
      <c r="G416" t="str">
        <f>_xlfn.XLOOKUP(E416,menu!$A$2:$A$37,menu!$C$2:$C$37,"")</f>
        <v/>
      </c>
      <c r="H416" t="str">
        <f>_xlfn.LET(_xlpm.x,_xlfn.XLOOKUP(_xlfn.XLOOKUP(D416,beans!$A$2:$A$300,beans!$I$2:$I$300),menu!$E$2:$E$20,menu!$F$2:$F$20),IF(_xlpm.x="","",_xlpm.x))</f>
        <v/>
      </c>
      <c r="T416" s="68" t="str">
        <f t="shared" si="56"/>
        <v/>
      </c>
      <c r="U416" t="str">
        <f t="shared" si="52"/>
        <v/>
      </c>
      <c r="V416">
        <f t="shared" si="57"/>
        <v>0</v>
      </c>
      <c r="W416" t="str">
        <f t="shared" si="53"/>
        <v/>
      </c>
      <c r="X416" s="19">
        <v>45627</v>
      </c>
      <c r="Z416" s="61">
        <v>0</v>
      </c>
      <c r="AB416" s="28" t="str">
        <f t="shared" si="54"/>
        <v xml:space="preserve"> </v>
      </c>
      <c r="AE416" s="61" t="str">
        <f t="shared" si="55"/>
        <v/>
      </c>
      <c r="AF416" s="77" t="str">
        <f>_xlfn.XLOOKUP(AD416,menu!$K$2:$K$9,menu!$J$2:$J$9,"",1)</f>
        <v/>
      </c>
      <c r="AG416" s="80" t="str">
        <f>_xlfn.XLOOKUP(AH416,menu!$O$2:$O$9,menu!$H$2:$H$9,"")</f>
        <v/>
      </c>
      <c r="AI416" t="str">
        <f>_xlfn.LET(_xlpm.x,_xlfn.CONCAT(_xlfn.XLOOKUP(D416,beans!$A$2:$A$300,beans!$J$2:$J$300,"")," / ",_xlfn.XLOOKUP(D416,beans!$A$2:$A$300,beans!$K$2:$K$300,"")," - ",_xlfn.XLOOKUP(D416,beans!$A$2:$A$300,beans!$L$2:$L$300,"")),IF(_xlpm.x=" /  - ","",_xlpm.x))</f>
        <v/>
      </c>
      <c r="AJ416" s="23" t="s">
        <v>682</v>
      </c>
    </row>
    <row r="417" spans="1:36" x14ac:dyDescent="0.3">
      <c r="A417">
        <v>400</v>
      </c>
      <c r="E417" t="str">
        <f>_xlfn.LET(_xlpm.x,_xlfn.XLOOKUP(D417,beans!$A$2:$A$300,beans!$H$2:$H$300,""),IF(_xlpm.x="","",_xlpm.x))</f>
        <v/>
      </c>
      <c r="F417" s="22" t="str">
        <f>_xlfn.XLOOKUP(E417,menu!$A$2:$A$37,menu!$B$2:$B$37,"")</f>
        <v/>
      </c>
      <c r="G417" t="str">
        <f>_xlfn.XLOOKUP(E417,menu!$A$2:$A$37,menu!$C$2:$C$37,"")</f>
        <v/>
      </c>
      <c r="H417" t="str">
        <f>_xlfn.LET(_xlpm.x,_xlfn.XLOOKUP(_xlfn.XLOOKUP(D417,beans!$A$2:$A$300,beans!$I$2:$I$300),menu!$E$2:$E$20,menu!$F$2:$F$20),IF(_xlpm.x="","",_xlpm.x))</f>
        <v/>
      </c>
      <c r="T417" s="68" t="str">
        <f t="shared" si="56"/>
        <v/>
      </c>
      <c r="U417" t="str">
        <f t="shared" si="52"/>
        <v/>
      </c>
      <c r="V417">
        <f t="shared" si="57"/>
        <v>0</v>
      </c>
      <c r="W417" t="str">
        <f t="shared" si="53"/>
        <v/>
      </c>
      <c r="X417" s="19">
        <v>45627</v>
      </c>
      <c r="Z417" s="61">
        <v>0</v>
      </c>
      <c r="AB417" s="28" t="str">
        <f t="shared" si="54"/>
        <v xml:space="preserve"> </v>
      </c>
      <c r="AE417" s="61" t="str">
        <f t="shared" si="55"/>
        <v/>
      </c>
      <c r="AF417" s="77" t="str">
        <f>_xlfn.XLOOKUP(AD417,menu!$K$2:$K$9,menu!$J$2:$J$9,"",1)</f>
        <v/>
      </c>
      <c r="AG417" s="80" t="str">
        <f>_xlfn.XLOOKUP(AH417,menu!$O$2:$O$9,menu!$H$2:$H$9,"")</f>
        <v/>
      </c>
      <c r="AI417" t="str">
        <f>_xlfn.LET(_xlpm.x,_xlfn.CONCAT(_xlfn.XLOOKUP(D417,beans!$A$2:$A$300,beans!$J$2:$J$300,"")," / ",_xlfn.XLOOKUP(D417,beans!$A$2:$A$300,beans!$K$2:$K$300,"")," - ",_xlfn.XLOOKUP(D417,beans!$A$2:$A$300,beans!$L$2:$L$300,"")),IF(_xlpm.x=" /  - ","",_xlpm.x))</f>
        <v/>
      </c>
      <c r="AJ417" s="23" t="s">
        <v>682</v>
      </c>
    </row>
    <row r="418" spans="1:36" x14ac:dyDescent="0.3">
      <c r="A418">
        <v>401</v>
      </c>
      <c r="E418" t="str">
        <f>_xlfn.LET(_xlpm.x,_xlfn.XLOOKUP(D418,beans!$A$2:$A$300,beans!$H$2:$H$300,""),IF(_xlpm.x="","",_xlpm.x))</f>
        <v/>
      </c>
      <c r="F418" s="22" t="str">
        <f>_xlfn.XLOOKUP(E418,menu!$A$2:$A$37,menu!$B$2:$B$37,"")</f>
        <v/>
      </c>
      <c r="G418" t="str">
        <f>_xlfn.XLOOKUP(E418,menu!$A$2:$A$37,menu!$C$2:$C$37,"")</f>
        <v/>
      </c>
      <c r="H418" t="str">
        <f>_xlfn.LET(_xlpm.x,_xlfn.XLOOKUP(_xlfn.XLOOKUP(D418,beans!$A$2:$A$300,beans!$I$2:$I$300),menu!$E$2:$E$20,menu!$F$2:$F$20),IF(_xlpm.x="","",_xlpm.x))</f>
        <v/>
      </c>
      <c r="T418" s="68" t="str">
        <f t="shared" si="56"/>
        <v/>
      </c>
      <c r="U418" t="str">
        <f t="shared" si="52"/>
        <v/>
      </c>
      <c r="V418">
        <f t="shared" si="57"/>
        <v>0</v>
      </c>
      <c r="W418" t="str">
        <f t="shared" si="53"/>
        <v/>
      </c>
      <c r="X418" s="19">
        <v>45627</v>
      </c>
      <c r="Z418" s="61">
        <v>0</v>
      </c>
      <c r="AB418" s="28" t="str">
        <f t="shared" si="54"/>
        <v xml:space="preserve"> </v>
      </c>
      <c r="AE418" s="61" t="str">
        <f t="shared" si="55"/>
        <v/>
      </c>
      <c r="AF418" s="77" t="str">
        <f>_xlfn.XLOOKUP(AD418,menu!$K$2:$K$9,menu!$J$2:$J$9,"",1)</f>
        <v/>
      </c>
      <c r="AG418" s="80" t="str">
        <f>_xlfn.XLOOKUP(AH418,menu!$O$2:$O$9,menu!$H$2:$H$9,"")</f>
        <v/>
      </c>
      <c r="AI418" t="str">
        <f>_xlfn.LET(_xlpm.x,_xlfn.CONCAT(_xlfn.XLOOKUP(D418,beans!$A$2:$A$300,beans!$J$2:$J$300,"")," / ",_xlfn.XLOOKUP(D418,beans!$A$2:$A$300,beans!$K$2:$K$300,"")," - ",_xlfn.XLOOKUP(D418,beans!$A$2:$A$300,beans!$L$2:$L$300,"")),IF(_xlpm.x=" /  - ","",_xlpm.x))</f>
        <v/>
      </c>
      <c r="AJ418" s="23" t="s">
        <v>682</v>
      </c>
    </row>
    <row r="419" spans="1:36" x14ac:dyDescent="0.3">
      <c r="A419">
        <v>402</v>
      </c>
      <c r="E419" t="str">
        <f>_xlfn.LET(_xlpm.x,_xlfn.XLOOKUP(D419,beans!$A$2:$A$300,beans!$H$2:$H$300,""),IF(_xlpm.x="","",_xlpm.x))</f>
        <v/>
      </c>
      <c r="F419" s="22" t="str">
        <f>_xlfn.XLOOKUP(E419,menu!$A$2:$A$37,menu!$B$2:$B$37,"")</f>
        <v/>
      </c>
      <c r="G419" t="str">
        <f>_xlfn.XLOOKUP(E419,menu!$A$2:$A$37,menu!$C$2:$C$37,"")</f>
        <v/>
      </c>
      <c r="H419" t="str">
        <f>_xlfn.LET(_xlpm.x,_xlfn.XLOOKUP(_xlfn.XLOOKUP(D419,beans!$A$2:$A$300,beans!$I$2:$I$300),menu!$E$2:$E$20,menu!$F$2:$F$20),IF(_xlpm.x="","",_xlpm.x))</f>
        <v/>
      </c>
      <c r="T419" s="68" t="str">
        <f t="shared" si="56"/>
        <v/>
      </c>
      <c r="U419" t="str">
        <f t="shared" si="52"/>
        <v/>
      </c>
      <c r="V419">
        <f t="shared" si="57"/>
        <v>0</v>
      </c>
      <c r="W419" t="str">
        <f t="shared" si="53"/>
        <v/>
      </c>
      <c r="X419" s="19">
        <v>45627</v>
      </c>
      <c r="Z419" s="61">
        <v>0</v>
      </c>
      <c r="AB419" s="28" t="str">
        <f t="shared" si="54"/>
        <v xml:space="preserve"> </v>
      </c>
      <c r="AE419" s="61" t="str">
        <f t="shared" si="55"/>
        <v/>
      </c>
      <c r="AF419" s="77" t="str">
        <f>_xlfn.XLOOKUP(AD419,menu!$K$2:$K$9,menu!$J$2:$J$9,"",1)</f>
        <v/>
      </c>
      <c r="AG419" s="80" t="str">
        <f>_xlfn.XLOOKUP(AH419,menu!$O$2:$O$9,menu!$H$2:$H$9,"")</f>
        <v/>
      </c>
      <c r="AI419" t="str">
        <f>_xlfn.LET(_xlpm.x,_xlfn.CONCAT(_xlfn.XLOOKUP(D419,beans!$A$2:$A$300,beans!$J$2:$J$300,"")," / ",_xlfn.XLOOKUP(D419,beans!$A$2:$A$300,beans!$K$2:$K$300,"")," - ",_xlfn.XLOOKUP(D419,beans!$A$2:$A$300,beans!$L$2:$L$300,"")),IF(_xlpm.x=" /  - ","",_xlpm.x))</f>
        <v/>
      </c>
      <c r="AJ419" s="23" t="s">
        <v>682</v>
      </c>
    </row>
    <row r="420" spans="1:36" x14ac:dyDescent="0.3">
      <c r="A420">
        <v>403</v>
      </c>
      <c r="E420" t="str">
        <f>_xlfn.LET(_xlpm.x,_xlfn.XLOOKUP(D420,beans!$A$2:$A$300,beans!$H$2:$H$300,""),IF(_xlpm.x="","",_xlpm.x))</f>
        <v/>
      </c>
      <c r="F420" s="22" t="str">
        <f>_xlfn.XLOOKUP(E420,menu!$A$2:$A$37,menu!$B$2:$B$37,"")</f>
        <v/>
      </c>
      <c r="G420" t="str">
        <f>_xlfn.XLOOKUP(E420,menu!$A$2:$A$37,menu!$C$2:$C$37,"")</f>
        <v/>
      </c>
      <c r="H420" t="str">
        <f>_xlfn.LET(_xlpm.x,_xlfn.XLOOKUP(_xlfn.XLOOKUP(D420,beans!$A$2:$A$300,beans!$I$2:$I$300),menu!$E$2:$E$20,menu!$F$2:$F$20),IF(_xlpm.x="","",_xlpm.x))</f>
        <v/>
      </c>
      <c r="T420" s="68" t="str">
        <f t="shared" si="56"/>
        <v/>
      </c>
      <c r="U420" t="str">
        <f t="shared" si="52"/>
        <v/>
      </c>
      <c r="V420">
        <f t="shared" si="57"/>
        <v>0</v>
      </c>
      <c r="W420" t="str">
        <f t="shared" si="53"/>
        <v/>
      </c>
      <c r="X420" s="19">
        <v>45627</v>
      </c>
      <c r="Z420" s="61">
        <v>0</v>
      </c>
      <c r="AB420" s="28" t="str">
        <f t="shared" si="54"/>
        <v xml:space="preserve"> </v>
      </c>
      <c r="AE420" s="61" t="str">
        <f t="shared" si="55"/>
        <v/>
      </c>
      <c r="AF420" s="77" t="str">
        <f>_xlfn.XLOOKUP(AD420,menu!$K$2:$K$9,menu!$J$2:$J$9,"",1)</f>
        <v/>
      </c>
      <c r="AG420" s="80" t="str">
        <f>_xlfn.XLOOKUP(AH420,menu!$O$2:$O$9,menu!$H$2:$H$9,"")</f>
        <v/>
      </c>
      <c r="AI420" t="str">
        <f>_xlfn.LET(_xlpm.x,_xlfn.CONCAT(_xlfn.XLOOKUP(D420,beans!$A$2:$A$300,beans!$J$2:$J$300,"")," / ",_xlfn.XLOOKUP(D420,beans!$A$2:$A$300,beans!$K$2:$K$300,"")," - ",_xlfn.XLOOKUP(D420,beans!$A$2:$A$300,beans!$L$2:$L$300,"")),IF(_xlpm.x=" /  - ","",_xlpm.x))</f>
        <v/>
      </c>
      <c r="AJ420" s="23" t="s">
        <v>682</v>
      </c>
    </row>
    <row r="421" spans="1:36" x14ac:dyDescent="0.3">
      <c r="A421">
        <v>404</v>
      </c>
      <c r="E421" t="str">
        <f>_xlfn.LET(_xlpm.x,_xlfn.XLOOKUP(D421,beans!$A$2:$A$300,beans!$H$2:$H$300,""),IF(_xlpm.x="","",_xlpm.x))</f>
        <v/>
      </c>
      <c r="F421" s="22" t="str">
        <f>_xlfn.XLOOKUP(E421,menu!$A$2:$A$37,menu!$B$2:$B$37,"")</f>
        <v/>
      </c>
      <c r="G421" t="str">
        <f>_xlfn.XLOOKUP(E421,menu!$A$2:$A$37,menu!$C$2:$C$37,"")</f>
        <v/>
      </c>
      <c r="H421" t="str">
        <f>_xlfn.LET(_xlpm.x,_xlfn.XLOOKUP(_xlfn.XLOOKUP(D421,beans!$A$2:$A$300,beans!$I$2:$I$300),menu!$E$2:$E$20,menu!$F$2:$F$20),IF(_xlpm.x="","",_xlpm.x))</f>
        <v/>
      </c>
      <c r="T421" s="68" t="str">
        <f t="shared" si="56"/>
        <v/>
      </c>
      <c r="U421" t="str">
        <f t="shared" si="52"/>
        <v/>
      </c>
      <c r="V421">
        <f t="shared" si="57"/>
        <v>0</v>
      </c>
      <c r="W421" t="str">
        <f t="shared" si="53"/>
        <v/>
      </c>
      <c r="X421" s="19">
        <v>45627</v>
      </c>
      <c r="Z421" s="61">
        <v>0</v>
      </c>
      <c r="AB421" s="28" t="str">
        <f t="shared" si="54"/>
        <v xml:space="preserve"> </v>
      </c>
      <c r="AE421" s="61" t="str">
        <f t="shared" si="55"/>
        <v/>
      </c>
      <c r="AF421" s="77" t="str">
        <f>_xlfn.XLOOKUP(AD421,menu!$K$2:$K$9,menu!$J$2:$J$9,"",1)</f>
        <v/>
      </c>
      <c r="AG421" s="80" t="str">
        <f>_xlfn.XLOOKUP(AH421,menu!$O$2:$O$9,menu!$H$2:$H$9,"")</f>
        <v/>
      </c>
      <c r="AI421" t="str">
        <f>_xlfn.LET(_xlpm.x,_xlfn.CONCAT(_xlfn.XLOOKUP(D421,beans!$A$2:$A$300,beans!$J$2:$J$300,"")," / ",_xlfn.XLOOKUP(D421,beans!$A$2:$A$300,beans!$K$2:$K$300,"")," - ",_xlfn.XLOOKUP(D421,beans!$A$2:$A$300,beans!$L$2:$L$300,"")),IF(_xlpm.x=" /  - ","",_xlpm.x))</f>
        <v/>
      </c>
      <c r="AJ421" s="23" t="s">
        <v>682</v>
      </c>
    </row>
    <row r="422" spans="1:36" x14ac:dyDescent="0.3">
      <c r="A422">
        <v>405</v>
      </c>
      <c r="E422" t="str">
        <f>_xlfn.LET(_xlpm.x,_xlfn.XLOOKUP(D422,beans!$A$2:$A$300,beans!$H$2:$H$300,""),IF(_xlpm.x="","",_xlpm.x))</f>
        <v/>
      </c>
      <c r="F422" s="22" t="str">
        <f>_xlfn.XLOOKUP(E422,menu!$A$2:$A$37,menu!$B$2:$B$37,"")</f>
        <v/>
      </c>
      <c r="G422" t="str">
        <f>_xlfn.XLOOKUP(E422,menu!$A$2:$A$37,menu!$C$2:$C$37,"")</f>
        <v/>
      </c>
      <c r="H422" t="str">
        <f>_xlfn.LET(_xlpm.x,_xlfn.XLOOKUP(_xlfn.XLOOKUP(D422,beans!$A$2:$A$300,beans!$I$2:$I$300),menu!$E$2:$E$20,menu!$F$2:$F$20),IF(_xlpm.x="","",_xlpm.x))</f>
        <v/>
      </c>
      <c r="T422" s="68" t="str">
        <f t="shared" si="56"/>
        <v/>
      </c>
      <c r="U422" t="str">
        <f t="shared" si="52"/>
        <v/>
      </c>
      <c r="V422">
        <f t="shared" si="57"/>
        <v>0</v>
      </c>
      <c r="W422" t="str">
        <f t="shared" si="53"/>
        <v/>
      </c>
      <c r="X422" s="19">
        <v>45627</v>
      </c>
      <c r="Z422" s="61">
        <v>0</v>
      </c>
      <c r="AB422" s="28" t="str">
        <f t="shared" si="54"/>
        <v xml:space="preserve"> </v>
      </c>
      <c r="AE422" s="61" t="str">
        <f t="shared" si="55"/>
        <v/>
      </c>
      <c r="AF422" s="77" t="str">
        <f>_xlfn.XLOOKUP(AD422,menu!$K$2:$K$9,menu!$J$2:$J$9,"",1)</f>
        <v/>
      </c>
      <c r="AG422" s="80" t="str">
        <f>_xlfn.XLOOKUP(AH422,menu!$O$2:$O$9,menu!$H$2:$H$9,"")</f>
        <v/>
      </c>
      <c r="AI422" t="str">
        <f>_xlfn.LET(_xlpm.x,_xlfn.CONCAT(_xlfn.XLOOKUP(D422,beans!$A$2:$A$300,beans!$J$2:$J$300,"")," / ",_xlfn.XLOOKUP(D422,beans!$A$2:$A$300,beans!$K$2:$K$300,"")," - ",_xlfn.XLOOKUP(D422,beans!$A$2:$A$300,beans!$L$2:$L$300,"")),IF(_xlpm.x=" /  - ","",_xlpm.x))</f>
        <v/>
      </c>
      <c r="AJ422" s="23" t="s">
        <v>682</v>
      </c>
    </row>
    <row r="423" spans="1:36" x14ac:dyDescent="0.3">
      <c r="A423">
        <v>406</v>
      </c>
      <c r="E423" t="str">
        <f>_xlfn.LET(_xlpm.x,_xlfn.XLOOKUP(D423,beans!$A$2:$A$300,beans!$H$2:$H$300,""),IF(_xlpm.x="","",_xlpm.x))</f>
        <v/>
      </c>
      <c r="F423" s="22" t="str">
        <f>_xlfn.XLOOKUP(E423,menu!$A$2:$A$37,menu!$B$2:$B$37,"")</f>
        <v/>
      </c>
      <c r="G423" t="str">
        <f>_xlfn.XLOOKUP(E423,menu!$A$2:$A$37,menu!$C$2:$C$37,"")</f>
        <v/>
      </c>
      <c r="H423" t="str">
        <f>_xlfn.LET(_xlpm.x,_xlfn.XLOOKUP(_xlfn.XLOOKUP(D423,beans!$A$2:$A$300,beans!$I$2:$I$300),menu!$E$2:$E$20,menu!$F$2:$F$20),IF(_xlpm.x="","",_xlpm.x))</f>
        <v/>
      </c>
      <c r="T423" s="68" t="str">
        <f t="shared" si="56"/>
        <v/>
      </c>
      <c r="U423" t="str">
        <f t="shared" si="52"/>
        <v/>
      </c>
      <c r="V423">
        <f t="shared" si="57"/>
        <v>0</v>
      </c>
      <c r="W423" t="str">
        <f t="shared" si="53"/>
        <v/>
      </c>
      <c r="X423" s="19">
        <v>45627</v>
      </c>
      <c r="Z423" s="61">
        <v>0</v>
      </c>
      <c r="AB423" s="28" t="str">
        <f t="shared" si="54"/>
        <v xml:space="preserve"> </v>
      </c>
      <c r="AE423" s="61" t="str">
        <f t="shared" si="55"/>
        <v/>
      </c>
      <c r="AF423" s="77" t="str">
        <f>_xlfn.XLOOKUP(AD423,menu!$K$2:$K$9,menu!$J$2:$J$9,"",1)</f>
        <v/>
      </c>
      <c r="AG423" s="80" t="str">
        <f>_xlfn.XLOOKUP(AH423,menu!$O$2:$O$9,menu!$H$2:$H$9,"")</f>
        <v/>
      </c>
      <c r="AI423" t="str">
        <f>_xlfn.LET(_xlpm.x,_xlfn.CONCAT(_xlfn.XLOOKUP(D423,beans!$A$2:$A$300,beans!$J$2:$J$300,"")," / ",_xlfn.XLOOKUP(D423,beans!$A$2:$A$300,beans!$K$2:$K$300,"")," - ",_xlfn.XLOOKUP(D423,beans!$A$2:$A$300,beans!$L$2:$L$300,"")),IF(_xlpm.x=" /  - ","",_xlpm.x))</f>
        <v/>
      </c>
      <c r="AJ423" s="23" t="s">
        <v>682</v>
      </c>
    </row>
    <row r="424" spans="1:36" x14ac:dyDescent="0.3">
      <c r="A424">
        <v>407</v>
      </c>
      <c r="E424" t="str">
        <f>_xlfn.LET(_xlpm.x,_xlfn.XLOOKUP(D424,beans!$A$2:$A$300,beans!$H$2:$H$300,""),IF(_xlpm.x="","",_xlpm.x))</f>
        <v/>
      </c>
      <c r="F424" s="22" t="str">
        <f>_xlfn.XLOOKUP(E424,menu!$A$2:$A$37,menu!$B$2:$B$37,"")</f>
        <v/>
      </c>
      <c r="G424" t="str">
        <f>_xlfn.XLOOKUP(E424,menu!$A$2:$A$37,menu!$C$2:$C$37,"")</f>
        <v/>
      </c>
      <c r="H424" t="str">
        <f>_xlfn.LET(_xlpm.x,_xlfn.XLOOKUP(_xlfn.XLOOKUP(D424,beans!$A$2:$A$300,beans!$I$2:$I$300),menu!$E$2:$E$20,menu!$F$2:$F$20),IF(_xlpm.x="","",_xlpm.x))</f>
        <v/>
      </c>
      <c r="T424" s="68" t="str">
        <f t="shared" si="56"/>
        <v/>
      </c>
      <c r="U424" t="str">
        <f t="shared" si="52"/>
        <v/>
      </c>
      <c r="V424">
        <f t="shared" si="57"/>
        <v>0</v>
      </c>
      <c r="W424" t="str">
        <f t="shared" si="53"/>
        <v/>
      </c>
      <c r="X424" s="19">
        <v>45627</v>
      </c>
      <c r="Z424" s="61">
        <v>0</v>
      </c>
      <c r="AB424" s="28" t="str">
        <f t="shared" si="54"/>
        <v xml:space="preserve"> </v>
      </c>
      <c r="AE424" s="61" t="str">
        <f t="shared" si="55"/>
        <v/>
      </c>
      <c r="AF424" s="77" t="str">
        <f>_xlfn.XLOOKUP(AD424,menu!$K$2:$K$9,menu!$J$2:$J$9,"",1)</f>
        <v/>
      </c>
      <c r="AG424" s="80" t="str">
        <f>_xlfn.XLOOKUP(AH424,menu!$O$2:$O$9,menu!$H$2:$H$9,"")</f>
        <v/>
      </c>
      <c r="AI424" t="str">
        <f>_xlfn.LET(_xlpm.x,_xlfn.CONCAT(_xlfn.XLOOKUP(D424,beans!$A$2:$A$300,beans!$J$2:$J$300,"")," / ",_xlfn.XLOOKUP(D424,beans!$A$2:$A$300,beans!$K$2:$K$300,"")," - ",_xlfn.XLOOKUP(D424,beans!$A$2:$A$300,beans!$L$2:$L$300,"")),IF(_xlpm.x=" /  - ","",_xlpm.x))</f>
        <v/>
      </c>
      <c r="AJ424" s="23" t="s">
        <v>682</v>
      </c>
    </row>
    <row r="425" spans="1:36" x14ac:dyDescent="0.3">
      <c r="A425">
        <v>408</v>
      </c>
      <c r="B425">
        <v>492.7</v>
      </c>
      <c r="D425">
        <v>47</v>
      </c>
      <c r="E425" t="str">
        <f>_xlfn.LET(_xlpm.x,_xlfn.XLOOKUP(D425,beans!$A$2:$A$300,beans!$H$2:$H$300,""),IF(_xlpm.x="","",_xlpm.x))</f>
        <v>衣索比亞</v>
      </c>
      <c r="F425" s="22" t="str">
        <f>_xlfn.XLOOKUP(E425,menu!$A$2:$A$37,menu!$B$2:$B$37,"")</f>
        <v>Ethiopia</v>
      </c>
      <c r="G425" t="str">
        <f>_xlfn.XLOOKUP(E425,menu!$A$2:$A$37,menu!$C$2:$C$37,"")</f>
        <v>eth</v>
      </c>
      <c r="H425" t="str">
        <f>_xlfn.LET(_xlpm.x,_xlfn.XLOOKUP(_xlfn.XLOOKUP(D425,beans!$A$2:$A$300,beans!$I$2:$I$300),menu!$E$2:$E$20,menu!$F$2:$F$20),IF(_xlpm.x="","",_xlpm.x))</f>
        <v>washed</v>
      </c>
      <c r="I425">
        <v>210</v>
      </c>
      <c r="J425">
        <v>90</v>
      </c>
      <c r="K425">
        <v>30</v>
      </c>
      <c r="L425">
        <v>90</v>
      </c>
      <c r="M425" s="68" t="s">
        <v>188</v>
      </c>
      <c r="N425">
        <v>85.1</v>
      </c>
      <c r="P425" s="67" t="s">
        <v>638</v>
      </c>
      <c r="Q425" s="68">
        <v>200.8</v>
      </c>
      <c r="R425" s="67" t="s">
        <v>531</v>
      </c>
      <c r="S425" s="68">
        <v>210.5</v>
      </c>
      <c r="T425" s="68">
        <f t="shared" si="56"/>
        <v>9.6999999999999886</v>
      </c>
      <c r="U425">
        <f t="shared" si="52"/>
        <v>63</v>
      </c>
      <c r="V425">
        <f t="shared" si="57"/>
        <v>9.1999999999999993</v>
      </c>
      <c r="W425">
        <f t="shared" si="53"/>
        <v>9.7799999999999994</v>
      </c>
      <c r="X425" s="19">
        <v>45630</v>
      </c>
      <c r="Y425" s="26">
        <v>420.5</v>
      </c>
      <c r="Z425" s="61">
        <v>0</v>
      </c>
      <c r="AB425" s="28">
        <f t="shared" si="54"/>
        <v>0.14653947635477976</v>
      </c>
      <c r="AE425" s="61" t="str">
        <f t="shared" si="55"/>
        <v/>
      </c>
      <c r="AF425" s="77" t="str">
        <f>_xlfn.XLOOKUP(AD425,menu!$K$2:$K$9,menu!$J$2:$J$9,"",1)</f>
        <v/>
      </c>
      <c r="AG425" s="80" t="str">
        <f>_xlfn.XLOOKUP(AH425,menu!$O$2:$O$9,menu!$H$2:$H$9,"")</f>
        <v/>
      </c>
      <c r="AI425" t="str">
        <f>_xlfn.LET(_xlpm.x,_xlfn.CONCAT(_xlfn.XLOOKUP(D425,beans!$A$2:$A$300,beans!$J$2:$J$300,"")," / ",_xlfn.XLOOKUP(D425,beans!$A$2:$A$300,beans!$K$2:$K$300,"")," - ",_xlfn.XLOOKUP(D425,beans!$A$2:$A$300,beans!$L$2:$L$300,"")),IF(_xlpm.x=" /  - ","",_xlpm.x))</f>
        <v>吉馬莉姆 / 果美村 - 寶貝藝妓</v>
      </c>
      <c r="AJ425" s="23" t="s">
        <v>683</v>
      </c>
    </row>
    <row r="426" spans="1:36" x14ac:dyDescent="0.3">
      <c r="A426">
        <v>409</v>
      </c>
      <c r="B426">
        <v>496.7</v>
      </c>
      <c r="D426">
        <v>81</v>
      </c>
      <c r="E426" t="str">
        <f>_xlfn.LET(_xlpm.x,_xlfn.XLOOKUP(D426,beans!$A$2:$A$300,beans!$H$2:$H$300,""),IF(_xlpm.x="","",_xlpm.x))</f>
        <v>薩爾瓦多</v>
      </c>
      <c r="F426" s="22" t="str">
        <f>_xlfn.XLOOKUP(E426,menu!$A$2:$A$37,menu!$B$2:$B$37,"")</f>
        <v>Salvador</v>
      </c>
      <c r="G426" t="str">
        <f>_xlfn.XLOOKUP(E426,menu!$A$2:$A$37,menu!$C$2:$C$37,"")</f>
        <v>slv</v>
      </c>
      <c r="H426" t="str">
        <f>_xlfn.LET(_xlpm.x,_xlfn.XLOOKUP(_xlfn.XLOOKUP(D426,beans!$A$2:$A$300,beans!$I$2:$I$300),menu!$E$2:$E$20,menu!$F$2:$F$20),IF(_xlpm.x="","",_xlpm.x))</f>
        <v>natural</v>
      </c>
      <c r="I426">
        <v>210</v>
      </c>
      <c r="J426">
        <v>90</v>
      </c>
      <c r="K426">
        <v>30</v>
      </c>
      <c r="L426">
        <v>90</v>
      </c>
      <c r="M426" s="68" t="s">
        <v>207</v>
      </c>
      <c r="N426">
        <v>85.9</v>
      </c>
      <c r="P426" s="67" t="s">
        <v>547</v>
      </c>
      <c r="Q426" s="68">
        <v>202.4</v>
      </c>
      <c r="R426" s="67" t="s">
        <v>424</v>
      </c>
      <c r="S426" s="68">
        <v>226.5</v>
      </c>
      <c r="T426" s="68">
        <f t="shared" si="56"/>
        <v>24.099999999999994</v>
      </c>
      <c r="U426">
        <f t="shared" si="52"/>
        <v>132</v>
      </c>
      <c r="V426">
        <f t="shared" si="57"/>
        <v>11</v>
      </c>
      <c r="W426">
        <f t="shared" si="53"/>
        <v>19.670000000000002</v>
      </c>
      <c r="X426" s="19">
        <v>45630</v>
      </c>
      <c r="Y426" s="26">
        <v>414.1</v>
      </c>
      <c r="Z426" s="61">
        <v>0</v>
      </c>
      <c r="AB426" s="28">
        <f t="shared" si="54"/>
        <v>0.16629756392188438</v>
      </c>
      <c r="AE426" s="61" t="str">
        <f t="shared" si="55"/>
        <v/>
      </c>
      <c r="AF426" s="77" t="str">
        <f>_xlfn.XLOOKUP(AD426,menu!$K$2:$K$9,menu!$J$2:$J$9,"",1)</f>
        <v/>
      </c>
      <c r="AG426" s="80" t="str">
        <f>_xlfn.XLOOKUP(AH426,menu!$O$2:$O$9,menu!$H$2:$H$9,"")</f>
        <v/>
      </c>
      <c r="AI426" t="str">
        <f>_xlfn.LET(_xlpm.x,_xlfn.CONCAT(_xlfn.XLOOKUP(D426,beans!$A$2:$A$300,beans!$J$2:$J$300,"")," / ",_xlfn.XLOOKUP(D426,beans!$A$2:$A$300,beans!$K$2:$K$300,"")," - ",_xlfn.XLOOKUP(D426,beans!$A$2:$A$300,beans!$L$2:$L$300,"")),IF(_xlpm.x=" /  - ","",_xlpm.x))</f>
        <v xml:space="preserve"> / 巧克力情人 - 波旁</v>
      </c>
      <c r="AJ426" s="23" t="s">
        <v>684</v>
      </c>
    </row>
    <row r="427" spans="1:36" x14ac:dyDescent="0.3">
      <c r="A427">
        <v>410</v>
      </c>
      <c r="B427">
        <v>500</v>
      </c>
      <c r="D427">
        <v>32</v>
      </c>
      <c r="E427" t="str">
        <f>_xlfn.LET(_xlpm.x,_xlfn.XLOOKUP(D427,beans!$A$2:$A$300,beans!$H$2:$H$300,""),IF(_xlpm.x="","",_xlpm.x))</f>
        <v>哥倫比亞</v>
      </c>
      <c r="F427" s="22" t="str">
        <f>_xlfn.XLOOKUP(E427,menu!$A$2:$A$37,menu!$B$2:$B$37,"")</f>
        <v>Colombia</v>
      </c>
      <c r="G427" t="str">
        <f>_xlfn.XLOOKUP(E427,menu!$A$2:$A$37,menu!$C$2:$C$37,"")</f>
        <v>col</v>
      </c>
      <c r="H427" t="str">
        <f>_xlfn.LET(_xlpm.x,_xlfn.XLOOKUP(_xlfn.XLOOKUP(D427,beans!$A$2:$A$300,beans!$I$2:$I$300),menu!$E$2:$E$20,menu!$F$2:$F$20),IF(_xlpm.x="","",_xlpm.x))</f>
        <v>semi-washed</v>
      </c>
      <c r="I427">
        <v>210</v>
      </c>
      <c r="J427">
        <v>90</v>
      </c>
      <c r="K427">
        <v>30</v>
      </c>
      <c r="L427">
        <v>90</v>
      </c>
      <c r="M427" s="68" t="s">
        <v>121</v>
      </c>
      <c r="N427">
        <v>86.9</v>
      </c>
      <c r="P427" s="67" t="s">
        <v>634</v>
      </c>
      <c r="Q427" s="68">
        <v>203.9</v>
      </c>
      <c r="R427" s="67" t="s">
        <v>570</v>
      </c>
      <c r="S427" s="68">
        <v>214.8</v>
      </c>
      <c r="T427" s="68">
        <f t="shared" si="56"/>
        <v>10.900000000000006</v>
      </c>
      <c r="U427">
        <f t="shared" si="52"/>
        <v>73</v>
      </c>
      <c r="V427">
        <f t="shared" si="57"/>
        <v>9</v>
      </c>
      <c r="W427">
        <f t="shared" si="53"/>
        <v>11.87</v>
      </c>
      <c r="X427" s="19">
        <v>45630</v>
      </c>
      <c r="Y427" s="26">
        <v>428.6</v>
      </c>
      <c r="Z427" s="61">
        <v>0</v>
      </c>
      <c r="AB427" s="28">
        <f t="shared" si="54"/>
        <v>0.14279999999999995</v>
      </c>
      <c r="AE427" s="61" t="str">
        <f t="shared" si="55"/>
        <v/>
      </c>
      <c r="AF427" s="77" t="str">
        <f>_xlfn.XLOOKUP(AD427,menu!$K$2:$K$9,menu!$J$2:$J$9,"",1)</f>
        <v/>
      </c>
      <c r="AG427" s="80" t="str">
        <f>_xlfn.XLOOKUP(AH427,menu!$O$2:$O$9,menu!$H$2:$H$9,"")</f>
        <v/>
      </c>
      <c r="AI427" t="str">
        <f>_xlfn.LET(_xlpm.x,_xlfn.CONCAT(_xlfn.XLOOKUP(D427,beans!$A$2:$A$300,beans!$J$2:$J$300,"")," / ",_xlfn.XLOOKUP(D427,beans!$A$2:$A$300,beans!$K$2:$K$300,"")," - ",_xlfn.XLOOKUP(D427,beans!$A$2:$A$300,beans!$L$2:$L$300,"")),IF(_xlpm.x=" /  - ","",_xlpm.x))</f>
        <v>Huila, Pitalito / 薇拉 粉紅佳人 - Pink Bourbon</v>
      </c>
      <c r="AJ427" s="23" t="s">
        <v>685</v>
      </c>
    </row>
    <row r="428" spans="1:36" x14ac:dyDescent="0.3">
      <c r="A428">
        <v>411</v>
      </c>
      <c r="B428">
        <v>484</v>
      </c>
      <c r="D428">
        <v>11</v>
      </c>
      <c r="E428" t="str">
        <f>_xlfn.LET(_xlpm.x,_xlfn.XLOOKUP(D428,beans!$A$2:$A$300,beans!$H$2:$H$300,""),IF(_xlpm.x="","",_xlpm.x))</f>
        <v>衣索比亞</v>
      </c>
      <c r="F428" s="22" t="str">
        <f>_xlfn.XLOOKUP(E428,menu!$A$2:$A$37,menu!$B$2:$B$37,"")</f>
        <v>Ethiopia</v>
      </c>
      <c r="G428" t="str">
        <f>_xlfn.XLOOKUP(E428,menu!$A$2:$A$37,menu!$C$2:$C$37,"")</f>
        <v>eth</v>
      </c>
      <c r="H428" t="str">
        <f>_xlfn.LET(_xlpm.x,_xlfn.XLOOKUP(_xlfn.XLOOKUP(D428,beans!$A$2:$A$300,beans!$I$2:$I$300),menu!$E$2:$E$20,menu!$F$2:$F$20),IF(_xlpm.x="","",_xlpm.x))</f>
        <v>natural</v>
      </c>
      <c r="I428">
        <v>210</v>
      </c>
      <c r="J428">
        <v>90</v>
      </c>
      <c r="K428">
        <v>30</v>
      </c>
      <c r="L428">
        <v>90</v>
      </c>
      <c r="M428" s="68" t="s">
        <v>160</v>
      </c>
      <c r="N428">
        <v>88.4</v>
      </c>
      <c r="P428" s="67" t="s">
        <v>558</v>
      </c>
      <c r="Q428" s="68">
        <v>206</v>
      </c>
      <c r="R428" s="67" t="s">
        <v>91</v>
      </c>
      <c r="S428" s="68">
        <v>215.9</v>
      </c>
      <c r="T428" s="68">
        <f t="shared" si="56"/>
        <v>9.9000000000000057</v>
      </c>
      <c r="U428">
        <f t="shared" si="52"/>
        <v>56</v>
      </c>
      <c r="V428">
        <f t="shared" si="57"/>
        <v>10.6</v>
      </c>
      <c r="W428">
        <f t="shared" si="53"/>
        <v>9.06</v>
      </c>
      <c r="X428" s="19">
        <v>45630</v>
      </c>
      <c r="Y428" s="26">
        <v>416.7</v>
      </c>
      <c r="Z428" s="61">
        <v>0</v>
      </c>
      <c r="AB428" s="28">
        <f t="shared" si="54"/>
        <v>0.13904958677685952</v>
      </c>
      <c r="AE428" s="61" t="str">
        <f t="shared" si="55"/>
        <v/>
      </c>
      <c r="AF428" s="77" t="str">
        <f>_xlfn.XLOOKUP(AD428,menu!$K$2:$K$9,menu!$J$2:$J$9,"",1)</f>
        <v/>
      </c>
      <c r="AG428" s="80" t="str">
        <f>_xlfn.XLOOKUP(AH428,menu!$O$2:$O$9,menu!$H$2:$H$9,"")</f>
        <v/>
      </c>
      <c r="AI428" t="str">
        <f>_xlfn.LET(_xlpm.x,_xlfn.CONCAT(_xlfn.XLOOKUP(D428,beans!$A$2:$A$300,beans!$J$2:$J$300,"")," / ",_xlfn.XLOOKUP(D428,beans!$A$2:$A$300,beans!$K$2:$K$300,"")," - ",_xlfn.XLOOKUP(D428,beans!$A$2:$A$300,beans!$L$2:$L$300,"")),IF(_xlpm.x=" /  - ","",_xlpm.x))</f>
        <v>班奇 馬吉 / 格林藝妓森林 - Gori Geisha Forest</v>
      </c>
      <c r="AJ428" s="23" t="s">
        <v>686</v>
      </c>
    </row>
    <row r="429" spans="1:36" x14ac:dyDescent="0.3">
      <c r="A429">
        <v>412</v>
      </c>
      <c r="B429">
        <v>500</v>
      </c>
      <c r="D429">
        <v>60</v>
      </c>
      <c r="E429" t="str">
        <f>_xlfn.LET(_xlpm.x,_xlfn.XLOOKUP(D429,beans!$A$2:$A$300,beans!$H$2:$H$300,""),IF(_xlpm.x="","",_xlpm.x))</f>
        <v>肯亞</v>
      </c>
      <c r="F429" s="22" t="str">
        <f>_xlfn.XLOOKUP(E429,menu!$A$2:$A$37,menu!$B$2:$B$37,"")</f>
        <v>Kenya</v>
      </c>
      <c r="G429" t="str">
        <f>_xlfn.XLOOKUP(E429,menu!$A$2:$A$37,menu!$C$2:$C$37,"")</f>
        <v>ken</v>
      </c>
      <c r="H429" t="str">
        <f>_xlfn.LET(_xlpm.x,_xlfn.XLOOKUP(_xlfn.XLOOKUP(D429,beans!$A$2:$A$300,beans!$I$2:$I$300),menu!$E$2:$E$20,menu!$F$2:$F$20),IF(_xlpm.x="","",_xlpm.x))</f>
        <v>washed</v>
      </c>
      <c r="I429">
        <v>210</v>
      </c>
      <c r="J429">
        <v>90</v>
      </c>
      <c r="K429">
        <v>30</v>
      </c>
      <c r="L429">
        <v>90</v>
      </c>
      <c r="M429" s="68" t="s">
        <v>207</v>
      </c>
      <c r="N429">
        <v>86.5</v>
      </c>
      <c r="P429" s="67" t="s">
        <v>687</v>
      </c>
      <c r="Q429" s="68">
        <v>199.7</v>
      </c>
      <c r="R429" s="67" t="s">
        <v>414</v>
      </c>
      <c r="S429" s="68">
        <v>212.6</v>
      </c>
      <c r="T429" s="68">
        <f t="shared" si="56"/>
        <v>12.900000000000006</v>
      </c>
      <c r="U429">
        <f t="shared" si="52"/>
        <v>101</v>
      </c>
      <c r="V429">
        <f t="shared" si="57"/>
        <v>7.7</v>
      </c>
      <c r="W429">
        <f t="shared" si="53"/>
        <v>15.76</v>
      </c>
      <c r="X429" s="19">
        <v>45630</v>
      </c>
      <c r="Y429" s="26">
        <v>429.4</v>
      </c>
      <c r="Z429" s="61">
        <v>0</v>
      </c>
      <c r="AB429" s="28">
        <f t="shared" si="54"/>
        <v>0.14120000000000005</v>
      </c>
      <c r="AE429" s="61" t="str">
        <f t="shared" si="55"/>
        <v/>
      </c>
      <c r="AF429" s="77" t="str">
        <f>_xlfn.XLOOKUP(AD429,menu!$K$2:$K$9,menu!$J$2:$J$9,"",1)</f>
        <v/>
      </c>
      <c r="AG429" s="80" t="str">
        <f>_xlfn.XLOOKUP(AH429,menu!$O$2:$O$9,menu!$H$2:$H$9,"")</f>
        <v/>
      </c>
      <c r="AI429" t="str">
        <f>_xlfn.LET(_xlpm.x,_xlfn.CONCAT(_xlfn.XLOOKUP(D429,beans!$A$2:$A$300,beans!$J$2:$J$300,"")," / ",_xlfn.XLOOKUP(D429,beans!$A$2:$A$300,beans!$K$2:$K$300,"")," - ",_xlfn.XLOOKUP(D429,beans!$A$2:$A$300,beans!$L$2:$L$300,"")),IF(_xlpm.x=" /  - ","",_xlpm.x))</f>
        <v>冽里 / 吉恰薩尼 - SL28</v>
      </c>
      <c r="AJ429" s="23" t="s">
        <v>688</v>
      </c>
    </row>
    <row r="430" spans="1:36" x14ac:dyDescent="0.3">
      <c r="A430">
        <v>413</v>
      </c>
      <c r="B430">
        <v>493.3</v>
      </c>
      <c r="D430">
        <v>81</v>
      </c>
      <c r="E430" t="str">
        <f>_xlfn.LET(_xlpm.x,_xlfn.XLOOKUP(D430,beans!$A$2:$A$300,beans!$H$2:$H$300,""),IF(_xlpm.x="","",_xlpm.x))</f>
        <v>薩爾瓦多</v>
      </c>
      <c r="F430" s="22" t="str">
        <f>_xlfn.XLOOKUP(E430,menu!$A$2:$A$37,menu!$B$2:$B$37,"")</f>
        <v>Salvador</v>
      </c>
      <c r="G430" t="str">
        <f>_xlfn.XLOOKUP(E430,menu!$A$2:$A$37,menu!$C$2:$C$37,"")</f>
        <v>slv</v>
      </c>
      <c r="H430" t="str">
        <f>_xlfn.LET(_xlpm.x,_xlfn.XLOOKUP(_xlfn.XLOOKUP(D430,beans!$A$2:$A$300,beans!$I$2:$I$300),menu!$E$2:$E$20,menu!$F$2:$F$20),IF(_xlpm.x="","",_xlpm.x))</f>
        <v>natural</v>
      </c>
      <c r="I430">
        <v>200</v>
      </c>
      <c r="J430">
        <v>80</v>
      </c>
      <c r="K430">
        <v>35</v>
      </c>
      <c r="L430">
        <v>90</v>
      </c>
      <c r="M430" s="68" t="s">
        <v>217</v>
      </c>
      <c r="N430">
        <v>81.099999999999994</v>
      </c>
      <c r="P430" s="67" t="s">
        <v>586</v>
      </c>
      <c r="Q430" s="68">
        <v>202</v>
      </c>
      <c r="R430" s="67" t="s">
        <v>532</v>
      </c>
      <c r="S430" s="68">
        <v>220.6</v>
      </c>
      <c r="T430" s="68">
        <f t="shared" si="56"/>
        <v>18.599999999999994</v>
      </c>
      <c r="U430">
        <f t="shared" si="52"/>
        <v>92</v>
      </c>
      <c r="V430">
        <f t="shared" si="57"/>
        <v>12.1</v>
      </c>
      <c r="W430">
        <f t="shared" si="53"/>
        <v>13.55</v>
      </c>
      <c r="X430" s="19">
        <v>45633</v>
      </c>
      <c r="Y430" s="26">
        <v>417.9</v>
      </c>
      <c r="Z430" s="61">
        <v>0</v>
      </c>
      <c r="AB430" s="28">
        <f t="shared" si="54"/>
        <v>0.15284816541658228</v>
      </c>
      <c r="AE430" s="61" t="str">
        <f t="shared" si="55"/>
        <v/>
      </c>
      <c r="AF430" s="77" t="str">
        <f>_xlfn.XLOOKUP(AD430,menu!$K$2:$K$9,menu!$J$2:$J$9,"",1)</f>
        <v/>
      </c>
      <c r="AG430" s="80" t="str">
        <f>_xlfn.XLOOKUP(AH430,menu!$O$2:$O$9,menu!$H$2:$H$9,"")</f>
        <v/>
      </c>
      <c r="AI430" t="str">
        <f>_xlfn.LET(_xlpm.x,_xlfn.CONCAT(_xlfn.XLOOKUP(D430,beans!$A$2:$A$300,beans!$J$2:$J$300,"")," / ",_xlfn.XLOOKUP(D430,beans!$A$2:$A$300,beans!$K$2:$K$300,"")," - ",_xlfn.XLOOKUP(D430,beans!$A$2:$A$300,beans!$L$2:$L$300,"")),IF(_xlpm.x=" /  - ","",_xlpm.x))</f>
        <v xml:space="preserve"> / 巧克力情人 - 波旁</v>
      </c>
      <c r="AJ430" s="23" t="s">
        <v>689</v>
      </c>
    </row>
    <row r="431" spans="1:36" x14ac:dyDescent="0.3">
      <c r="A431">
        <v>414</v>
      </c>
      <c r="B431">
        <v>414</v>
      </c>
      <c r="D431">
        <v>83</v>
      </c>
      <c r="E431" t="str">
        <f>_xlfn.LET(_xlpm.x,_xlfn.XLOOKUP(D431,beans!$A$2:$A$300,beans!$H$2:$H$300,""),IF(_xlpm.x="","",_xlpm.x))</f>
        <v>印尼</v>
      </c>
      <c r="F431" s="22" t="str">
        <f>_xlfn.XLOOKUP(E431,menu!$A$2:$A$37,menu!$B$2:$B$37,"")</f>
        <v>Indonisia</v>
      </c>
      <c r="G431" t="str">
        <f>_xlfn.XLOOKUP(E431,menu!$A$2:$A$37,menu!$C$2:$C$37,"")</f>
        <v>idn</v>
      </c>
      <c r="H431" t="str">
        <f>_xlfn.LET(_xlpm.x,_xlfn.XLOOKUP(_xlfn.XLOOKUP(D431,beans!$A$2:$A$300,beans!$I$2:$I$300),menu!$E$2:$E$20,menu!$F$2:$F$20),IF(_xlpm.x="","",_xlpm.x))</f>
        <v>washed</v>
      </c>
      <c r="I431">
        <v>200</v>
      </c>
      <c r="J431">
        <v>80</v>
      </c>
      <c r="K431">
        <v>35</v>
      </c>
      <c r="L431">
        <v>90</v>
      </c>
      <c r="M431" s="68" t="s">
        <v>190</v>
      </c>
      <c r="N431">
        <v>81.5</v>
      </c>
      <c r="P431" s="67" t="s">
        <v>142</v>
      </c>
      <c r="Q431" s="68">
        <v>200.9</v>
      </c>
      <c r="R431" s="67" t="s">
        <v>690</v>
      </c>
      <c r="S431" s="68">
        <v>242</v>
      </c>
      <c r="T431" s="68">
        <f t="shared" si="56"/>
        <v>41.099999999999994</v>
      </c>
      <c r="U431">
        <f t="shared" si="52"/>
        <v>163</v>
      </c>
      <c r="V431">
        <f t="shared" si="57"/>
        <v>15.1</v>
      </c>
      <c r="W431">
        <f t="shared" si="53"/>
        <v>20.25</v>
      </c>
      <c r="X431" s="19">
        <v>45633</v>
      </c>
      <c r="Y431" s="26">
        <v>379.5</v>
      </c>
      <c r="Z431" s="61">
        <v>0</v>
      </c>
      <c r="AB431" s="28">
        <f t="shared" si="54"/>
        <v>8.3333333333333329E-2</v>
      </c>
      <c r="AE431" s="61" t="str">
        <f t="shared" si="55"/>
        <v/>
      </c>
      <c r="AF431" s="77" t="str">
        <f>_xlfn.XLOOKUP(AD431,menu!$K$2:$K$9,menu!$J$2:$J$9,"",1)</f>
        <v/>
      </c>
      <c r="AG431" s="80" t="str">
        <f>_xlfn.XLOOKUP(AH431,menu!$O$2:$O$9,menu!$H$2:$H$9,"")</f>
        <v/>
      </c>
      <c r="AI431" t="str">
        <f>_xlfn.LET(_xlpm.x,_xlfn.CONCAT(_xlfn.XLOOKUP(D431,beans!$A$2:$A$300,beans!$J$2:$J$300,"")," / ",_xlfn.XLOOKUP(D431,beans!$A$2:$A$300,beans!$K$2:$K$300,"")," - ",_xlfn.XLOOKUP(D431,beans!$A$2:$A$300,beans!$L$2:$L$300,"")),IF(_xlpm.x=" /  - ","",_xlpm.x))</f>
        <v xml:space="preserve"> / 曼特寧 - </v>
      </c>
      <c r="AJ431" s="23" t="s">
        <v>689</v>
      </c>
    </row>
    <row r="432" spans="1:36" x14ac:dyDescent="0.3">
      <c r="A432">
        <v>415</v>
      </c>
      <c r="B432">
        <v>500</v>
      </c>
      <c r="E432" t="str">
        <f>_xlfn.LET(_xlpm.x,_xlfn.XLOOKUP(D432,beans!$A$2:$A$300,beans!$H$2:$H$300,""),IF(_xlpm.x="","",_xlpm.x))</f>
        <v/>
      </c>
      <c r="F432" s="22" t="str">
        <f>_xlfn.XLOOKUP(E432,menu!$A$2:$A$37,menu!$B$2:$B$37,"")</f>
        <v/>
      </c>
      <c r="G432" t="str">
        <f>_xlfn.XLOOKUP(E432,menu!$A$2:$A$37,menu!$C$2:$C$37,"")</f>
        <v/>
      </c>
      <c r="H432" t="str">
        <f>_xlfn.LET(_xlpm.x,_xlfn.XLOOKUP(_xlfn.XLOOKUP(D432,beans!$A$2:$A$300,beans!$I$2:$I$300),menu!$E$2:$E$20,menu!$F$2:$F$20),IF(_xlpm.x="","",_xlpm.x))</f>
        <v/>
      </c>
      <c r="T432" s="68" t="str">
        <f t="shared" si="56"/>
        <v/>
      </c>
      <c r="U432" t="str">
        <f t="shared" si="52"/>
        <v/>
      </c>
      <c r="V432">
        <f t="shared" si="57"/>
        <v>0</v>
      </c>
      <c r="W432" t="str">
        <f t="shared" si="53"/>
        <v/>
      </c>
      <c r="X432" s="19">
        <v>45633</v>
      </c>
      <c r="Z432" s="61">
        <v>0</v>
      </c>
      <c r="AB432" s="28" t="str">
        <f t="shared" si="54"/>
        <v xml:space="preserve"> </v>
      </c>
      <c r="AE432" s="61" t="str">
        <f t="shared" si="55"/>
        <v/>
      </c>
      <c r="AF432" s="77" t="str">
        <f>_xlfn.XLOOKUP(AD432,menu!$K$2:$K$9,menu!$J$2:$J$9,"",1)</f>
        <v/>
      </c>
      <c r="AG432" s="80" t="str">
        <f>_xlfn.XLOOKUP(AH432,menu!$O$2:$O$9,menu!$H$2:$H$9,"")</f>
        <v/>
      </c>
      <c r="AI432" t="str">
        <f>_xlfn.LET(_xlpm.x,_xlfn.CONCAT(_xlfn.XLOOKUP(D432,beans!$A$2:$A$300,beans!$J$2:$J$300,"")," / ",_xlfn.XLOOKUP(D432,beans!$A$2:$A$300,beans!$K$2:$K$300,"")," - ",_xlfn.XLOOKUP(D432,beans!$A$2:$A$300,beans!$L$2:$L$300,"")),IF(_xlpm.x=" /  - ","",_xlpm.x))</f>
        <v/>
      </c>
      <c r="AJ432" s="23" t="s">
        <v>241</v>
      </c>
    </row>
    <row r="433" spans="1:36" x14ac:dyDescent="0.3">
      <c r="A433">
        <v>416</v>
      </c>
      <c r="B433">
        <v>500</v>
      </c>
      <c r="E433" t="str">
        <f>_xlfn.LET(_xlpm.x,_xlfn.XLOOKUP(D433,beans!$A$2:$A$300,beans!$H$2:$H$300,""),IF(_xlpm.x="","",_xlpm.x))</f>
        <v/>
      </c>
      <c r="F433" s="22" t="str">
        <f>_xlfn.XLOOKUP(E433,menu!$A$2:$A$37,menu!$B$2:$B$37,"")</f>
        <v/>
      </c>
      <c r="G433" t="str">
        <f>_xlfn.XLOOKUP(E433,menu!$A$2:$A$37,menu!$C$2:$C$37,"")</f>
        <v/>
      </c>
      <c r="H433" t="str">
        <f>_xlfn.LET(_xlpm.x,_xlfn.XLOOKUP(_xlfn.XLOOKUP(D433,beans!$A$2:$A$300,beans!$I$2:$I$300),menu!$E$2:$E$20,menu!$F$2:$F$20),IF(_xlpm.x="","",_xlpm.x))</f>
        <v/>
      </c>
      <c r="T433" s="68" t="str">
        <f t="shared" si="56"/>
        <v/>
      </c>
      <c r="U433" t="str">
        <f t="shared" si="52"/>
        <v/>
      </c>
      <c r="V433">
        <f t="shared" si="57"/>
        <v>0</v>
      </c>
      <c r="W433" t="str">
        <f t="shared" si="53"/>
        <v/>
      </c>
      <c r="X433" s="19">
        <v>45633</v>
      </c>
      <c r="Z433" s="61">
        <v>0</v>
      </c>
      <c r="AB433" s="28" t="str">
        <f t="shared" si="54"/>
        <v xml:space="preserve"> </v>
      </c>
      <c r="AE433" s="61" t="str">
        <f t="shared" si="55"/>
        <v/>
      </c>
      <c r="AF433" s="77" t="str">
        <f>_xlfn.XLOOKUP(AD433,menu!$K$2:$K$9,menu!$J$2:$J$9,"",1)</f>
        <v/>
      </c>
      <c r="AG433" s="80" t="str">
        <f>_xlfn.XLOOKUP(AH433,menu!$O$2:$O$9,menu!$H$2:$H$9,"")</f>
        <v/>
      </c>
      <c r="AI433" t="str">
        <f>_xlfn.LET(_xlpm.x,_xlfn.CONCAT(_xlfn.XLOOKUP(D433,beans!$A$2:$A$300,beans!$J$2:$J$300,"")," / ",_xlfn.XLOOKUP(D433,beans!$A$2:$A$300,beans!$K$2:$K$300,"")," - ",_xlfn.XLOOKUP(D433,beans!$A$2:$A$300,beans!$L$2:$L$300,"")),IF(_xlpm.x=" /  - ","",_xlpm.x))</f>
        <v/>
      </c>
      <c r="AJ433" s="23" t="s">
        <v>241</v>
      </c>
    </row>
    <row r="434" spans="1:36" x14ac:dyDescent="0.3">
      <c r="A434">
        <v>417</v>
      </c>
      <c r="B434">
        <v>500</v>
      </c>
      <c r="E434" t="str">
        <f>_xlfn.LET(_xlpm.x,_xlfn.XLOOKUP(D434,beans!$A$2:$A$300,beans!$H$2:$H$300,""),IF(_xlpm.x="","",_xlpm.x))</f>
        <v/>
      </c>
      <c r="F434" s="22" t="str">
        <f>_xlfn.XLOOKUP(E434,menu!$A$2:$A$37,menu!$B$2:$B$37,"")</f>
        <v/>
      </c>
      <c r="G434" t="str">
        <f>_xlfn.XLOOKUP(E434,menu!$A$2:$A$37,menu!$C$2:$C$37,"")</f>
        <v/>
      </c>
      <c r="H434" t="str">
        <f>_xlfn.LET(_xlpm.x,_xlfn.XLOOKUP(_xlfn.XLOOKUP(D434,beans!$A$2:$A$300,beans!$I$2:$I$300),menu!$E$2:$E$20,menu!$F$2:$F$20),IF(_xlpm.x="","",_xlpm.x))</f>
        <v/>
      </c>
      <c r="T434" s="68" t="str">
        <f t="shared" si="56"/>
        <v/>
      </c>
      <c r="U434" t="str">
        <f t="shared" si="52"/>
        <v/>
      </c>
      <c r="V434">
        <f t="shared" si="57"/>
        <v>0</v>
      </c>
      <c r="W434" t="str">
        <f t="shared" si="53"/>
        <v/>
      </c>
      <c r="X434" s="19">
        <v>45633</v>
      </c>
      <c r="Z434" s="61">
        <v>0</v>
      </c>
      <c r="AB434" s="28" t="str">
        <f t="shared" si="54"/>
        <v xml:space="preserve"> </v>
      </c>
      <c r="AE434" s="61" t="str">
        <f t="shared" si="55"/>
        <v/>
      </c>
      <c r="AF434" s="77" t="str">
        <f>_xlfn.XLOOKUP(AD434,menu!$K$2:$K$9,menu!$J$2:$J$9,"",1)</f>
        <v/>
      </c>
      <c r="AG434" s="80" t="str">
        <f>_xlfn.XLOOKUP(AH434,menu!$O$2:$O$9,menu!$H$2:$H$9,"")</f>
        <v/>
      </c>
      <c r="AI434" t="str">
        <f>_xlfn.LET(_xlpm.x,_xlfn.CONCAT(_xlfn.XLOOKUP(D434,beans!$A$2:$A$300,beans!$J$2:$J$300,"")," / ",_xlfn.XLOOKUP(D434,beans!$A$2:$A$300,beans!$K$2:$K$300,"")," - ",_xlfn.XLOOKUP(D434,beans!$A$2:$A$300,beans!$L$2:$L$300,"")),IF(_xlpm.x=" /  - ","",_xlpm.x))</f>
        <v/>
      </c>
      <c r="AJ434" s="23" t="s">
        <v>241</v>
      </c>
    </row>
    <row r="435" spans="1:36" x14ac:dyDescent="0.3">
      <c r="A435">
        <v>418</v>
      </c>
      <c r="B435">
        <v>500</v>
      </c>
      <c r="E435" t="str">
        <f>_xlfn.LET(_xlpm.x,_xlfn.XLOOKUP(D435,beans!$A$2:$A$300,beans!$H$2:$H$300,""),IF(_xlpm.x="","",_xlpm.x))</f>
        <v/>
      </c>
      <c r="F435" s="22" t="str">
        <f>_xlfn.XLOOKUP(E435,menu!$A$2:$A$37,menu!$B$2:$B$37,"")</f>
        <v/>
      </c>
      <c r="G435" t="str">
        <f>_xlfn.XLOOKUP(E435,menu!$A$2:$A$37,menu!$C$2:$C$37,"")</f>
        <v/>
      </c>
      <c r="H435" t="str">
        <f>_xlfn.LET(_xlpm.x,_xlfn.XLOOKUP(_xlfn.XLOOKUP(D435,beans!$A$2:$A$300,beans!$I$2:$I$300),menu!$E$2:$E$20,menu!$F$2:$F$20),IF(_xlpm.x="","",_xlpm.x))</f>
        <v/>
      </c>
      <c r="T435" s="68" t="str">
        <f t="shared" si="56"/>
        <v/>
      </c>
      <c r="U435" t="str">
        <f t="shared" si="52"/>
        <v/>
      </c>
      <c r="V435">
        <f t="shared" si="57"/>
        <v>0</v>
      </c>
      <c r="W435" t="str">
        <f t="shared" si="53"/>
        <v/>
      </c>
      <c r="X435" s="19">
        <v>45633</v>
      </c>
      <c r="Z435" s="61">
        <v>0</v>
      </c>
      <c r="AB435" s="28" t="str">
        <f t="shared" si="54"/>
        <v xml:space="preserve"> </v>
      </c>
      <c r="AE435" s="61" t="str">
        <f t="shared" si="55"/>
        <v/>
      </c>
      <c r="AF435" s="77" t="str">
        <f>_xlfn.XLOOKUP(AD435,menu!$K$2:$K$9,menu!$J$2:$J$9,"",1)</f>
        <v/>
      </c>
      <c r="AG435" s="80" t="str">
        <f>_xlfn.XLOOKUP(AH435,menu!$O$2:$O$9,menu!$H$2:$H$9,"")</f>
        <v/>
      </c>
      <c r="AI435" t="str">
        <f>_xlfn.LET(_xlpm.x,_xlfn.CONCAT(_xlfn.XLOOKUP(D435,beans!$A$2:$A$300,beans!$J$2:$J$300,"")," / ",_xlfn.XLOOKUP(D435,beans!$A$2:$A$300,beans!$K$2:$K$300,"")," - ",_xlfn.XLOOKUP(D435,beans!$A$2:$A$300,beans!$L$2:$L$300,"")),IF(_xlpm.x=" /  - ","",_xlpm.x))</f>
        <v/>
      </c>
      <c r="AJ435" s="23" t="s">
        <v>241</v>
      </c>
    </row>
    <row r="436" spans="1:36" x14ac:dyDescent="0.3">
      <c r="A436">
        <v>419</v>
      </c>
      <c r="B436">
        <v>496.9</v>
      </c>
      <c r="D436">
        <v>31</v>
      </c>
      <c r="E436" t="str">
        <f>_xlfn.LET(_xlpm.x,_xlfn.XLOOKUP(D436,beans!$A$2:$A$300,beans!$H$2:$H$300,""),IF(_xlpm.x="","",_xlpm.x))</f>
        <v>肯亞</v>
      </c>
      <c r="F436" s="22" t="str">
        <f>_xlfn.XLOOKUP(E436,menu!$A$2:$A$37,menu!$B$2:$B$37,"")</f>
        <v>Kenya</v>
      </c>
      <c r="G436" t="str">
        <f>_xlfn.XLOOKUP(E436,menu!$A$2:$A$37,menu!$C$2:$C$37,"")</f>
        <v>ken</v>
      </c>
      <c r="H436" t="str">
        <f>_xlfn.LET(_xlpm.x,_xlfn.XLOOKUP(_xlfn.XLOOKUP(D436,beans!$A$2:$A$300,beans!$I$2:$I$300),menu!$E$2:$E$20,menu!$F$2:$F$20),IF(_xlpm.x="","",_xlpm.x))</f>
        <v>washed</v>
      </c>
      <c r="I436">
        <v>200</v>
      </c>
      <c r="J436">
        <v>85</v>
      </c>
      <c r="K436">
        <v>35</v>
      </c>
      <c r="L436">
        <v>90</v>
      </c>
      <c r="M436" s="68" t="s">
        <v>190</v>
      </c>
      <c r="N436">
        <v>81.900000000000006</v>
      </c>
      <c r="P436" s="67" t="s">
        <v>427</v>
      </c>
      <c r="Q436" s="68">
        <v>200.3</v>
      </c>
      <c r="R436" s="67" t="s">
        <v>312</v>
      </c>
      <c r="S436" s="68">
        <v>210.8</v>
      </c>
      <c r="T436" s="68">
        <f t="shared" si="56"/>
        <v>10.5</v>
      </c>
      <c r="U436">
        <f t="shared" si="52"/>
        <v>75</v>
      </c>
      <c r="V436">
        <f t="shared" si="57"/>
        <v>8.4</v>
      </c>
      <c r="W436">
        <f t="shared" si="53"/>
        <v>11.35</v>
      </c>
      <c r="X436" s="19">
        <v>45633</v>
      </c>
      <c r="Y436" s="26">
        <v>430.3</v>
      </c>
      <c r="Z436" s="61">
        <v>0</v>
      </c>
      <c r="AB436" s="28">
        <f t="shared" si="54"/>
        <v>0.13403099215133824</v>
      </c>
      <c r="AE436" s="61" t="str">
        <f t="shared" si="55"/>
        <v/>
      </c>
      <c r="AF436" s="77" t="str">
        <f>_xlfn.XLOOKUP(AD436,menu!$K$2:$K$9,menu!$J$2:$J$9,"",1)</f>
        <v/>
      </c>
      <c r="AG436" s="80" t="str">
        <f>_xlfn.XLOOKUP(AH436,menu!$O$2:$O$9,menu!$H$2:$H$9,"")</f>
        <v/>
      </c>
      <c r="AI436" t="str">
        <f>_xlfn.LET(_xlpm.x,_xlfn.CONCAT(_xlfn.XLOOKUP(D436,beans!$A$2:$A$300,beans!$J$2:$J$300,"")," / ",_xlfn.XLOOKUP(D436,beans!$A$2:$A$300,beans!$K$2:$K$300,"")," - ",_xlfn.XLOOKUP(D436,beans!$A$2:$A$300,beans!$L$2:$L$300,"")),IF(_xlpm.x=" /  - ","",_xlpm.x))</f>
        <v>涅里 / 奇查芬尼處理廠 - SL 28 / SL34 / Ruiru 11 / Batian</v>
      </c>
      <c r="AJ436" s="23" t="s">
        <v>691</v>
      </c>
    </row>
    <row r="437" spans="1:36" x14ac:dyDescent="0.3">
      <c r="A437">
        <v>420</v>
      </c>
      <c r="B437">
        <v>498.3</v>
      </c>
      <c r="D437">
        <v>5</v>
      </c>
      <c r="E437" t="str">
        <f>_xlfn.LET(_xlpm.x,_xlfn.XLOOKUP(D437,beans!$A$2:$A$300,beans!$H$2:$H$300,""),IF(_xlpm.x="","",_xlpm.x))</f>
        <v>肯亞</v>
      </c>
      <c r="F437" s="22" t="str">
        <f>_xlfn.XLOOKUP(E437,menu!$A$2:$A$37,menu!$B$2:$B$37,"")</f>
        <v>Kenya</v>
      </c>
      <c r="G437" t="str">
        <f>_xlfn.XLOOKUP(E437,menu!$A$2:$A$37,menu!$C$2:$C$37,"")</f>
        <v>ken</v>
      </c>
      <c r="H437" t="str">
        <f>_xlfn.LET(_xlpm.x,_xlfn.XLOOKUP(_xlfn.XLOOKUP(D437,beans!$A$2:$A$300,beans!$I$2:$I$300),menu!$E$2:$E$20,menu!$F$2:$F$20),IF(_xlpm.x="","",_xlpm.x))</f>
        <v>washed</v>
      </c>
      <c r="I437">
        <v>200</v>
      </c>
      <c r="J437">
        <v>80</v>
      </c>
      <c r="K437">
        <v>35</v>
      </c>
      <c r="L437">
        <v>90</v>
      </c>
      <c r="M437" s="68" t="s">
        <v>217</v>
      </c>
      <c r="N437">
        <v>82.6</v>
      </c>
      <c r="P437" s="67" t="s">
        <v>170</v>
      </c>
      <c r="Q437" s="68">
        <v>200.7</v>
      </c>
      <c r="R437" s="67" t="s">
        <v>457</v>
      </c>
      <c r="S437" s="68">
        <v>212.2</v>
      </c>
      <c r="T437" s="68">
        <f t="shared" si="56"/>
        <v>11.5</v>
      </c>
      <c r="U437">
        <f t="shared" si="52"/>
        <v>94</v>
      </c>
      <c r="V437">
        <f t="shared" si="57"/>
        <v>7.3</v>
      </c>
      <c r="W437">
        <f t="shared" si="53"/>
        <v>14.09</v>
      </c>
      <c r="X437" s="19">
        <v>45633</v>
      </c>
      <c r="Y437" s="26">
        <v>0</v>
      </c>
      <c r="Z437" s="61">
        <v>0</v>
      </c>
      <c r="AB437" s="28" t="str">
        <f t="shared" si="54"/>
        <v xml:space="preserve"> </v>
      </c>
      <c r="AE437" s="61" t="str">
        <f t="shared" si="55"/>
        <v/>
      </c>
      <c r="AF437" s="77" t="str">
        <f>_xlfn.XLOOKUP(AD437,menu!$K$2:$K$9,menu!$J$2:$J$9,"",1)</f>
        <v/>
      </c>
      <c r="AG437" s="80" t="str">
        <f>_xlfn.XLOOKUP(AH437,menu!$O$2:$O$9,menu!$H$2:$H$9,"")</f>
        <v/>
      </c>
      <c r="AI437" t="str">
        <f>_xlfn.LET(_xlpm.x,_xlfn.CONCAT(_xlfn.XLOOKUP(D437,beans!$A$2:$A$300,beans!$J$2:$J$300,"")," / ",_xlfn.XLOOKUP(D437,beans!$A$2:$A$300,beans!$K$2:$K$300,"")," - ",_xlfn.XLOOKUP(D437,beans!$A$2:$A$300,beans!$L$2:$L$300,"")),IF(_xlpm.x=" /  - ","",_xlpm.x))</f>
        <v>麒麟雅加 / 紅絲絨/夜裡花 - SL28, SL34</v>
      </c>
      <c r="AJ437" s="23" t="s">
        <v>692</v>
      </c>
    </row>
    <row r="438" spans="1:36" x14ac:dyDescent="0.3">
      <c r="A438">
        <v>421</v>
      </c>
      <c r="B438">
        <v>499.5</v>
      </c>
      <c r="D438">
        <v>55</v>
      </c>
      <c r="E438" t="str">
        <f>_xlfn.LET(_xlpm.x,_xlfn.XLOOKUP(D438,beans!$A$2:$A$300,beans!$H$2:$H$300,""),IF(_xlpm.x="","",_xlpm.x))</f>
        <v>衣索比亞</v>
      </c>
      <c r="F438" s="22" t="str">
        <f>_xlfn.XLOOKUP(E438,menu!$A$2:$A$37,menu!$B$2:$B$37,"")</f>
        <v>Ethiopia</v>
      </c>
      <c r="G438" t="str">
        <f>_xlfn.XLOOKUP(E438,menu!$A$2:$A$37,menu!$C$2:$C$37,"")</f>
        <v>eth</v>
      </c>
      <c r="H438" t="str">
        <f>_xlfn.LET(_xlpm.x,_xlfn.XLOOKUP(_xlfn.XLOOKUP(D438,beans!$A$2:$A$300,beans!$I$2:$I$300),menu!$E$2:$E$20,menu!$F$2:$F$20),IF(_xlpm.x="","",_xlpm.x))</f>
        <v>natural</v>
      </c>
      <c r="I438">
        <v>200</v>
      </c>
      <c r="J438">
        <v>90</v>
      </c>
      <c r="K438">
        <v>40</v>
      </c>
      <c r="L438">
        <v>90</v>
      </c>
      <c r="M438" s="68" t="s">
        <v>125</v>
      </c>
      <c r="N438">
        <v>85.2</v>
      </c>
      <c r="P438" s="67" t="s">
        <v>435</v>
      </c>
      <c r="Q438" s="68">
        <v>209</v>
      </c>
      <c r="R438" s="67" t="s">
        <v>531</v>
      </c>
      <c r="S438" s="68">
        <v>215.9</v>
      </c>
      <c r="T438" s="68">
        <f t="shared" si="56"/>
        <v>6.9000000000000057</v>
      </c>
      <c r="U438">
        <f t="shared" si="52"/>
        <v>74</v>
      </c>
      <c r="V438">
        <f t="shared" si="57"/>
        <v>5.6</v>
      </c>
      <c r="W438">
        <f t="shared" si="53"/>
        <v>11.49</v>
      </c>
      <c r="X438" s="19">
        <v>45633</v>
      </c>
      <c r="Y438" s="26">
        <v>423.6</v>
      </c>
      <c r="Z438" s="61">
        <v>0</v>
      </c>
      <c r="AB438" s="28">
        <f t="shared" si="54"/>
        <v>0.15195195195195191</v>
      </c>
      <c r="AE438" s="61" t="str">
        <f t="shared" si="55"/>
        <v/>
      </c>
      <c r="AF438" s="77" t="str">
        <f>_xlfn.XLOOKUP(AD438,menu!$K$2:$K$9,menu!$J$2:$J$9,"",1)</f>
        <v/>
      </c>
      <c r="AG438" s="80" t="str">
        <f>_xlfn.XLOOKUP(AH438,menu!$O$2:$O$9,menu!$H$2:$H$9,"")</f>
        <v/>
      </c>
      <c r="AI438" t="str">
        <f>_xlfn.LET(_xlpm.x,_xlfn.CONCAT(_xlfn.XLOOKUP(D438,beans!$A$2:$A$300,beans!$J$2:$J$300,"")," / ",_xlfn.XLOOKUP(D438,beans!$A$2:$A$300,beans!$K$2:$K$300,"")," - ",_xlfn.XLOOKUP(D438,beans!$A$2:$A$300,beans!$L$2:$L$300,"")),IF(_xlpm.x=" /  - ","",_xlpm.x))</f>
        <v>歐若米亞 古吉 / 莎奇恰 - Heirloom</v>
      </c>
      <c r="AJ438" s="23" t="s">
        <v>632</v>
      </c>
    </row>
    <row r="439" spans="1:36" x14ac:dyDescent="0.3">
      <c r="A439">
        <v>422</v>
      </c>
      <c r="B439">
        <v>497.1</v>
      </c>
      <c r="D439">
        <v>55</v>
      </c>
      <c r="E439" t="str">
        <f>_xlfn.LET(_xlpm.x,_xlfn.XLOOKUP(D439,beans!$A$2:$A$300,beans!$H$2:$H$300,""),IF(_xlpm.x="","",_xlpm.x))</f>
        <v>衣索比亞</v>
      </c>
      <c r="F439" s="22" t="str">
        <f>_xlfn.XLOOKUP(E439,menu!$A$2:$A$37,menu!$B$2:$B$37,"")</f>
        <v>Ethiopia</v>
      </c>
      <c r="G439" t="str">
        <f>_xlfn.XLOOKUP(E439,menu!$A$2:$A$37,menu!$C$2:$C$37,"")</f>
        <v>eth</v>
      </c>
      <c r="H439" t="str">
        <f>_xlfn.LET(_xlpm.x,_xlfn.XLOOKUP(_xlfn.XLOOKUP(D439,beans!$A$2:$A$300,beans!$I$2:$I$300),menu!$E$2:$E$20,menu!$F$2:$F$20),IF(_xlpm.x="","",_xlpm.x))</f>
        <v>natural</v>
      </c>
      <c r="I439">
        <v>200</v>
      </c>
      <c r="J439">
        <v>90</v>
      </c>
      <c r="K439">
        <v>40</v>
      </c>
      <c r="L439">
        <v>90</v>
      </c>
      <c r="M439" s="68" t="s">
        <v>160</v>
      </c>
      <c r="N439">
        <v>81.5</v>
      </c>
      <c r="P439" s="67" t="s">
        <v>236</v>
      </c>
      <c r="Q439" s="68">
        <v>206.1</v>
      </c>
      <c r="R439" s="67" t="s">
        <v>237</v>
      </c>
      <c r="S439" s="68">
        <v>215.9</v>
      </c>
      <c r="T439" s="68">
        <f t="shared" si="56"/>
        <v>9.8000000000000114</v>
      </c>
      <c r="U439">
        <f t="shared" si="52"/>
        <v>45</v>
      </c>
      <c r="V439">
        <f t="shared" si="57"/>
        <v>13.1</v>
      </c>
      <c r="W439">
        <f t="shared" si="53"/>
        <v>7.2</v>
      </c>
      <c r="X439" s="19">
        <v>45633</v>
      </c>
      <c r="Y439" s="26">
        <v>422.5</v>
      </c>
      <c r="Z439" s="61">
        <v>0</v>
      </c>
      <c r="AB439" s="28">
        <f t="shared" si="54"/>
        <v>0.15007040836853755</v>
      </c>
      <c r="AE439" s="61" t="str">
        <f t="shared" si="55"/>
        <v/>
      </c>
      <c r="AF439" s="77" t="str">
        <f>_xlfn.XLOOKUP(AD439,menu!$K$2:$K$9,menu!$J$2:$J$9,"",1)</f>
        <v/>
      </c>
      <c r="AG439" s="80" t="str">
        <f>_xlfn.XLOOKUP(AH439,menu!$O$2:$O$9,menu!$H$2:$H$9,"")</f>
        <v/>
      </c>
      <c r="AI439" t="str">
        <f>_xlfn.LET(_xlpm.x,_xlfn.CONCAT(_xlfn.XLOOKUP(D439,beans!$A$2:$A$300,beans!$J$2:$J$300,"")," / ",_xlfn.XLOOKUP(D439,beans!$A$2:$A$300,beans!$K$2:$K$300,"")," - ",_xlfn.XLOOKUP(D439,beans!$A$2:$A$300,beans!$L$2:$L$300,"")),IF(_xlpm.x=" /  - ","",_xlpm.x))</f>
        <v>歐若米亞 古吉 / 莎奇恰 - Heirloom</v>
      </c>
      <c r="AJ439" s="23" t="s">
        <v>685</v>
      </c>
    </row>
    <row r="440" spans="1:36" x14ac:dyDescent="0.3">
      <c r="A440">
        <v>423</v>
      </c>
      <c r="B440">
        <v>498.4</v>
      </c>
      <c r="D440">
        <v>59</v>
      </c>
      <c r="E440" t="str">
        <f>_xlfn.LET(_xlpm.x,_xlfn.XLOOKUP(D440,beans!$A$2:$A$300,beans!$H$2:$H$300,""),IF(_xlpm.x="","",_xlpm.x))</f>
        <v>哥倫比亞</v>
      </c>
      <c r="F440" s="22" t="str">
        <f>_xlfn.XLOOKUP(E440,menu!$A$2:$A$37,menu!$B$2:$B$37,"")</f>
        <v>Colombia</v>
      </c>
      <c r="G440" t="str">
        <f>_xlfn.XLOOKUP(E440,menu!$A$2:$A$37,menu!$C$2:$C$37,"")</f>
        <v>col</v>
      </c>
      <c r="H440" t="str">
        <f>_xlfn.LET(_xlpm.x,_xlfn.XLOOKUP(_xlfn.XLOOKUP(D440,beans!$A$2:$A$300,beans!$I$2:$I$300),menu!$E$2:$E$20,menu!$F$2:$F$20),IF(_xlpm.x="","",_xlpm.x))</f>
        <v>Anaerobic Natural</v>
      </c>
      <c r="I440">
        <v>200</v>
      </c>
      <c r="J440">
        <v>90</v>
      </c>
      <c r="K440">
        <v>40</v>
      </c>
      <c r="L440">
        <v>90</v>
      </c>
      <c r="M440" s="68" t="s">
        <v>109</v>
      </c>
      <c r="N440">
        <v>86.4</v>
      </c>
      <c r="P440" s="67" t="s">
        <v>201</v>
      </c>
      <c r="Q440" s="68">
        <v>203.4</v>
      </c>
      <c r="R440" s="67" t="s">
        <v>554</v>
      </c>
      <c r="S440" s="68">
        <v>215.5</v>
      </c>
      <c r="T440" s="68">
        <f t="shared" si="56"/>
        <v>12.099999999999994</v>
      </c>
      <c r="U440">
        <f t="shared" si="52"/>
        <v>71</v>
      </c>
      <c r="V440">
        <f t="shared" si="57"/>
        <v>10.199999999999999</v>
      </c>
      <c r="W440">
        <f t="shared" si="53"/>
        <v>11.83</v>
      </c>
      <c r="X440" s="19">
        <v>45633</v>
      </c>
      <c r="Y440" s="26">
        <v>427.6</v>
      </c>
      <c r="Z440" s="61">
        <v>0</v>
      </c>
      <c r="AB440" s="28">
        <f t="shared" si="54"/>
        <v>0.14205457463884422</v>
      </c>
      <c r="AE440" s="61" t="str">
        <f t="shared" si="55"/>
        <v/>
      </c>
      <c r="AF440" s="77" t="str">
        <f>_xlfn.XLOOKUP(AD440,menu!$K$2:$K$9,menu!$J$2:$J$9,"",1)</f>
        <v/>
      </c>
      <c r="AG440" s="80" t="str">
        <f>_xlfn.XLOOKUP(AH440,menu!$O$2:$O$9,menu!$H$2:$H$9,"")</f>
        <v/>
      </c>
      <c r="AI440" t="str">
        <f>_xlfn.LET(_xlpm.x,_xlfn.CONCAT(_xlfn.XLOOKUP(D440,beans!$A$2:$A$300,beans!$J$2:$J$300,"")," / ",_xlfn.XLOOKUP(D440,beans!$A$2:$A$300,beans!$K$2:$K$300,"")," - ",_xlfn.XLOOKUP(D440,beans!$A$2:$A$300,beans!$L$2:$L$300,"")),IF(_xlpm.x=" /  - ","",_xlpm.x))</f>
        <v>金巴亞 金迪奧 / El Danubio Estate 粉桃甜心 - 卡杜拉</v>
      </c>
      <c r="AJ440" s="23" t="s">
        <v>693</v>
      </c>
    </row>
    <row r="441" spans="1:36" x14ac:dyDescent="0.3">
      <c r="A441">
        <v>424</v>
      </c>
      <c r="B441">
        <v>498.9</v>
      </c>
      <c r="D441">
        <v>46</v>
      </c>
      <c r="E441" t="str">
        <f>_xlfn.LET(_xlpm.x,_xlfn.XLOOKUP(D441,beans!$A$2:$A$300,beans!$H$2:$H$300,""),IF(_xlpm.x="","",_xlpm.x))</f>
        <v>哥倫比亞</v>
      </c>
      <c r="F441" s="22" t="str">
        <f>_xlfn.XLOOKUP(E441,menu!$A$2:$A$37,menu!$B$2:$B$37,"")</f>
        <v>Colombia</v>
      </c>
      <c r="G441" t="str">
        <f>_xlfn.XLOOKUP(E441,menu!$A$2:$A$37,menu!$C$2:$C$37,"")</f>
        <v>col</v>
      </c>
      <c r="H441" t="str">
        <f>_xlfn.LET(_xlpm.x,_xlfn.XLOOKUP(_xlfn.XLOOKUP(D441,beans!$A$2:$A$300,beans!$I$2:$I$300),menu!$E$2:$E$20,menu!$F$2:$F$20),IF(_xlpm.x="","",_xlpm.x))</f>
        <v>natural</v>
      </c>
      <c r="I441">
        <v>200</v>
      </c>
      <c r="J441">
        <v>90</v>
      </c>
      <c r="K441">
        <v>40</v>
      </c>
      <c r="L441">
        <v>90</v>
      </c>
      <c r="M441" s="68" t="s">
        <v>207</v>
      </c>
      <c r="N441">
        <v>85.6</v>
      </c>
      <c r="P441" s="67" t="s">
        <v>619</v>
      </c>
      <c r="Q441" s="68">
        <v>202.7</v>
      </c>
      <c r="R441" s="67" t="s">
        <v>504</v>
      </c>
      <c r="S441" s="68">
        <v>213.9</v>
      </c>
      <c r="T441" s="68">
        <f t="shared" si="56"/>
        <v>11.200000000000017</v>
      </c>
      <c r="U441">
        <f t="shared" si="52"/>
        <v>71</v>
      </c>
      <c r="V441">
        <f t="shared" si="57"/>
        <v>9.5</v>
      </c>
      <c r="W441">
        <f t="shared" si="53"/>
        <v>11.51</v>
      </c>
      <c r="X441" s="19">
        <v>45633</v>
      </c>
      <c r="Y441" s="26">
        <v>424</v>
      </c>
      <c r="Z441" s="61">
        <v>0</v>
      </c>
      <c r="AB441" s="28">
        <f t="shared" si="54"/>
        <v>0.15013028663058725</v>
      </c>
      <c r="AE441" s="61" t="str">
        <f t="shared" si="55"/>
        <v/>
      </c>
      <c r="AF441" s="77" t="str">
        <f>_xlfn.XLOOKUP(AD441,menu!$K$2:$K$9,menu!$J$2:$J$9,"",1)</f>
        <v/>
      </c>
      <c r="AG441" s="80" t="str">
        <f>_xlfn.XLOOKUP(AH441,menu!$O$2:$O$9,menu!$H$2:$H$9,"")</f>
        <v/>
      </c>
      <c r="AI441" t="str">
        <f>_xlfn.LET(_xlpm.x,_xlfn.CONCAT(_xlfn.XLOOKUP(D441,beans!$A$2:$A$300,beans!$J$2:$J$300,"")," / ",_xlfn.XLOOKUP(D441,beans!$A$2:$A$300,beans!$K$2:$K$300,"")," - ",_xlfn.XLOOKUP(D441,beans!$A$2:$A$300,beans!$L$2:$L$300,"")),IF(_xlpm.x=" /  - ","",_xlpm.x))</f>
        <v>昆迪瑪卡 / 緹比莉塔  - 卡斯提優</v>
      </c>
      <c r="AJ441" s="23" t="s">
        <v>691</v>
      </c>
    </row>
    <row r="442" spans="1:36" x14ac:dyDescent="0.3">
      <c r="A442">
        <v>425</v>
      </c>
      <c r="B442">
        <v>500</v>
      </c>
      <c r="D442">
        <v>42</v>
      </c>
      <c r="E442" t="str">
        <f>_xlfn.LET(_xlpm.x,_xlfn.XLOOKUP(D442,beans!$A$2:$A$300,beans!$H$2:$H$300,""),IF(_xlpm.x="","",_xlpm.x))</f>
        <v>瓜地馬拉</v>
      </c>
      <c r="F442" s="22" t="str">
        <f>_xlfn.XLOOKUP(E442,menu!$A$2:$A$37,menu!$B$2:$B$37,"")</f>
        <v>Guatemala</v>
      </c>
      <c r="G442" t="str">
        <f>_xlfn.XLOOKUP(E442,menu!$A$2:$A$37,menu!$C$2:$C$37,"")</f>
        <v>gtm</v>
      </c>
      <c r="H442" t="str">
        <f>_xlfn.LET(_xlpm.x,_xlfn.XLOOKUP(_xlfn.XLOOKUP(D442,beans!$A$2:$A$300,beans!$I$2:$I$300),menu!$E$2:$E$20,menu!$F$2:$F$20),IF(_xlpm.x="","",_xlpm.x))</f>
        <v>honey</v>
      </c>
      <c r="I442">
        <v>200</v>
      </c>
      <c r="J442">
        <v>90</v>
      </c>
      <c r="K442">
        <v>40</v>
      </c>
      <c r="L442">
        <v>90</v>
      </c>
      <c r="M442" s="68" t="s">
        <v>121</v>
      </c>
      <c r="N442">
        <v>81.099999999999994</v>
      </c>
      <c r="P442" s="67" t="s">
        <v>465</v>
      </c>
      <c r="Q442" s="68">
        <v>209.2</v>
      </c>
      <c r="R442" s="67" t="s">
        <v>367</v>
      </c>
      <c r="S442" s="68">
        <v>223.5</v>
      </c>
      <c r="T442" s="68">
        <f t="shared" si="56"/>
        <v>14.300000000000011</v>
      </c>
      <c r="U442">
        <f t="shared" si="52"/>
        <v>92</v>
      </c>
      <c r="V442">
        <f t="shared" si="57"/>
        <v>9.3000000000000007</v>
      </c>
      <c r="W442">
        <f t="shared" si="53"/>
        <v>14.05</v>
      </c>
      <c r="X442" s="19">
        <v>45633</v>
      </c>
      <c r="Y442" s="26">
        <v>410</v>
      </c>
      <c r="Z442" s="61">
        <v>0</v>
      </c>
      <c r="AB442" s="28">
        <f t="shared" si="54"/>
        <v>0.18</v>
      </c>
      <c r="AE442" s="61" t="str">
        <f t="shared" si="55"/>
        <v/>
      </c>
      <c r="AF442" s="77" t="str">
        <f>_xlfn.XLOOKUP(AD442,menu!$K$2:$K$9,menu!$J$2:$J$9,"",1)</f>
        <v/>
      </c>
      <c r="AG442" s="80" t="str">
        <f>_xlfn.XLOOKUP(AH442,menu!$O$2:$O$9,menu!$H$2:$H$9,"")</f>
        <v/>
      </c>
      <c r="AI442" t="str">
        <f>_xlfn.LET(_xlpm.x,_xlfn.CONCAT(_xlfn.XLOOKUP(D442,beans!$A$2:$A$300,beans!$J$2:$J$300,"")," / ",_xlfn.XLOOKUP(D442,beans!$A$2:$A$300,beans!$K$2:$K$300,"")," - ",_xlfn.XLOOKUP(D442,beans!$A$2:$A$300,beans!$L$2:$L$300,"")),IF(_xlpm.x=" /  - ","",_xlpm.x))</f>
        <v>薇微特南果 / 聖安東尼奧莊園 - 波旁,鐵皮卡</v>
      </c>
      <c r="AJ442" s="23" t="s">
        <v>689</v>
      </c>
    </row>
    <row r="443" spans="1:36" x14ac:dyDescent="0.3">
      <c r="A443">
        <v>426</v>
      </c>
      <c r="B443">
        <v>484.1</v>
      </c>
      <c r="D443">
        <v>46</v>
      </c>
      <c r="E443" t="str">
        <f>_xlfn.LET(_xlpm.x,_xlfn.XLOOKUP(D443,beans!$A$2:$A$300,beans!$H$2:$H$300,""),IF(_xlpm.x="","",_xlpm.x))</f>
        <v>哥倫比亞</v>
      </c>
      <c r="F443" s="22" t="str">
        <f>_xlfn.XLOOKUP(E443,menu!$A$2:$A$37,menu!$B$2:$B$37,"")</f>
        <v>Colombia</v>
      </c>
      <c r="G443" t="str">
        <f>_xlfn.XLOOKUP(E443,menu!$A$2:$A$37,menu!$C$2:$C$37,"")</f>
        <v>col</v>
      </c>
      <c r="H443" t="str">
        <f>_xlfn.LET(_xlpm.x,_xlfn.XLOOKUP(_xlfn.XLOOKUP(D443,beans!$A$2:$A$300,beans!$I$2:$I$300),menu!$E$2:$E$20,menu!$F$2:$F$20),IF(_xlpm.x="","",_xlpm.x))</f>
        <v>natural</v>
      </c>
      <c r="I443">
        <v>200</v>
      </c>
      <c r="J443">
        <v>90</v>
      </c>
      <c r="K443">
        <v>40</v>
      </c>
      <c r="L443">
        <v>90</v>
      </c>
      <c r="M443" s="68" t="s">
        <v>121</v>
      </c>
      <c r="N443">
        <v>84.9</v>
      </c>
      <c r="P443" s="67" t="s">
        <v>591</v>
      </c>
      <c r="Q443" s="68">
        <v>202.7</v>
      </c>
      <c r="R443" s="67" t="s">
        <v>653</v>
      </c>
      <c r="S443" s="68">
        <v>210.4</v>
      </c>
      <c r="T443" s="68">
        <f t="shared" si="56"/>
        <v>7.7000000000000171</v>
      </c>
      <c r="U443">
        <f t="shared" si="52"/>
        <v>47</v>
      </c>
      <c r="V443">
        <f t="shared" si="57"/>
        <v>9.8000000000000007</v>
      </c>
      <c r="W443">
        <f t="shared" si="53"/>
        <v>7.99</v>
      </c>
      <c r="X443" s="19">
        <v>45633</v>
      </c>
      <c r="Y443" s="26">
        <v>420</v>
      </c>
      <c r="Z443" s="61">
        <v>0</v>
      </c>
      <c r="AA443" s="61">
        <v>0</v>
      </c>
      <c r="AB443" s="28">
        <f t="shared" si="54"/>
        <v>0.13241065895476145</v>
      </c>
      <c r="AE443" s="61" t="str">
        <f t="shared" si="55"/>
        <v/>
      </c>
      <c r="AF443" s="77" t="str">
        <f>_xlfn.XLOOKUP(AD443,menu!$K$2:$K$9,menu!$J$2:$J$9,"",1)</f>
        <v/>
      </c>
      <c r="AG443" s="80" t="str">
        <f>_xlfn.XLOOKUP(AH443,menu!$O$2:$O$9,menu!$H$2:$H$9,"")</f>
        <v/>
      </c>
      <c r="AI443" t="str">
        <f>_xlfn.LET(_xlpm.x,_xlfn.CONCAT(_xlfn.XLOOKUP(D443,beans!$A$2:$A$300,beans!$J$2:$J$300,"")," / ",_xlfn.XLOOKUP(D443,beans!$A$2:$A$300,beans!$K$2:$K$300,"")," - ",_xlfn.XLOOKUP(D443,beans!$A$2:$A$300,beans!$L$2:$L$300,"")),IF(_xlpm.x=" /  - ","",_xlpm.x))</f>
        <v>昆迪瑪卡 / 緹比莉塔  - 卡斯提優</v>
      </c>
      <c r="AJ443" s="23" t="s">
        <v>694</v>
      </c>
    </row>
    <row r="444" spans="1:36" x14ac:dyDescent="0.3">
      <c r="A444">
        <v>427</v>
      </c>
      <c r="B444">
        <v>250</v>
      </c>
      <c r="D444">
        <v>82</v>
      </c>
      <c r="E444" t="str">
        <f>_xlfn.LET(_xlpm.x,_xlfn.XLOOKUP(D444,beans!$A$2:$A$300,beans!$H$2:$H$300,""),IF(_xlpm.x="","",_xlpm.x))</f>
        <v>衣索比亞</v>
      </c>
      <c r="F444" s="22" t="str">
        <f>_xlfn.XLOOKUP(E444,menu!$A$2:$A$37,menu!$B$2:$B$37,"")</f>
        <v>Ethiopia</v>
      </c>
      <c r="G444" t="str">
        <f>_xlfn.XLOOKUP(E444,menu!$A$2:$A$37,menu!$C$2:$C$37,"")</f>
        <v>eth</v>
      </c>
      <c r="H444" t="str">
        <f>_xlfn.LET(_xlpm.x,_xlfn.XLOOKUP(_xlfn.XLOOKUP(D444,beans!$A$2:$A$300,beans!$I$2:$I$300),menu!$E$2:$E$20,menu!$F$2:$F$20),IF(_xlpm.x="","",_xlpm.x))</f>
        <v>Anaerobic Washed</v>
      </c>
      <c r="I444">
        <v>200</v>
      </c>
      <c r="J444">
        <v>80</v>
      </c>
      <c r="K444">
        <v>40</v>
      </c>
      <c r="L444">
        <v>70</v>
      </c>
      <c r="M444" s="68" t="s">
        <v>75</v>
      </c>
      <c r="N444">
        <v>87.7</v>
      </c>
      <c r="P444" s="67" t="s">
        <v>537</v>
      </c>
      <c r="Q444" s="68">
        <v>207</v>
      </c>
      <c r="R444" s="67" t="s">
        <v>319</v>
      </c>
      <c r="S444" s="68">
        <v>215.4</v>
      </c>
      <c r="T444" s="68">
        <f t="shared" si="56"/>
        <v>8.4000000000000057</v>
      </c>
      <c r="U444">
        <f t="shared" si="52"/>
        <v>59</v>
      </c>
      <c r="V444">
        <f t="shared" si="57"/>
        <v>8.5</v>
      </c>
      <c r="W444">
        <f t="shared" si="53"/>
        <v>9.0399999999999991</v>
      </c>
      <c r="X444" s="19">
        <v>45633</v>
      </c>
      <c r="Y444" s="26">
        <v>218.4</v>
      </c>
      <c r="Z444" s="61">
        <v>0</v>
      </c>
      <c r="AA444" s="61">
        <v>0</v>
      </c>
      <c r="AB444" s="28">
        <f t="shared" si="54"/>
        <v>0.12639999999999998</v>
      </c>
      <c r="AE444" s="61" t="str">
        <f t="shared" si="55"/>
        <v/>
      </c>
      <c r="AF444" s="77" t="str">
        <f>_xlfn.XLOOKUP(AD444,menu!$K$2:$K$9,menu!$J$2:$J$9,"",1)</f>
        <v/>
      </c>
      <c r="AG444" s="80" t="str">
        <f>_xlfn.XLOOKUP(AH444,menu!$O$2:$O$9,menu!$H$2:$H$9,"")</f>
        <v/>
      </c>
      <c r="AI444" t="str">
        <f>_xlfn.LET(_xlpm.x,_xlfn.CONCAT(_xlfn.XLOOKUP(D444,beans!$A$2:$A$300,beans!$J$2:$J$300,"")," / ",_xlfn.XLOOKUP(D444,beans!$A$2:$A$300,beans!$K$2:$K$300,"")," - ",_xlfn.XLOOKUP(D444,beans!$A$2:$A$300,beans!$L$2:$L$300,"")),IF(_xlpm.x=" /  - ","",_xlpm.x))</f>
        <v xml:space="preserve">烏拉嗄 / 香水月季 - </v>
      </c>
      <c r="AJ444" s="23" t="s">
        <v>695</v>
      </c>
    </row>
    <row r="445" spans="1:36" x14ac:dyDescent="0.3">
      <c r="A445">
        <v>428</v>
      </c>
      <c r="B445">
        <v>250</v>
      </c>
      <c r="D445">
        <v>68</v>
      </c>
      <c r="E445" t="str">
        <f>_xlfn.LET(_xlpm.x,_xlfn.XLOOKUP(D445,beans!$A$2:$A$300,beans!$H$2:$H$300,""),IF(_xlpm.x="","",_xlpm.x))</f>
        <v>哥倫比亞</v>
      </c>
      <c r="F445" s="22" t="str">
        <f>_xlfn.XLOOKUP(E445,menu!$A$2:$A$37,menu!$B$2:$B$37,"")</f>
        <v>Colombia</v>
      </c>
      <c r="G445" t="str">
        <f>_xlfn.XLOOKUP(E445,menu!$A$2:$A$37,menu!$C$2:$C$37,"")</f>
        <v>col</v>
      </c>
      <c r="H445" t="str">
        <f>_xlfn.LET(_xlpm.x,_xlfn.XLOOKUP(_xlfn.XLOOKUP(D445,beans!$A$2:$A$300,beans!$I$2:$I$300),menu!$E$2:$E$20,menu!$F$2:$F$20),IF(_xlpm.x="","",_xlpm.x))</f>
        <v>Anaerobic Natural</v>
      </c>
      <c r="I445">
        <v>200</v>
      </c>
      <c r="J445">
        <v>80</v>
      </c>
      <c r="K445">
        <v>40</v>
      </c>
      <c r="L445">
        <v>70</v>
      </c>
      <c r="M445" s="68" t="s">
        <v>121</v>
      </c>
      <c r="N445">
        <v>94.2</v>
      </c>
      <c r="P445" s="67" t="s">
        <v>591</v>
      </c>
      <c r="Q445" s="68">
        <v>207</v>
      </c>
      <c r="R445" s="67" t="s">
        <v>436</v>
      </c>
      <c r="S445" s="68">
        <v>218.7</v>
      </c>
      <c r="T445" s="68">
        <f t="shared" si="56"/>
        <v>11.699999999999989</v>
      </c>
      <c r="U445">
        <f t="shared" si="52"/>
        <v>73</v>
      </c>
      <c r="V445">
        <f t="shared" si="57"/>
        <v>9.6</v>
      </c>
      <c r="W445">
        <f t="shared" si="53"/>
        <v>11.89</v>
      </c>
      <c r="X445" s="19">
        <v>45633</v>
      </c>
      <c r="Y445" s="26">
        <v>218.5</v>
      </c>
      <c r="Z445" s="61">
        <v>0</v>
      </c>
      <c r="AA445" s="61">
        <v>0</v>
      </c>
      <c r="AB445" s="28">
        <f t="shared" si="54"/>
        <v>0.126</v>
      </c>
      <c r="AE445" s="61" t="str">
        <f t="shared" si="55"/>
        <v/>
      </c>
      <c r="AF445" s="77" t="str">
        <f>_xlfn.XLOOKUP(AD445,menu!$K$2:$K$9,menu!$J$2:$J$9,"",1)</f>
        <v/>
      </c>
      <c r="AG445" s="80" t="str">
        <f>_xlfn.XLOOKUP(AH445,menu!$O$2:$O$9,menu!$H$2:$H$9,"")</f>
        <v/>
      </c>
      <c r="AI445" t="str">
        <f>_xlfn.LET(_xlpm.x,_xlfn.CONCAT(_xlfn.XLOOKUP(D445,beans!$A$2:$A$300,beans!$J$2:$J$300,"")," / ",_xlfn.XLOOKUP(D445,beans!$A$2:$A$300,beans!$K$2:$K$300,"")," - ",_xlfn.XLOOKUP(D445,beans!$A$2:$A$300,beans!$L$2:$L$300,"")),IF(_xlpm.x=" /  - ","",_xlpm.x))</f>
        <v xml:space="preserve"> / 天堂莊園-日出桂花香 - </v>
      </c>
      <c r="AJ445" s="23" t="s">
        <v>696</v>
      </c>
    </row>
    <row r="446" spans="1:36" x14ac:dyDescent="0.3">
      <c r="A446">
        <v>429</v>
      </c>
      <c r="B446">
        <v>250</v>
      </c>
      <c r="D446">
        <v>6</v>
      </c>
      <c r="E446" t="str">
        <f>_xlfn.LET(_xlpm.x,_xlfn.XLOOKUP(D446,beans!$A$2:$A$300,beans!$H$2:$H$300,""),IF(_xlpm.x="","",_xlpm.x))</f>
        <v>肯亞</v>
      </c>
      <c r="F446" s="22" t="str">
        <f>_xlfn.XLOOKUP(E446,menu!$A$2:$A$37,menu!$B$2:$B$37,"")</f>
        <v>Kenya</v>
      </c>
      <c r="G446" t="str">
        <f>_xlfn.XLOOKUP(E446,menu!$A$2:$A$37,menu!$C$2:$C$37,"")</f>
        <v>ken</v>
      </c>
      <c r="H446" t="str">
        <f>_xlfn.LET(_xlpm.x,_xlfn.XLOOKUP(_xlfn.XLOOKUP(D446,beans!$A$2:$A$300,beans!$I$2:$I$300),menu!$E$2:$E$20,menu!$F$2:$F$20),IF(_xlpm.x="","",_xlpm.x))</f>
        <v>washed</v>
      </c>
      <c r="I446">
        <v>200</v>
      </c>
      <c r="J446">
        <v>80</v>
      </c>
      <c r="K446">
        <v>40</v>
      </c>
      <c r="L446">
        <v>70</v>
      </c>
      <c r="M446" s="68" t="s">
        <v>109</v>
      </c>
      <c r="N446">
        <v>90.8</v>
      </c>
      <c r="P446" s="67" t="s">
        <v>697</v>
      </c>
      <c r="Q446" s="68">
        <v>206.4</v>
      </c>
      <c r="R446" s="67" t="s">
        <v>131</v>
      </c>
      <c r="S446" s="68">
        <v>215.7</v>
      </c>
      <c r="T446" s="68">
        <f t="shared" si="56"/>
        <v>9.2999999999999829</v>
      </c>
      <c r="U446">
        <f t="shared" si="52"/>
        <v>52</v>
      </c>
      <c r="V446">
        <f t="shared" si="57"/>
        <v>10.7</v>
      </c>
      <c r="W446">
        <f t="shared" si="53"/>
        <v>8.7200000000000006</v>
      </c>
      <c r="X446" s="19">
        <v>45633</v>
      </c>
      <c r="Y446" s="26">
        <v>214.7</v>
      </c>
      <c r="Z446" s="61">
        <v>0</v>
      </c>
      <c r="AA446" s="61">
        <v>0</v>
      </c>
      <c r="AB446" s="28">
        <f t="shared" si="54"/>
        <v>0.14120000000000005</v>
      </c>
      <c r="AE446" s="61" t="str">
        <f t="shared" si="55"/>
        <v/>
      </c>
      <c r="AF446" s="77" t="str">
        <f>_xlfn.XLOOKUP(AD446,menu!$K$2:$K$9,menu!$J$2:$J$9,"",1)</f>
        <v/>
      </c>
      <c r="AG446" s="80" t="str">
        <f>_xlfn.XLOOKUP(AH446,menu!$O$2:$O$9,menu!$H$2:$H$9,"")</f>
        <v/>
      </c>
      <c r="AI446" t="str">
        <f>_xlfn.LET(_xlpm.x,_xlfn.CONCAT(_xlfn.XLOOKUP(D446,beans!$A$2:$A$300,beans!$J$2:$J$300,"")," / ",_xlfn.XLOOKUP(D446,beans!$A$2:$A$300,beans!$K$2:$K$300,"")," - ",_xlfn.XLOOKUP(D446,beans!$A$2:$A$300,beans!$L$2:$L$300,"")),IF(_xlpm.x=" /  - ","",_xlpm.x))</f>
        <v>東非大裂谷產區 / 烏克栗栗/黑莓皇后 - SL28, SL34, 少許Ruiru以及Batian</v>
      </c>
      <c r="AJ446" s="23" t="s">
        <v>698</v>
      </c>
    </row>
    <row r="447" spans="1:36" x14ac:dyDescent="0.3">
      <c r="A447">
        <v>430</v>
      </c>
      <c r="B447">
        <v>250</v>
      </c>
      <c r="D447">
        <v>64</v>
      </c>
      <c r="E447" t="str">
        <f>_xlfn.LET(_xlpm.x,_xlfn.XLOOKUP(D447,beans!$A$2:$A$300,beans!$H$2:$H$300,""),IF(_xlpm.x="","",_xlpm.x))</f>
        <v>衣索比亞</v>
      </c>
      <c r="F447" s="22" t="str">
        <f>_xlfn.XLOOKUP(E447,menu!$A$2:$A$37,menu!$B$2:$B$37,"")</f>
        <v>Ethiopia</v>
      </c>
      <c r="G447" t="str">
        <f>_xlfn.XLOOKUP(E447,menu!$A$2:$A$37,menu!$C$2:$C$37,"")</f>
        <v>eth</v>
      </c>
      <c r="H447" t="str">
        <f>_xlfn.LET(_xlpm.x,_xlfn.XLOOKUP(_xlfn.XLOOKUP(D447,beans!$A$2:$A$300,beans!$I$2:$I$300),menu!$E$2:$E$20,menu!$F$2:$F$20),IF(_xlpm.x="","",_xlpm.x))</f>
        <v>washed</v>
      </c>
      <c r="I447">
        <v>200</v>
      </c>
      <c r="J447">
        <v>80</v>
      </c>
      <c r="K447">
        <v>40</v>
      </c>
      <c r="L447">
        <v>70</v>
      </c>
      <c r="M447" s="68" t="s">
        <v>67</v>
      </c>
      <c r="N447">
        <v>91.7</v>
      </c>
      <c r="P447" s="67" t="s">
        <v>616</v>
      </c>
      <c r="Q447" s="68">
        <v>204</v>
      </c>
      <c r="R447" s="67" t="s">
        <v>617</v>
      </c>
      <c r="S447" s="68">
        <v>215.2</v>
      </c>
      <c r="T447" s="68">
        <f t="shared" si="56"/>
        <v>11.199999999999989</v>
      </c>
      <c r="U447">
        <f t="shared" si="52"/>
        <v>70</v>
      </c>
      <c r="V447">
        <f t="shared" si="57"/>
        <v>9.6</v>
      </c>
      <c r="W447">
        <f t="shared" si="53"/>
        <v>11.57</v>
      </c>
      <c r="X447" s="19">
        <v>45633</v>
      </c>
      <c r="Y447" s="26">
        <v>216</v>
      </c>
      <c r="Z447" s="61">
        <v>0</v>
      </c>
      <c r="AA447" s="61">
        <v>0</v>
      </c>
      <c r="AB447" s="28">
        <f t="shared" si="54"/>
        <v>0.13600000000000001</v>
      </c>
      <c r="AE447" s="61" t="str">
        <f t="shared" si="55"/>
        <v/>
      </c>
      <c r="AF447" s="77" t="str">
        <f>_xlfn.XLOOKUP(AD447,menu!$K$2:$K$9,menu!$J$2:$J$9,"",1)</f>
        <v/>
      </c>
      <c r="AG447" s="80" t="str">
        <f>_xlfn.XLOOKUP(AH447,menu!$O$2:$O$9,menu!$H$2:$H$9,"")</f>
        <v/>
      </c>
      <c r="AI447" t="str">
        <f>_xlfn.LET(_xlpm.x,_xlfn.CONCAT(_xlfn.XLOOKUP(D447,beans!$A$2:$A$300,beans!$J$2:$J$300,"")," / ",_xlfn.XLOOKUP(D447,beans!$A$2:$A$300,beans!$K$2:$K$300,"")," - ",_xlfn.XLOOKUP(D447,beans!$A$2:$A$300,beans!$L$2:$L$300,"")),IF(_xlpm.x=" /  - ","",_xlpm.x))</f>
        <v>西達摩 / 花貝果娜 - 74158</v>
      </c>
      <c r="AJ447" s="23" t="s">
        <v>699</v>
      </c>
    </row>
    <row r="448" spans="1:36" x14ac:dyDescent="0.3">
      <c r="A448">
        <v>431</v>
      </c>
      <c r="B448">
        <v>500</v>
      </c>
      <c r="D448">
        <v>49</v>
      </c>
      <c r="E448" t="str">
        <f>_xlfn.LET(_xlpm.x,_xlfn.XLOOKUP(D448,beans!$A$2:$A$300,beans!$H$2:$H$300,""),IF(_xlpm.x="","",_xlpm.x))</f>
        <v>秘魯</v>
      </c>
      <c r="F448" s="22" t="str">
        <f>_xlfn.XLOOKUP(E448,menu!$A$2:$A$37,menu!$B$2:$B$37,"")</f>
        <v>Peru</v>
      </c>
      <c r="G448" t="str">
        <f>_xlfn.XLOOKUP(E448,menu!$A$2:$A$37,menu!$C$2:$C$37,"")</f>
        <v>per</v>
      </c>
      <c r="H448" t="str">
        <f>_xlfn.LET(_xlpm.x,_xlfn.XLOOKUP(_xlfn.XLOOKUP(D448,beans!$A$2:$A$300,beans!$I$2:$I$300),menu!$E$2:$E$20,menu!$F$2:$F$20),IF(_xlpm.x="","",_xlpm.x))</f>
        <v>natural</v>
      </c>
      <c r="I448">
        <v>200</v>
      </c>
      <c r="J448">
        <v>90</v>
      </c>
      <c r="K448">
        <v>40</v>
      </c>
      <c r="L448">
        <v>90</v>
      </c>
      <c r="M448" s="68" t="s">
        <v>75</v>
      </c>
      <c r="N448">
        <v>87.8</v>
      </c>
      <c r="P448" s="67" t="s">
        <v>277</v>
      </c>
      <c r="Q448" s="68">
        <v>203.2</v>
      </c>
      <c r="R448" s="67" t="s">
        <v>111</v>
      </c>
      <c r="S448" s="68">
        <v>212.3</v>
      </c>
      <c r="T448" s="68">
        <f t="shared" si="56"/>
        <v>9.1000000000000227</v>
      </c>
      <c r="U448">
        <f t="shared" si="52"/>
        <v>37</v>
      </c>
      <c r="V448">
        <f t="shared" si="57"/>
        <v>14.8</v>
      </c>
      <c r="W448">
        <f t="shared" si="53"/>
        <v>6.63</v>
      </c>
      <c r="X448" s="19">
        <v>45633</v>
      </c>
      <c r="Y448" s="26">
        <v>439.5</v>
      </c>
      <c r="Z448" s="61">
        <v>0</v>
      </c>
      <c r="AA448" s="61">
        <v>0</v>
      </c>
      <c r="AB448" s="28">
        <f t="shared" si="54"/>
        <v>0.121</v>
      </c>
      <c r="AE448" s="61" t="str">
        <f t="shared" si="55"/>
        <v/>
      </c>
      <c r="AF448" s="77" t="str">
        <f>_xlfn.XLOOKUP(AD448,menu!$K$2:$K$9,menu!$J$2:$J$9,"",1)</f>
        <v/>
      </c>
      <c r="AG448" s="80" t="str">
        <f>_xlfn.XLOOKUP(AH448,menu!$O$2:$O$9,menu!$H$2:$H$9,"")</f>
        <v/>
      </c>
      <c r="AI448" t="str">
        <f>_xlfn.LET(_xlpm.x,_xlfn.CONCAT(_xlfn.XLOOKUP(D448,beans!$A$2:$A$300,beans!$J$2:$J$300,"")," / ",_xlfn.XLOOKUP(D448,beans!$A$2:$A$300,beans!$K$2:$K$300,"")," - ",_xlfn.XLOOKUP(D448,beans!$A$2:$A$300,beans!$L$2:$L$300,"")),IF(_xlpm.x=" /  - ","",_xlpm.x))</f>
        <v>Cultivar / 聖特蕾莎莊園 - Geisha</v>
      </c>
      <c r="AJ448" s="23" t="s">
        <v>700</v>
      </c>
    </row>
    <row r="449" spans="1:36" x14ac:dyDescent="0.3">
      <c r="A449">
        <v>432</v>
      </c>
      <c r="B449">
        <v>496.9</v>
      </c>
      <c r="D449">
        <v>22</v>
      </c>
      <c r="E449" t="str">
        <f>_xlfn.LET(_xlpm.x,_xlfn.XLOOKUP(D449,beans!$A$2:$A$300,beans!$H$2:$H$300,""),IF(_xlpm.x="","",_xlpm.x))</f>
        <v>衣索比亞</v>
      </c>
      <c r="F449" s="22" t="str">
        <f>_xlfn.XLOOKUP(E449,menu!$A$2:$A$37,menu!$B$2:$B$37,"")</f>
        <v>Ethiopia</v>
      </c>
      <c r="G449" t="str">
        <f>_xlfn.XLOOKUP(E449,menu!$A$2:$A$37,menu!$C$2:$C$37,"")</f>
        <v>eth</v>
      </c>
      <c r="H449" t="str">
        <f>_xlfn.LET(_xlpm.x,_xlfn.XLOOKUP(_xlfn.XLOOKUP(D449,beans!$A$2:$A$300,beans!$I$2:$I$300),menu!$E$2:$E$20,menu!$F$2:$F$20),IF(_xlpm.x="","",_xlpm.x))</f>
        <v>washed</v>
      </c>
      <c r="I449">
        <v>200</v>
      </c>
      <c r="J449">
        <v>90</v>
      </c>
      <c r="K449">
        <v>40</v>
      </c>
      <c r="L449">
        <v>90</v>
      </c>
      <c r="M449" s="68" t="s">
        <v>125</v>
      </c>
      <c r="N449">
        <v>84.7</v>
      </c>
      <c r="P449" s="67" t="s">
        <v>594</v>
      </c>
      <c r="Q449" s="68">
        <v>205.7</v>
      </c>
      <c r="R449" s="67" t="s">
        <v>479</v>
      </c>
      <c r="S449" s="68">
        <v>216.7</v>
      </c>
      <c r="T449" s="68">
        <f t="shared" si="56"/>
        <v>11</v>
      </c>
      <c r="U449">
        <f t="shared" si="52"/>
        <v>58</v>
      </c>
      <c r="V449">
        <f t="shared" si="57"/>
        <v>11.4</v>
      </c>
      <c r="W449">
        <f t="shared" si="53"/>
        <v>9.4600000000000009</v>
      </c>
      <c r="X449" s="19">
        <v>45633</v>
      </c>
      <c r="Y449" s="26">
        <v>431.9</v>
      </c>
      <c r="Z449" s="61">
        <v>0</v>
      </c>
      <c r="AA449" s="61">
        <v>0</v>
      </c>
      <c r="AB449" s="28">
        <f t="shared" si="54"/>
        <v>0.13081102837593078</v>
      </c>
      <c r="AE449" s="61" t="str">
        <f t="shared" si="55"/>
        <v/>
      </c>
      <c r="AF449" s="77" t="str">
        <f>_xlfn.XLOOKUP(AD449,menu!$K$2:$K$9,menu!$J$2:$J$9,"",1)</f>
        <v/>
      </c>
      <c r="AG449" s="80" t="str">
        <f>_xlfn.XLOOKUP(AH449,menu!$O$2:$O$9,menu!$H$2:$H$9,"")</f>
        <v/>
      </c>
      <c r="AI449" t="str">
        <f>_xlfn.LET(_xlpm.x,_xlfn.CONCAT(_xlfn.XLOOKUP(D449,beans!$A$2:$A$300,beans!$J$2:$J$300,"")," / ",_xlfn.XLOOKUP(D449,beans!$A$2:$A$300,beans!$K$2:$K$300,"")," - ",_xlfn.XLOOKUP(D449,beans!$A$2:$A$300,beans!$L$2:$L$300,"")),IF(_xlpm.x=" /  - ","",_xlpm.x))</f>
        <v>西爾希 / 戈拉寇娜處理廠 - Heirloom</v>
      </c>
      <c r="AJ449" s="23" t="s">
        <v>701</v>
      </c>
    </row>
    <row r="450" spans="1:36" x14ac:dyDescent="0.3">
      <c r="A450">
        <v>433</v>
      </c>
      <c r="B450">
        <v>248</v>
      </c>
      <c r="D450">
        <v>56</v>
      </c>
      <c r="E450" t="str">
        <f>_xlfn.LET(_xlpm.x,_xlfn.XLOOKUP(D450,beans!$A$2:$A$300,beans!$H$2:$H$300,""),IF(_xlpm.x="","",_xlpm.x))</f>
        <v>肯亞</v>
      </c>
      <c r="F450" s="22" t="str">
        <f>_xlfn.XLOOKUP(E450,menu!$A$2:$A$37,menu!$B$2:$B$37,"")</f>
        <v>Kenya</v>
      </c>
      <c r="G450" t="str">
        <f>_xlfn.XLOOKUP(E450,menu!$A$2:$A$37,menu!$C$2:$C$37,"")</f>
        <v>ken</v>
      </c>
      <c r="H450" t="str">
        <f>_xlfn.LET(_xlpm.x,_xlfn.XLOOKUP(_xlfn.XLOOKUP(D450,beans!$A$2:$A$300,beans!$I$2:$I$300),menu!$E$2:$E$20,menu!$F$2:$F$20),IF(_xlpm.x="","",_xlpm.x))</f>
        <v>washed</v>
      </c>
      <c r="I450">
        <v>190</v>
      </c>
      <c r="J450">
        <v>80</v>
      </c>
      <c r="K450">
        <v>30</v>
      </c>
      <c r="L450">
        <v>60</v>
      </c>
      <c r="M450" s="68" t="s">
        <v>125</v>
      </c>
      <c r="N450">
        <v>80.2</v>
      </c>
      <c r="P450" s="67" t="s">
        <v>131</v>
      </c>
      <c r="Q450" s="68">
        <v>207</v>
      </c>
      <c r="R450" s="67" t="s">
        <v>245</v>
      </c>
      <c r="S450" s="68">
        <v>220.7</v>
      </c>
      <c r="T450" s="68">
        <f t="shared" si="56"/>
        <v>13.699999999999989</v>
      </c>
      <c r="U450">
        <f t="shared" ref="U450:U513" si="58">_xlfn.LET(_xlpm.x,(TIMEVALUE("0:"&amp;SUBSTITUTE(R450,"'",":"))-TIMEVALUE("0:"&amp;SUBSTITUTE(P450,"'",":")))*86400,IF(_xlpm.x=0,"",ROUND(_xlpm.x,2)))</f>
        <v>52</v>
      </c>
      <c r="V450">
        <f t="shared" si="57"/>
        <v>15.8</v>
      </c>
      <c r="W450">
        <f t="shared" ref="W450:W513" si="59">_xlfn.LET(_xlpm.x,(TIMEVALUE("0:"&amp;SUBSTITUTE(R450,"'",":"))-TIMEVALUE("0:"&amp;SUBSTITUTE(P450,"'",":")))*86400,IF(_xlpm.x=0,"",ROUND(_xlpm.x/((TIMEVALUE("0:"&amp;SUBSTITUTE(R450,"'",":"))-TIMEVALUE("0:0:0"))*864),2)))</f>
        <v>8.02</v>
      </c>
      <c r="X450" s="19">
        <v>45640</v>
      </c>
      <c r="Y450" s="26">
        <v>211</v>
      </c>
      <c r="Z450" s="61">
        <v>0</v>
      </c>
      <c r="AB450" s="28">
        <f t="shared" ref="AB450:AB513" si="60">IF(Y450 &gt; 0,(B450-Y450)/B450," ")</f>
        <v>0.14919354838709678</v>
      </c>
      <c r="AE450" s="61" t="str">
        <f t="shared" ref="AE450:AE513" si="61">_xlfn.LET(_xlpm.x,AD450-AC450,IF(_xlpm.x=0,"",_xlpm.x))</f>
        <v/>
      </c>
      <c r="AF450" s="77" t="str">
        <f>_xlfn.XLOOKUP(AD450,menu!$K$2:$K$9,menu!$J$2:$J$9,"",1)</f>
        <v/>
      </c>
      <c r="AG450" s="80" t="str">
        <f>_xlfn.XLOOKUP(AH450,menu!$O$2:$O$9,menu!$H$2:$H$9,"")</f>
        <v/>
      </c>
      <c r="AI450" t="str">
        <f>_xlfn.LET(_xlpm.x,_xlfn.CONCAT(_xlfn.XLOOKUP(D450,beans!$A$2:$A$300,beans!$J$2:$J$300,"")," / ",_xlfn.XLOOKUP(D450,beans!$A$2:$A$300,beans!$K$2:$K$300,"")," - ",_xlfn.XLOOKUP(D450,beans!$A$2:$A$300,beans!$L$2:$L$300,"")),IF(_xlpm.x=" /  - ","",_xlpm.x))</f>
        <v xml:space="preserve">祁安布 / FAQ - </v>
      </c>
      <c r="AJ450" s="23" t="s">
        <v>702</v>
      </c>
    </row>
    <row r="451" spans="1:36" x14ac:dyDescent="0.3">
      <c r="A451">
        <v>434</v>
      </c>
      <c r="B451">
        <v>246.3</v>
      </c>
      <c r="D451">
        <v>35</v>
      </c>
      <c r="E451" t="str">
        <f>_xlfn.LET(_xlpm.x,_xlfn.XLOOKUP(D451,beans!$A$2:$A$300,beans!$H$2:$H$300,""),IF(_xlpm.x="","",_xlpm.x))</f>
        <v>哥倫比亞</v>
      </c>
      <c r="F451" s="22" t="str">
        <f>_xlfn.XLOOKUP(E451,menu!$A$2:$A$37,menu!$B$2:$B$37,"")</f>
        <v>Colombia</v>
      </c>
      <c r="G451" t="str">
        <f>_xlfn.XLOOKUP(E451,menu!$A$2:$A$37,menu!$C$2:$C$37,"")</f>
        <v>col</v>
      </c>
      <c r="H451" t="str">
        <f>_xlfn.LET(_xlpm.x,_xlfn.XLOOKUP(_xlfn.XLOOKUP(D451,beans!$A$2:$A$300,beans!$I$2:$I$300),menu!$E$2:$E$20,menu!$F$2:$F$20),IF(_xlpm.x="","",_xlpm.x))</f>
        <v>Ice Fermentation Natural</v>
      </c>
      <c r="I451">
        <v>200</v>
      </c>
      <c r="J451">
        <v>85</v>
      </c>
      <c r="K451">
        <v>30</v>
      </c>
      <c r="L451">
        <v>60</v>
      </c>
      <c r="M451" s="68" t="s">
        <v>87</v>
      </c>
      <c r="N451">
        <v>89.5</v>
      </c>
      <c r="P451" s="67" t="s">
        <v>703</v>
      </c>
      <c r="Q451" s="68">
        <v>203.7</v>
      </c>
      <c r="R451" s="67" t="s">
        <v>615</v>
      </c>
      <c r="S451" s="68">
        <v>217.4</v>
      </c>
      <c r="T451" s="68">
        <f t="shared" ref="T451:T514" si="62">_xlfn.LET(_xlpm.x,S451-Q451,IF(_xlpm.x=0,"",_xlpm.x))</f>
        <v>13.700000000000017</v>
      </c>
      <c r="U451">
        <f t="shared" si="58"/>
        <v>66</v>
      </c>
      <c r="V451">
        <f t="shared" ref="V451:V514" si="63">IFERROR(ROUND(T451*60/U451,1), )</f>
        <v>12.5</v>
      </c>
      <c r="W451">
        <f t="shared" si="59"/>
        <v>11.93</v>
      </c>
      <c r="X451" s="19">
        <v>45640</v>
      </c>
      <c r="Y451" s="26">
        <v>211</v>
      </c>
      <c r="Z451" s="61">
        <v>0</v>
      </c>
      <c r="AB451" s="28">
        <f t="shared" si="60"/>
        <v>0.14332115306536747</v>
      </c>
      <c r="AE451" s="61" t="str">
        <f t="shared" si="61"/>
        <v/>
      </c>
      <c r="AF451" s="77" t="str">
        <f>_xlfn.XLOOKUP(AD451,menu!$K$2:$K$9,menu!$J$2:$J$9,"",1)</f>
        <v/>
      </c>
      <c r="AG451" s="80" t="str">
        <f>_xlfn.XLOOKUP(AH451,menu!$O$2:$O$9,menu!$H$2:$H$9,"")</f>
        <v/>
      </c>
      <c r="AI451" t="str">
        <f>_xlfn.LET(_xlpm.x,_xlfn.CONCAT(_xlfn.XLOOKUP(D451,beans!$A$2:$A$300,beans!$J$2:$J$300,"")," / ",_xlfn.XLOOKUP(D451,beans!$A$2:$A$300,beans!$K$2:$K$300,"")," - ",_xlfn.XLOOKUP(D451,beans!$A$2:$A$300,beans!$L$2:$L$300,"")),IF(_xlpm.x=" /  - ","",_xlpm.x))</f>
        <v>San Agustin, Huila / 納維斯塔莊園 - 卡杜拉</v>
      </c>
      <c r="AJ451" s="23" t="s">
        <v>704</v>
      </c>
    </row>
    <row r="452" spans="1:36" x14ac:dyDescent="0.3">
      <c r="A452">
        <v>435</v>
      </c>
      <c r="B452">
        <v>250</v>
      </c>
      <c r="D452">
        <v>35</v>
      </c>
      <c r="E452" t="str">
        <f>_xlfn.LET(_xlpm.x,_xlfn.XLOOKUP(D452,beans!$A$2:$A$300,beans!$H$2:$H$300,""),IF(_xlpm.x="","",_xlpm.x))</f>
        <v>哥倫比亞</v>
      </c>
      <c r="F452" s="22" t="str">
        <f>_xlfn.XLOOKUP(E452,menu!$A$2:$A$37,menu!$B$2:$B$37,"")</f>
        <v>Colombia</v>
      </c>
      <c r="G452" t="str">
        <f>_xlfn.XLOOKUP(E452,menu!$A$2:$A$37,menu!$C$2:$C$37,"")</f>
        <v>col</v>
      </c>
      <c r="H452" t="str">
        <f>_xlfn.LET(_xlpm.x,_xlfn.XLOOKUP(_xlfn.XLOOKUP(D452,beans!$A$2:$A$300,beans!$I$2:$I$300),menu!$E$2:$E$20,menu!$F$2:$F$20),IF(_xlpm.x="","",_xlpm.x))</f>
        <v>Ice Fermentation Natural</v>
      </c>
      <c r="I452">
        <v>190</v>
      </c>
      <c r="J452">
        <v>80</v>
      </c>
      <c r="K452">
        <v>30</v>
      </c>
      <c r="L452">
        <v>60</v>
      </c>
      <c r="M452" s="68" t="s">
        <v>160</v>
      </c>
      <c r="N452">
        <v>83.2</v>
      </c>
      <c r="P452" s="67" t="s">
        <v>130</v>
      </c>
      <c r="Q452" s="68">
        <v>204.8</v>
      </c>
      <c r="R452" s="67" t="s">
        <v>40</v>
      </c>
      <c r="S452" s="68">
        <v>217.6</v>
      </c>
      <c r="T452" s="68">
        <f t="shared" si="62"/>
        <v>12.799999999999983</v>
      </c>
      <c r="U452">
        <f t="shared" si="58"/>
        <v>64</v>
      </c>
      <c r="V452">
        <f t="shared" si="63"/>
        <v>12</v>
      </c>
      <c r="W452">
        <f t="shared" si="59"/>
        <v>10.7</v>
      </c>
      <c r="X452" s="19">
        <v>45640</v>
      </c>
      <c r="Y452" s="26">
        <v>212</v>
      </c>
      <c r="Z452" s="61">
        <v>0</v>
      </c>
      <c r="AB452" s="28">
        <f t="shared" si="60"/>
        <v>0.152</v>
      </c>
      <c r="AC452" s="110">
        <v>30.5</v>
      </c>
      <c r="AD452" s="26">
        <v>47.7</v>
      </c>
      <c r="AE452" s="61">
        <f t="shared" si="61"/>
        <v>17.200000000000003</v>
      </c>
      <c r="AF452" s="77" t="str">
        <f>_xlfn.XLOOKUP(AD452,menu!$K$2:$K$9,menu!$J$2:$J$9,"",1)</f>
        <v>中深</v>
      </c>
      <c r="AG452" s="80" t="str">
        <f>_xlfn.XLOOKUP(AH452,menu!$O$2:$O$9,menu!$H$2:$H$9,"")</f>
        <v/>
      </c>
      <c r="AI452" t="str">
        <f>_xlfn.LET(_xlpm.x,_xlfn.CONCAT(_xlfn.XLOOKUP(D452,beans!$A$2:$A$300,beans!$J$2:$J$300,"")," / ",_xlfn.XLOOKUP(D452,beans!$A$2:$A$300,beans!$K$2:$K$300,"")," - ",_xlfn.XLOOKUP(D452,beans!$A$2:$A$300,beans!$L$2:$L$300,"")),IF(_xlpm.x=" /  - ","",_xlpm.x))</f>
        <v>San Agustin, Huila / 納維斯塔莊園 - 卡杜拉</v>
      </c>
      <c r="AJ452" s="23" t="s">
        <v>702</v>
      </c>
    </row>
    <row r="453" spans="1:36" x14ac:dyDescent="0.3">
      <c r="A453">
        <v>436</v>
      </c>
      <c r="B453">
        <v>250</v>
      </c>
      <c r="D453">
        <v>70</v>
      </c>
      <c r="E453" t="str">
        <f>_xlfn.LET(_xlpm.x,_xlfn.XLOOKUP(D453,beans!$A$2:$A$300,beans!$H$2:$H$300,""),IF(_xlpm.x="","",_xlpm.x))</f>
        <v>盧安達</v>
      </c>
      <c r="F453" s="22" t="str">
        <f>_xlfn.XLOOKUP(E453,menu!$A$2:$A$37,menu!$B$2:$B$37,"")</f>
        <v>Rwanda</v>
      </c>
      <c r="G453" t="str">
        <f>_xlfn.XLOOKUP(E453,menu!$A$2:$A$37,menu!$C$2:$C$37,"")</f>
        <v>rwa</v>
      </c>
      <c r="H453" t="str">
        <f>_xlfn.LET(_xlpm.x,_xlfn.XLOOKUP(_xlfn.XLOOKUP(D453,beans!$A$2:$A$300,beans!$I$2:$I$300),menu!$E$2:$E$20,menu!$F$2:$F$20),IF(_xlpm.x="","",_xlpm.x))</f>
        <v>honey</v>
      </c>
      <c r="I453">
        <v>190</v>
      </c>
      <c r="J453">
        <v>80</v>
      </c>
      <c r="K453">
        <v>30</v>
      </c>
      <c r="L453">
        <v>70</v>
      </c>
      <c r="M453" s="68" t="s">
        <v>67</v>
      </c>
      <c r="N453">
        <v>84.3</v>
      </c>
      <c r="P453" s="67" t="s">
        <v>252</v>
      </c>
      <c r="Q453" s="68">
        <v>204.8</v>
      </c>
      <c r="R453" s="67" t="s">
        <v>139</v>
      </c>
      <c r="S453" s="68">
        <v>215.9</v>
      </c>
      <c r="T453" s="68">
        <f t="shared" si="62"/>
        <v>11.099999999999994</v>
      </c>
      <c r="U453">
        <f t="shared" si="58"/>
        <v>65</v>
      </c>
      <c r="V453">
        <f t="shared" si="63"/>
        <v>10.199999999999999</v>
      </c>
      <c r="W453">
        <f t="shared" si="59"/>
        <v>10.47</v>
      </c>
      <c r="X453" s="19">
        <v>45640</v>
      </c>
      <c r="Y453" s="26">
        <v>217.9</v>
      </c>
      <c r="Z453" s="61">
        <v>0</v>
      </c>
      <c r="AB453" s="28">
        <f t="shared" si="60"/>
        <v>0.12839999999999999</v>
      </c>
      <c r="AE453" s="61" t="str">
        <f t="shared" si="61"/>
        <v/>
      </c>
      <c r="AF453" s="77" t="str">
        <f>_xlfn.XLOOKUP(AD453,menu!$K$2:$K$9,menu!$J$2:$J$9,"",1)</f>
        <v/>
      </c>
      <c r="AG453" s="80" t="str">
        <f>_xlfn.XLOOKUP(AH453,menu!$O$2:$O$9,menu!$H$2:$H$9,"")</f>
        <v/>
      </c>
      <c r="AI453" t="str">
        <f>_xlfn.LET(_xlpm.x,_xlfn.CONCAT(_xlfn.XLOOKUP(D453,beans!$A$2:$A$300,beans!$J$2:$J$300,"")," / ",_xlfn.XLOOKUP(D453,beans!$A$2:$A$300,beans!$K$2:$K$300,"")," - ",_xlfn.XLOOKUP(D453,beans!$A$2:$A$300,beans!$L$2:$L$300,"")),IF(_xlpm.x=" /  - ","",_xlpm.x))</f>
        <v xml:space="preserve">亞瑪雪克 / 其林比 - </v>
      </c>
      <c r="AJ453" s="23" t="s">
        <v>705</v>
      </c>
    </row>
    <row r="454" spans="1:36" x14ac:dyDescent="0.3">
      <c r="A454">
        <v>437</v>
      </c>
      <c r="B454">
        <v>247.5</v>
      </c>
      <c r="D454">
        <v>85</v>
      </c>
      <c r="E454" t="str">
        <f>_xlfn.LET(_xlpm.x,_xlfn.XLOOKUP(D454,beans!$A$2:$A$300,beans!$H$2:$H$300,""),IF(_xlpm.x="","",_xlpm.x))</f>
        <v>衣索比亞</v>
      </c>
      <c r="F454" s="22" t="str">
        <f>_xlfn.XLOOKUP(E454,menu!$A$2:$A$37,menu!$B$2:$B$37,"")</f>
        <v>Ethiopia</v>
      </c>
      <c r="G454" t="str">
        <f>_xlfn.XLOOKUP(E454,menu!$A$2:$A$37,menu!$C$2:$C$37,"")</f>
        <v>eth</v>
      </c>
      <c r="H454" t="str">
        <f>_xlfn.LET(_xlpm.x,_xlfn.XLOOKUP(_xlfn.XLOOKUP(D454,beans!$A$2:$A$300,beans!$I$2:$I$300),menu!$E$2:$E$20,menu!$F$2:$F$20),IF(_xlpm.x="","",_xlpm.x))</f>
        <v>natural</v>
      </c>
      <c r="I454">
        <v>200</v>
      </c>
      <c r="J454">
        <v>80</v>
      </c>
      <c r="K454">
        <v>30</v>
      </c>
      <c r="L454">
        <v>70</v>
      </c>
      <c r="M454" s="68" t="s">
        <v>87</v>
      </c>
      <c r="N454">
        <v>90</v>
      </c>
      <c r="P454" s="67" t="s">
        <v>640</v>
      </c>
      <c r="Q454" s="68">
        <v>207.7</v>
      </c>
      <c r="R454" s="67" t="s">
        <v>570</v>
      </c>
      <c r="S454" s="68">
        <v>219.7</v>
      </c>
      <c r="T454" s="68">
        <f t="shared" si="62"/>
        <v>12</v>
      </c>
      <c r="U454">
        <f t="shared" si="58"/>
        <v>61</v>
      </c>
      <c r="V454">
        <f t="shared" si="63"/>
        <v>11.8</v>
      </c>
      <c r="W454">
        <f t="shared" si="59"/>
        <v>9.92</v>
      </c>
      <c r="X454" s="19">
        <v>45640</v>
      </c>
      <c r="Y454" s="26">
        <v>211</v>
      </c>
      <c r="Z454" s="61">
        <v>0</v>
      </c>
      <c r="AB454" s="28">
        <f t="shared" si="60"/>
        <v>0.14747474747474748</v>
      </c>
      <c r="AE454" s="61" t="str">
        <f t="shared" si="61"/>
        <v/>
      </c>
      <c r="AF454" s="77" t="str">
        <f>_xlfn.XLOOKUP(AD454,menu!$K$2:$K$9,menu!$J$2:$J$9,"",1)</f>
        <v/>
      </c>
      <c r="AG454" s="80" t="str">
        <f>_xlfn.XLOOKUP(AH454,menu!$O$2:$O$9,menu!$H$2:$H$9,"")</f>
        <v/>
      </c>
      <c r="AI454" t="str">
        <f>_xlfn.LET(_xlpm.x,_xlfn.CONCAT(_xlfn.XLOOKUP(D454,beans!$A$2:$A$300,beans!$J$2:$J$300,"")," / ",_xlfn.XLOOKUP(D454,beans!$A$2:$A$300,beans!$K$2:$K$300,"")," - ",_xlfn.XLOOKUP(D454,beans!$A$2:$A$300,beans!$L$2:$L$300,"")),IF(_xlpm.x=" /  - ","",_xlpm.x))</f>
        <v xml:space="preserve">古吉 烏拉嘎 / 寇巴 - </v>
      </c>
      <c r="AJ454" s="23" t="s">
        <v>706</v>
      </c>
    </row>
    <row r="455" spans="1:36" x14ac:dyDescent="0.3">
      <c r="A455">
        <v>438</v>
      </c>
      <c r="B455">
        <v>247.5</v>
      </c>
      <c r="D455">
        <v>86</v>
      </c>
      <c r="E455" t="str">
        <f>_xlfn.LET(_xlpm.x,_xlfn.XLOOKUP(D455,beans!$A$2:$A$300,beans!$H$2:$H$300,""),IF(_xlpm.x="","",_xlpm.x))</f>
        <v>衣索比亞</v>
      </c>
      <c r="F455" s="22" t="str">
        <f>_xlfn.XLOOKUP(E455,menu!$A$2:$A$37,menu!$B$2:$B$37,"")</f>
        <v>Ethiopia</v>
      </c>
      <c r="G455" t="str">
        <f>_xlfn.XLOOKUP(E455,menu!$A$2:$A$37,menu!$C$2:$C$37,"")</f>
        <v>eth</v>
      </c>
      <c r="H455" t="str">
        <f>_xlfn.LET(_xlpm.x,_xlfn.XLOOKUP(_xlfn.XLOOKUP(D455,beans!$A$2:$A$300,beans!$I$2:$I$300),menu!$E$2:$E$20,menu!$F$2:$F$20),IF(_xlpm.x="","",_xlpm.x))</f>
        <v>natural</v>
      </c>
      <c r="I455">
        <v>200</v>
      </c>
      <c r="J455">
        <v>80</v>
      </c>
      <c r="K455">
        <v>30</v>
      </c>
      <c r="L455">
        <v>70</v>
      </c>
      <c r="M455" s="68" t="s">
        <v>160</v>
      </c>
      <c r="N455">
        <v>88.1</v>
      </c>
      <c r="P455" s="67" t="s">
        <v>615</v>
      </c>
      <c r="Q455" s="68">
        <v>207.6</v>
      </c>
      <c r="R455" s="67" t="s">
        <v>707</v>
      </c>
      <c r="S455" s="68">
        <v>219.8</v>
      </c>
      <c r="T455" s="68">
        <f t="shared" si="62"/>
        <v>12.200000000000017</v>
      </c>
      <c r="U455">
        <f t="shared" si="58"/>
        <v>57</v>
      </c>
      <c r="V455">
        <f t="shared" si="63"/>
        <v>12.8</v>
      </c>
      <c r="W455">
        <f t="shared" si="59"/>
        <v>9.34</v>
      </c>
      <c r="X455" s="19">
        <v>45640</v>
      </c>
      <c r="Y455" s="26">
        <v>211.9</v>
      </c>
      <c r="Z455" s="61">
        <v>0</v>
      </c>
      <c r="AB455" s="28">
        <f t="shared" si="60"/>
        <v>0.14383838383838382</v>
      </c>
      <c r="AE455" s="61" t="str">
        <f t="shared" si="61"/>
        <v/>
      </c>
      <c r="AF455" s="77" t="str">
        <f>_xlfn.XLOOKUP(AD455,menu!$K$2:$K$9,menu!$J$2:$J$9,"",1)</f>
        <v/>
      </c>
      <c r="AG455" s="80" t="str">
        <f>_xlfn.XLOOKUP(AH455,menu!$O$2:$O$9,menu!$H$2:$H$9,"")</f>
        <v/>
      </c>
      <c r="AI455" t="str">
        <f>_xlfn.LET(_xlpm.x,_xlfn.CONCAT(_xlfn.XLOOKUP(D455,beans!$A$2:$A$300,beans!$J$2:$J$300,"")," / ",_xlfn.XLOOKUP(D455,beans!$A$2:$A$300,beans!$K$2:$K$300,"")," - ",_xlfn.XLOOKUP(D455,beans!$A$2:$A$300,beans!$L$2:$L$300,"")),IF(_xlpm.x=" /  - ","",_xlpm.x))</f>
        <v xml:space="preserve">耶加雪菲 / (沃卡)凱菲亞歐蓓絲  Kefeyalew Obese - </v>
      </c>
      <c r="AJ455" s="23" t="s">
        <v>706</v>
      </c>
    </row>
    <row r="456" spans="1:36" x14ac:dyDescent="0.3">
      <c r="A456">
        <v>439</v>
      </c>
      <c r="B456">
        <v>500</v>
      </c>
      <c r="D456">
        <v>2</v>
      </c>
      <c r="E456" t="str">
        <f>_xlfn.LET(_xlpm.x,_xlfn.XLOOKUP(D456,beans!$A$2:$A$300,beans!$H$2:$H$300,""),IF(_xlpm.x="","",_xlpm.x))</f>
        <v>哥斯大黎加</v>
      </c>
      <c r="F456" s="22" t="str">
        <f>_xlfn.XLOOKUP(E456,menu!$A$2:$A$37,menu!$B$2:$B$37,"")</f>
        <v>Costa Rica</v>
      </c>
      <c r="G456" t="str">
        <f>_xlfn.XLOOKUP(E456,menu!$A$2:$A$37,menu!$C$2:$C$37,"")</f>
        <v>cri</v>
      </c>
      <c r="H456" t="str">
        <f>_xlfn.LET(_xlpm.x,_xlfn.XLOOKUP(_xlfn.XLOOKUP(D456,beans!$A$2:$A$300,beans!$I$2:$I$300),menu!$E$2:$E$20,menu!$F$2:$F$20),IF(_xlpm.x="","",_xlpm.x))</f>
        <v>raisin-honey</v>
      </c>
      <c r="I456">
        <v>210</v>
      </c>
      <c r="J456">
        <v>90</v>
      </c>
      <c r="K456">
        <v>30</v>
      </c>
      <c r="L456">
        <v>90</v>
      </c>
      <c r="M456" s="68" t="s">
        <v>109</v>
      </c>
      <c r="N456">
        <v>89.3</v>
      </c>
      <c r="P456" s="67" t="s">
        <v>708</v>
      </c>
      <c r="Q456" s="68">
        <v>204.1</v>
      </c>
      <c r="R456" s="67" t="s">
        <v>679</v>
      </c>
      <c r="S456" s="68">
        <v>212.7</v>
      </c>
      <c r="T456" s="68">
        <f t="shared" si="62"/>
        <v>8.5999999999999943</v>
      </c>
      <c r="U456">
        <f t="shared" si="58"/>
        <v>53</v>
      </c>
      <c r="V456">
        <f t="shared" si="63"/>
        <v>9.6999999999999993</v>
      </c>
      <c r="W456">
        <f t="shared" si="59"/>
        <v>9.31</v>
      </c>
      <c r="X456" s="19">
        <v>45640</v>
      </c>
      <c r="Y456" s="26">
        <v>434.7</v>
      </c>
      <c r="Z456" s="61">
        <v>0</v>
      </c>
      <c r="AB456" s="28">
        <f t="shared" si="60"/>
        <v>0.13060000000000002</v>
      </c>
      <c r="AE456" s="61" t="str">
        <f t="shared" si="61"/>
        <v/>
      </c>
      <c r="AF456" s="77" t="str">
        <f>_xlfn.XLOOKUP(AD456,menu!$K$2:$K$9,menu!$J$2:$J$9,"",1)</f>
        <v/>
      </c>
      <c r="AG456" s="80" t="str">
        <f>_xlfn.XLOOKUP(AH456,menu!$O$2:$O$9,menu!$H$2:$H$9,"")</f>
        <v/>
      </c>
      <c r="AI456" t="str">
        <f>_xlfn.LET(_xlpm.x,_xlfn.CONCAT(_xlfn.XLOOKUP(D456,beans!$A$2:$A$300,beans!$J$2:$J$300,"")," / ",_xlfn.XLOOKUP(D456,beans!$A$2:$A$300,beans!$K$2:$K$300,"")," - ",_xlfn.XLOOKUP(D456,beans!$A$2:$A$300,beans!$L$2:$L$300,"")),IF(_xlpm.x=" /  - ","",_xlpm.x))</f>
        <v xml:space="preserve">Tarrazu / 卡內特 音樂家系列 莫札特 - </v>
      </c>
      <c r="AJ456" s="23" t="s">
        <v>709</v>
      </c>
    </row>
    <row r="457" spans="1:36" x14ac:dyDescent="0.3">
      <c r="A457">
        <v>440</v>
      </c>
      <c r="B457">
        <v>250.2</v>
      </c>
      <c r="D457">
        <v>30</v>
      </c>
      <c r="E457" t="str">
        <f>_xlfn.LET(_xlpm.x,_xlfn.XLOOKUP(D457,beans!$A$2:$A$300,beans!$H$2:$H$300,""),IF(_xlpm.x="","",_xlpm.x))</f>
        <v>肯亞</v>
      </c>
      <c r="F457" s="22" t="str">
        <f>_xlfn.XLOOKUP(E457,menu!$A$2:$A$37,menu!$B$2:$B$37,"")</f>
        <v>Kenya</v>
      </c>
      <c r="G457" t="str">
        <f>_xlfn.XLOOKUP(E457,menu!$A$2:$A$37,menu!$C$2:$C$37,"")</f>
        <v>ken</v>
      </c>
      <c r="H457" t="str">
        <f>_xlfn.LET(_xlpm.x,_xlfn.XLOOKUP(_xlfn.XLOOKUP(D457,beans!$A$2:$A$300,beans!$I$2:$I$300),menu!$E$2:$E$20,menu!$F$2:$F$20),IF(_xlpm.x="","",_xlpm.x))</f>
        <v>washed</v>
      </c>
      <c r="I457">
        <v>200</v>
      </c>
      <c r="J457">
        <v>80</v>
      </c>
      <c r="K457">
        <v>30</v>
      </c>
      <c r="L457">
        <v>70</v>
      </c>
      <c r="M457" s="68" t="s">
        <v>157</v>
      </c>
      <c r="N457">
        <v>88.7</v>
      </c>
      <c r="P457" s="67" t="s">
        <v>710</v>
      </c>
      <c r="Q457" s="68">
        <v>202.4</v>
      </c>
      <c r="R457" s="67" t="s">
        <v>350</v>
      </c>
      <c r="S457" s="68">
        <v>220.6</v>
      </c>
      <c r="T457" s="68">
        <f t="shared" si="62"/>
        <v>18.199999999999989</v>
      </c>
      <c r="U457">
        <f t="shared" si="58"/>
        <v>120</v>
      </c>
      <c r="V457">
        <f t="shared" si="63"/>
        <v>9.1</v>
      </c>
      <c r="W457">
        <f t="shared" si="59"/>
        <v>18.43</v>
      </c>
      <c r="X457" s="19">
        <v>45640</v>
      </c>
      <c r="Y457" s="26">
        <v>214.8</v>
      </c>
      <c r="Z457" s="61">
        <v>0</v>
      </c>
      <c r="AB457" s="28">
        <f t="shared" si="60"/>
        <v>0.14148681055155868</v>
      </c>
      <c r="AE457" s="61" t="str">
        <f t="shared" si="61"/>
        <v/>
      </c>
      <c r="AF457" s="77" t="str">
        <f>_xlfn.XLOOKUP(AD457,menu!$K$2:$K$9,menu!$J$2:$J$9,"",1)</f>
        <v/>
      </c>
      <c r="AG457" s="80" t="str">
        <f>_xlfn.XLOOKUP(AH457,menu!$O$2:$O$9,menu!$H$2:$H$9,"")</f>
        <v/>
      </c>
      <c r="AI457" t="str">
        <f>_xlfn.LET(_xlpm.x,_xlfn.CONCAT(_xlfn.XLOOKUP(D457,beans!$A$2:$A$300,beans!$J$2:$J$300,"")," / ",_xlfn.XLOOKUP(D457,beans!$A$2:$A$300,beans!$K$2:$K$300,"")," - ",_xlfn.XLOOKUP(D457,beans!$A$2:$A$300,beans!$L$2:$L$300,"")),IF(_xlpm.x=" /  - ","",_xlpm.x))</f>
        <v>涅里 / 卡拉蒂那處理廠  - Ruiru 11 / SL28 / Batian</v>
      </c>
      <c r="AJ457" s="23" t="s">
        <v>705</v>
      </c>
    </row>
    <row r="458" spans="1:36" x14ac:dyDescent="0.3">
      <c r="A458">
        <v>441</v>
      </c>
      <c r="B458">
        <v>247.6</v>
      </c>
      <c r="D458">
        <v>81</v>
      </c>
      <c r="E458" t="str">
        <f>_xlfn.LET(_xlpm.x,_xlfn.XLOOKUP(D458,beans!$A$2:$A$300,beans!$H$2:$H$300,""),IF(_xlpm.x="","",_xlpm.x))</f>
        <v>薩爾瓦多</v>
      </c>
      <c r="F458" s="22" t="str">
        <f>_xlfn.XLOOKUP(E458,menu!$A$2:$A$37,menu!$B$2:$B$37,"")</f>
        <v>Salvador</v>
      </c>
      <c r="G458" t="str">
        <f>_xlfn.XLOOKUP(E458,menu!$A$2:$A$37,menu!$C$2:$C$37,"")</f>
        <v>slv</v>
      </c>
      <c r="H458" t="str">
        <f>_xlfn.LET(_xlpm.x,_xlfn.XLOOKUP(_xlfn.XLOOKUP(D458,beans!$A$2:$A$300,beans!$I$2:$I$300),menu!$E$2:$E$20,menu!$F$2:$F$20),IF(_xlpm.x="","",_xlpm.x))</f>
        <v>natural</v>
      </c>
      <c r="I458">
        <v>200</v>
      </c>
      <c r="J458">
        <v>80</v>
      </c>
      <c r="K458">
        <v>30</v>
      </c>
      <c r="L458">
        <v>70</v>
      </c>
      <c r="M458" s="68" t="s">
        <v>109</v>
      </c>
      <c r="N458">
        <v>88.7</v>
      </c>
      <c r="P458" s="67" t="s">
        <v>710</v>
      </c>
      <c r="Q458" s="68">
        <v>204.8</v>
      </c>
      <c r="R458" s="67" t="s">
        <v>570</v>
      </c>
      <c r="S458" s="68">
        <v>222.1</v>
      </c>
      <c r="T458" s="68">
        <f t="shared" si="62"/>
        <v>17.299999999999983</v>
      </c>
      <c r="U458">
        <f t="shared" si="58"/>
        <v>84</v>
      </c>
      <c r="V458">
        <f t="shared" si="63"/>
        <v>12.4</v>
      </c>
      <c r="W458">
        <f t="shared" si="59"/>
        <v>13.66</v>
      </c>
      <c r="X458" s="19">
        <v>45640</v>
      </c>
      <c r="Y458" s="26">
        <v>210</v>
      </c>
      <c r="Z458" s="61">
        <v>0</v>
      </c>
      <c r="AB458" s="28">
        <f t="shared" si="60"/>
        <v>0.15185783521809368</v>
      </c>
      <c r="AE458" s="61" t="str">
        <f t="shared" si="61"/>
        <v/>
      </c>
      <c r="AF458" s="77" t="str">
        <f>_xlfn.XLOOKUP(AD458,menu!$K$2:$K$9,menu!$J$2:$J$9,"",1)</f>
        <v/>
      </c>
      <c r="AG458" s="80" t="str">
        <f>_xlfn.XLOOKUP(AH458,menu!$O$2:$O$9,menu!$H$2:$H$9,"")</f>
        <v/>
      </c>
      <c r="AI458" t="str">
        <f>_xlfn.LET(_xlpm.x,_xlfn.CONCAT(_xlfn.XLOOKUP(D458,beans!$A$2:$A$300,beans!$J$2:$J$300,"")," / ",_xlfn.XLOOKUP(D458,beans!$A$2:$A$300,beans!$K$2:$K$300,"")," - ",_xlfn.XLOOKUP(D458,beans!$A$2:$A$300,beans!$L$2:$L$300,"")),IF(_xlpm.x=" /  - ","",_xlpm.x))</f>
        <v xml:space="preserve"> / 巧克力情人 - 波旁</v>
      </c>
      <c r="AJ458" s="23" t="s">
        <v>705</v>
      </c>
    </row>
    <row r="459" spans="1:36" x14ac:dyDescent="0.3">
      <c r="A459">
        <v>442</v>
      </c>
      <c r="B459">
        <v>497</v>
      </c>
      <c r="D459">
        <v>77</v>
      </c>
      <c r="E459" t="str">
        <f>_xlfn.LET(_xlpm.x,_xlfn.XLOOKUP(D459,beans!$A$2:$A$300,beans!$H$2:$H$300,""),IF(_xlpm.x="","",_xlpm.x))</f>
        <v>瓜地馬拉</v>
      </c>
      <c r="F459" s="22" t="str">
        <f>_xlfn.XLOOKUP(E459,menu!$A$2:$A$37,menu!$B$2:$B$37,"")</f>
        <v>Guatemala</v>
      </c>
      <c r="G459" t="str">
        <f>_xlfn.XLOOKUP(E459,menu!$A$2:$A$37,menu!$C$2:$C$37,"")</f>
        <v>gtm</v>
      </c>
      <c r="H459" t="str">
        <f>_xlfn.LET(_xlpm.x,_xlfn.XLOOKUP(_xlfn.XLOOKUP(D459,beans!$A$2:$A$300,beans!$I$2:$I$300),menu!$E$2:$E$20,menu!$F$2:$F$20),IF(_xlpm.x="","",_xlpm.x))</f>
        <v>washed</v>
      </c>
      <c r="I459">
        <v>210</v>
      </c>
      <c r="J459">
        <v>90</v>
      </c>
      <c r="K459">
        <v>40</v>
      </c>
      <c r="L459">
        <v>90</v>
      </c>
      <c r="M459" s="68" t="s">
        <v>125</v>
      </c>
      <c r="N459">
        <v>88.6</v>
      </c>
      <c r="P459" s="67" t="s">
        <v>81</v>
      </c>
      <c r="Q459" s="68">
        <v>203.1</v>
      </c>
      <c r="R459" s="67" t="s">
        <v>617</v>
      </c>
      <c r="S459" s="68">
        <v>215.8</v>
      </c>
      <c r="T459" s="68">
        <f t="shared" si="62"/>
        <v>12.700000000000017</v>
      </c>
      <c r="U459">
        <f t="shared" si="58"/>
        <v>75</v>
      </c>
      <c r="V459">
        <f t="shared" si="63"/>
        <v>10.199999999999999</v>
      </c>
      <c r="W459">
        <f t="shared" si="59"/>
        <v>12.4</v>
      </c>
      <c r="X459" s="19">
        <v>45640</v>
      </c>
      <c r="Y459" s="26">
        <v>427</v>
      </c>
      <c r="Z459" s="61">
        <v>0</v>
      </c>
      <c r="AB459" s="28">
        <f t="shared" si="60"/>
        <v>0.14084507042253522</v>
      </c>
      <c r="AE459" s="61" t="str">
        <f t="shared" si="61"/>
        <v/>
      </c>
      <c r="AF459" s="77" t="str">
        <f>_xlfn.XLOOKUP(AD459,menu!$K$2:$K$9,menu!$J$2:$J$9,"",1)</f>
        <v/>
      </c>
      <c r="AG459" s="80" t="str">
        <f>_xlfn.XLOOKUP(AH459,menu!$O$2:$O$9,menu!$H$2:$H$9,"")</f>
        <v/>
      </c>
      <c r="AI459" t="str">
        <f>_xlfn.LET(_xlpm.x,_xlfn.CONCAT(_xlfn.XLOOKUP(D459,beans!$A$2:$A$300,beans!$J$2:$J$300,"")," / ",_xlfn.XLOOKUP(D459,beans!$A$2:$A$300,beans!$K$2:$K$300,"")," - ",_xlfn.XLOOKUP(D459,beans!$A$2:$A$300,beans!$L$2:$L$300,"")),IF(_xlpm.x=" /  - ","",_xlpm.x))</f>
        <v>阿蒂特蘭湖 / 達克鴨 - 鐵皮卡、卡杜拉</v>
      </c>
      <c r="AJ459" s="23" t="s">
        <v>711</v>
      </c>
    </row>
    <row r="460" spans="1:36" x14ac:dyDescent="0.3">
      <c r="A460">
        <v>443</v>
      </c>
      <c r="B460">
        <v>496.9</v>
      </c>
      <c r="D460">
        <v>45</v>
      </c>
      <c r="E460" t="str">
        <f>_xlfn.LET(_xlpm.x,_xlfn.XLOOKUP(D460,beans!$A$2:$A$300,beans!$H$2:$H$300,""),IF(_xlpm.x="","",_xlpm.x))</f>
        <v>哥倫比亞</v>
      </c>
      <c r="F460" s="22" t="str">
        <f>_xlfn.XLOOKUP(E460,menu!$A$2:$A$37,menu!$B$2:$B$37,"")</f>
        <v>Colombia</v>
      </c>
      <c r="G460" t="str">
        <f>_xlfn.XLOOKUP(E460,menu!$A$2:$A$37,menu!$C$2:$C$37,"")</f>
        <v>col</v>
      </c>
      <c r="H460" t="str">
        <f>_xlfn.LET(_xlpm.x,_xlfn.XLOOKUP(_xlfn.XLOOKUP(D460,beans!$A$2:$A$300,beans!$I$2:$I$300),menu!$E$2:$E$20,menu!$F$2:$F$20),IF(_xlpm.x="","",_xlpm.x))</f>
        <v>Special</v>
      </c>
      <c r="I460">
        <v>210</v>
      </c>
      <c r="J460">
        <v>90</v>
      </c>
      <c r="K460">
        <v>40</v>
      </c>
      <c r="L460">
        <v>90</v>
      </c>
      <c r="M460" s="68" t="s">
        <v>54</v>
      </c>
      <c r="N460">
        <v>90.9</v>
      </c>
      <c r="P460" s="67" t="s">
        <v>102</v>
      </c>
      <c r="Q460" s="68">
        <v>209.2</v>
      </c>
      <c r="R460" s="67" t="s">
        <v>243</v>
      </c>
      <c r="S460" s="68">
        <v>216.3</v>
      </c>
      <c r="T460" s="68">
        <f t="shared" si="62"/>
        <v>7.1000000000000227</v>
      </c>
      <c r="U460">
        <f t="shared" si="58"/>
        <v>42</v>
      </c>
      <c r="V460">
        <f t="shared" si="63"/>
        <v>10.1</v>
      </c>
      <c r="W460">
        <f t="shared" si="59"/>
        <v>6.91</v>
      </c>
      <c r="X460" s="19">
        <v>45640</v>
      </c>
      <c r="Y460" s="26">
        <v>428</v>
      </c>
      <c r="Z460" s="61">
        <v>0</v>
      </c>
      <c r="AB460" s="28">
        <f t="shared" si="60"/>
        <v>0.13865969007848658</v>
      </c>
      <c r="AE460" s="61" t="str">
        <f t="shared" si="61"/>
        <v/>
      </c>
      <c r="AF460" s="77" t="str">
        <f>_xlfn.XLOOKUP(AD460,menu!$K$2:$K$9,menu!$J$2:$J$9,"",1)</f>
        <v/>
      </c>
      <c r="AG460" s="80" t="str">
        <f>_xlfn.XLOOKUP(AH460,menu!$O$2:$O$9,menu!$H$2:$H$9,"")</f>
        <v/>
      </c>
      <c r="AI460" t="str">
        <f>_xlfn.LET(_xlpm.x,_xlfn.CONCAT(_xlfn.XLOOKUP(D460,beans!$A$2:$A$300,beans!$J$2:$J$300,"")," / ",_xlfn.XLOOKUP(D460,beans!$A$2:$A$300,beans!$K$2:$K$300,"")," - ",_xlfn.XLOOKUP(D460,beans!$A$2:$A$300,beans!$L$2:$L$300,"")),IF(_xlpm.x=" /  - ","",_xlpm.x))</f>
        <v>薇拉省 / 蒙大布蘭蔻莊園 - 紫卡杜拉</v>
      </c>
      <c r="AJ460" s="23" t="s">
        <v>712</v>
      </c>
    </row>
    <row r="461" spans="1:36" x14ac:dyDescent="0.3">
      <c r="A461">
        <v>444</v>
      </c>
      <c r="B461">
        <v>500</v>
      </c>
      <c r="D461">
        <v>9</v>
      </c>
      <c r="E461" t="str">
        <f>_xlfn.LET(_xlpm.x,_xlfn.XLOOKUP(D461,beans!$A$2:$A$300,beans!$H$2:$H$300,""),IF(_xlpm.x="","",_xlpm.x))</f>
        <v>衣索比亞</v>
      </c>
      <c r="F461" s="22" t="str">
        <f>_xlfn.XLOOKUP(E461,menu!$A$2:$A$37,menu!$B$2:$B$37,"")</f>
        <v>Ethiopia</v>
      </c>
      <c r="G461" t="str">
        <f>_xlfn.XLOOKUP(E461,menu!$A$2:$A$37,menu!$C$2:$C$37,"")</f>
        <v>eth</v>
      </c>
      <c r="H461" t="str">
        <f>_xlfn.LET(_xlpm.x,_xlfn.XLOOKUP(_xlfn.XLOOKUP(D461,beans!$A$2:$A$300,beans!$I$2:$I$300),menu!$E$2:$E$20,menu!$F$2:$F$20),IF(_xlpm.x="","",_xlpm.x))</f>
        <v>natural</v>
      </c>
      <c r="I461">
        <v>210</v>
      </c>
      <c r="J461">
        <v>90</v>
      </c>
      <c r="K461">
        <v>40</v>
      </c>
      <c r="L461">
        <v>90</v>
      </c>
      <c r="M461" s="68" t="s">
        <v>54</v>
      </c>
      <c r="N461">
        <v>91.9</v>
      </c>
      <c r="P461" s="67" t="s">
        <v>517</v>
      </c>
      <c r="Q461" s="68">
        <v>206.6</v>
      </c>
      <c r="R461" s="67" t="s">
        <v>259</v>
      </c>
      <c r="S461" s="68">
        <v>218.4</v>
      </c>
      <c r="T461" s="68">
        <f t="shared" si="62"/>
        <v>11.800000000000011</v>
      </c>
      <c r="U461">
        <f t="shared" si="58"/>
        <v>58</v>
      </c>
      <c r="V461">
        <f t="shared" si="63"/>
        <v>12.2</v>
      </c>
      <c r="W461">
        <f t="shared" si="59"/>
        <v>9.27</v>
      </c>
      <c r="X461" s="19">
        <v>45640</v>
      </c>
      <c r="Y461" s="26">
        <v>423</v>
      </c>
      <c r="Z461" s="61">
        <v>0</v>
      </c>
      <c r="AB461" s="28">
        <f t="shared" si="60"/>
        <v>0.154</v>
      </c>
      <c r="AE461" s="61" t="str">
        <f t="shared" si="61"/>
        <v/>
      </c>
      <c r="AF461" s="77" t="str">
        <f>_xlfn.XLOOKUP(AD461,menu!$K$2:$K$9,menu!$J$2:$J$9,"",1)</f>
        <v/>
      </c>
      <c r="AG461" s="80" t="str">
        <f>_xlfn.XLOOKUP(AH461,menu!$O$2:$O$9,menu!$H$2:$H$9,"")</f>
        <v/>
      </c>
      <c r="AI461" t="str">
        <f>_xlfn.LET(_xlpm.x,_xlfn.CONCAT(_xlfn.XLOOKUP(D461,beans!$A$2:$A$300,beans!$J$2:$J$300,"")," / ",_xlfn.XLOOKUP(D461,beans!$A$2:$A$300,beans!$K$2:$K$300,"")," - ",_xlfn.XLOOKUP(D461,beans!$A$2:$A$300,beans!$L$2:$L$300,"")),IF(_xlpm.x=" /  - ","",_xlpm.x))</f>
        <v>吉瑪 利姆 / 果美村 - 寶貝藝妓</v>
      </c>
      <c r="AJ461" s="23" t="s">
        <v>713</v>
      </c>
    </row>
    <row r="462" spans="1:36" x14ac:dyDescent="0.3">
      <c r="A462">
        <v>445</v>
      </c>
      <c r="B462">
        <v>490</v>
      </c>
      <c r="D462">
        <v>2</v>
      </c>
      <c r="E462" t="str">
        <f>_xlfn.LET(_xlpm.x,_xlfn.XLOOKUP(D462,beans!$A$2:$A$300,beans!$H$2:$H$300,""),IF(_xlpm.x="","",_xlpm.x))</f>
        <v>哥斯大黎加</v>
      </c>
      <c r="F462" s="22" t="str">
        <f>_xlfn.XLOOKUP(E462,menu!$A$2:$A$37,menu!$B$2:$B$37,"")</f>
        <v>Costa Rica</v>
      </c>
      <c r="G462" t="str">
        <f>_xlfn.XLOOKUP(E462,menu!$A$2:$A$37,menu!$C$2:$C$37,"")</f>
        <v>cri</v>
      </c>
      <c r="H462" t="str">
        <f>_xlfn.LET(_xlpm.x,_xlfn.XLOOKUP(_xlfn.XLOOKUP(D462,beans!$A$2:$A$300,beans!$I$2:$I$300),menu!$E$2:$E$20,menu!$F$2:$F$20),IF(_xlpm.x="","",_xlpm.x))</f>
        <v>raisin-honey</v>
      </c>
      <c r="I462">
        <v>210</v>
      </c>
      <c r="J462">
        <v>90</v>
      </c>
      <c r="K462">
        <v>40</v>
      </c>
      <c r="L462">
        <v>90</v>
      </c>
      <c r="M462" s="68" t="s">
        <v>109</v>
      </c>
      <c r="N462">
        <v>87.6</v>
      </c>
      <c r="P462" s="67" t="s">
        <v>714</v>
      </c>
      <c r="Q462" s="68">
        <v>206.2</v>
      </c>
      <c r="R462" s="67" t="s">
        <v>354</v>
      </c>
      <c r="S462" s="68">
        <v>213.9</v>
      </c>
      <c r="T462" s="68">
        <f t="shared" si="62"/>
        <v>7.7000000000000171</v>
      </c>
      <c r="U462">
        <f t="shared" si="58"/>
        <v>40</v>
      </c>
      <c r="V462">
        <f t="shared" si="63"/>
        <v>11.6</v>
      </c>
      <c r="W462">
        <f t="shared" si="59"/>
        <v>6.46</v>
      </c>
      <c r="X462" s="19">
        <v>45640</v>
      </c>
      <c r="Y462" s="26">
        <v>426.3</v>
      </c>
      <c r="Z462" s="61">
        <v>0</v>
      </c>
      <c r="AA462" s="61">
        <v>0</v>
      </c>
      <c r="AB462" s="28">
        <f t="shared" si="60"/>
        <v>0.12999999999999998</v>
      </c>
      <c r="AE462" s="61" t="str">
        <f t="shared" si="61"/>
        <v/>
      </c>
      <c r="AF462" s="77" t="str">
        <f>_xlfn.XLOOKUP(AD462,menu!$K$2:$K$9,menu!$J$2:$J$9,"",1)</f>
        <v/>
      </c>
      <c r="AG462" s="80" t="str">
        <f>_xlfn.XLOOKUP(AH462,menu!$O$2:$O$9,menu!$H$2:$H$9,"")</f>
        <v/>
      </c>
      <c r="AI462" t="str">
        <f>_xlfn.LET(_xlpm.x,_xlfn.CONCAT(_xlfn.XLOOKUP(D462,beans!$A$2:$A$300,beans!$J$2:$J$300,"")," / ",_xlfn.XLOOKUP(D462,beans!$A$2:$A$300,beans!$K$2:$K$300,"")," - ",_xlfn.XLOOKUP(D462,beans!$A$2:$A$300,beans!$L$2:$L$300,"")),IF(_xlpm.x=" /  - ","",_xlpm.x))</f>
        <v xml:space="preserve">Tarrazu / 卡內特 音樂家系列 莫札特 - </v>
      </c>
      <c r="AJ462" s="23" t="s">
        <v>715</v>
      </c>
    </row>
    <row r="463" spans="1:36" x14ac:dyDescent="0.3">
      <c r="A463">
        <v>446</v>
      </c>
      <c r="B463">
        <v>500</v>
      </c>
      <c r="D463">
        <v>2</v>
      </c>
      <c r="E463" t="str">
        <f>_xlfn.LET(_xlpm.x,_xlfn.XLOOKUP(D463,beans!$A$2:$A$300,beans!$H$2:$H$300,""),IF(_xlpm.x="","",_xlpm.x))</f>
        <v>哥斯大黎加</v>
      </c>
      <c r="F463" s="22" t="str">
        <f>_xlfn.XLOOKUP(E463,menu!$A$2:$A$37,menu!$B$2:$B$37,"")</f>
        <v>Costa Rica</v>
      </c>
      <c r="G463" t="str">
        <f>_xlfn.XLOOKUP(E463,menu!$A$2:$A$37,menu!$C$2:$C$37,"")</f>
        <v>cri</v>
      </c>
      <c r="H463" t="str">
        <f>_xlfn.LET(_xlpm.x,_xlfn.XLOOKUP(_xlfn.XLOOKUP(D463,beans!$A$2:$A$300,beans!$I$2:$I$300),menu!$E$2:$E$20,menu!$F$2:$F$20),IF(_xlpm.x="","",_xlpm.x))</f>
        <v>raisin-honey</v>
      </c>
      <c r="I463">
        <v>210</v>
      </c>
      <c r="J463">
        <v>90</v>
      </c>
      <c r="K463">
        <v>40</v>
      </c>
      <c r="L463">
        <v>90</v>
      </c>
      <c r="T463" s="68" t="str">
        <f t="shared" si="62"/>
        <v/>
      </c>
      <c r="U463" t="str">
        <f t="shared" si="58"/>
        <v/>
      </c>
      <c r="V463">
        <f t="shared" si="63"/>
        <v>0</v>
      </c>
      <c r="W463" t="str">
        <f t="shared" si="59"/>
        <v/>
      </c>
      <c r="X463" s="19">
        <v>45640</v>
      </c>
      <c r="Y463" s="26">
        <v>431</v>
      </c>
      <c r="Z463" s="61">
        <v>0</v>
      </c>
      <c r="AA463" s="61">
        <v>0</v>
      </c>
      <c r="AB463" s="28">
        <f t="shared" si="60"/>
        <v>0.13800000000000001</v>
      </c>
      <c r="AE463" s="61" t="str">
        <f t="shared" si="61"/>
        <v/>
      </c>
      <c r="AF463" s="77" t="str">
        <f>_xlfn.XLOOKUP(AD463,menu!$K$2:$K$9,menu!$J$2:$J$9,"",1)</f>
        <v/>
      </c>
      <c r="AG463" s="80" t="str">
        <f>_xlfn.XLOOKUP(AH463,menu!$O$2:$O$9,menu!$H$2:$H$9,"")</f>
        <v/>
      </c>
      <c r="AI463" t="str">
        <f>_xlfn.LET(_xlpm.x,_xlfn.CONCAT(_xlfn.XLOOKUP(D463,beans!$A$2:$A$300,beans!$J$2:$J$300,"")," / ",_xlfn.XLOOKUP(D463,beans!$A$2:$A$300,beans!$K$2:$K$300,"")," - ",_xlfn.XLOOKUP(D463,beans!$A$2:$A$300,beans!$L$2:$L$300,"")),IF(_xlpm.x=" /  - ","",_xlpm.x))</f>
        <v xml:space="preserve">Tarrazu / 卡內特 音樂家系列 莫札特 - </v>
      </c>
      <c r="AJ463" s="23" t="s">
        <v>716</v>
      </c>
    </row>
    <row r="464" spans="1:36" x14ac:dyDescent="0.3">
      <c r="A464">
        <v>447</v>
      </c>
      <c r="B464">
        <v>500</v>
      </c>
      <c r="D464">
        <v>2</v>
      </c>
      <c r="E464" t="str">
        <f>_xlfn.LET(_xlpm.x,_xlfn.XLOOKUP(D464,beans!$A$2:$A$300,beans!$H$2:$H$300,""),IF(_xlpm.x="","",_xlpm.x))</f>
        <v>哥斯大黎加</v>
      </c>
      <c r="F464" s="22" t="str">
        <f>_xlfn.XLOOKUP(E464,menu!$A$2:$A$37,menu!$B$2:$B$37,"")</f>
        <v>Costa Rica</v>
      </c>
      <c r="G464" t="str">
        <f>_xlfn.XLOOKUP(E464,menu!$A$2:$A$37,menu!$C$2:$C$37,"")</f>
        <v>cri</v>
      </c>
      <c r="H464" t="str">
        <f>_xlfn.LET(_xlpm.x,_xlfn.XLOOKUP(_xlfn.XLOOKUP(D464,beans!$A$2:$A$300,beans!$I$2:$I$300),menu!$E$2:$E$20,menu!$F$2:$F$20),IF(_xlpm.x="","",_xlpm.x))</f>
        <v>raisin-honey</v>
      </c>
      <c r="I464">
        <v>210</v>
      </c>
      <c r="J464">
        <v>90</v>
      </c>
      <c r="K464">
        <v>40</v>
      </c>
      <c r="L464">
        <v>90</v>
      </c>
      <c r="T464" s="68" t="str">
        <f t="shared" si="62"/>
        <v/>
      </c>
      <c r="U464" t="str">
        <f t="shared" si="58"/>
        <v/>
      </c>
      <c r="V464">
        <f t="shared" si="63"/>
        <v>0</v>
      </c>
      <c r="W464" t="str">
        <f t="shared" si="59"/>
        <v/>
      </c>
      <c r="X464" s="19">
        <v>45640</v>
      </c>
      <c r="Y464" s="26">
        <v>435</v>
      </c>
      <c r="Z464" s="61">
        <v>0</v>
      </c>
      <c r="AA464" s="61">
        <v>0</v>
      </c>
      <c r="AB464" s="28">
        <f t="shared" si="60"/>
        <v>0.13</v>
      </c>
      <c r="AE464" s="61" t="str">
        <f t="shared" si="61"/>
        <v/>
      </c>
      <c r="AF464" s="77" t="str">
        <f>_xlfn.XLOOKUP(AD464,menu!$K$2:$K$9,menu!$J$2:$J$9,"",1)</f>
        <v/>
      </c>
      <c r="AG464" s="80" t="str">
        <f>_xlfn.XLOOKUP(AH464,menu!$O$2:$O$9,menu!$H$2:$H$9,"")</f>
        <v/>
      </c>
      <c r="AI464" t="str">
        <f>_xlfn.LET(_xlpm.x,_xlfn.CONCAT(_xlfn.XLOOKUP(D464,beans!$A$2:$A$300,beans!$J$2:$J$300,"")," / ",_xlfn.XLOOKUP(D464,beans!$A$2:$A$300,beans!$K$2:$K$300,"")," - ",_xlfn.XLOOKUP(D464,beans!$A$2:$A$300,beans!$L$2:$L$300,"")),IF(_xlpm.x=" /  - ","",_xlpm.x))</f>
        <v xml:space="preserve">Tarrazu / 卡內特 音樂家系列 莫札特 - </v>
      </c>
      <c r="AJ464" s="23" t="s">
        <v>716</v>
      </c>
    </row>
    <row r="465" spans="1:36" x14ac:dyDescent="0.3">
      <c r="A465">
        <v>448</v>
      </c>
      <c r="B465">
        <v>500</v>
      </c>
      <c r="D465">
        <v>84</v>
      </c>
      <c r="E465" t="str">
        <f>_xlfn.LET(_xlpm.x,_xlfn.XLOOKUP(D465,beans!$A$2:$A$300,beans!$H$2:$H$300,""),IF(_xlpm.x="","",_xlpm.x))</f>
        <v>哥倫比亞</v>
      </c>
      <c r="F465" s="22" t="str">
        <f>_xlfn.XLOOKUP(E465,menu!$A$2:$A$37,menu!$B$2:$B$37,"")</f>
        <v>Colombia</v>
      </c>
      <c r="G465" t="str">
        <f>_xlfn.XLOOKUP(E465,menu!$A$2:$A$37,menu!$C$2:$C$37,"")</f>
        <v>col</v>
      </c>
      <c r="H465" t="str">
        <f>_xlfn.LET(_xlpm.x,_xlfn.XLOOKUP(_xlfn.XLOOKUP(D465,beans!$A$2:$A$300,beans!$I$2:$I$300),menu!$E$2:$E$20,menu!$F$2:$F$20),IF(_xlpm.x="","",_xlpm.x))</f>
        <v>Anaerobic Washed</v>
      </c>
      <c r="I465">
        <v>210</v>
      </c>
      <c r="J465">
        <v>85</v>
      </c>
      <c r="K465">
        <v>40</v>
      </c>
      <c r="L465">
        <v>90</v>
      </c>
      <c r="M465" s="68" t="s">
        <v>54</v>
      </c>
      <c r="N465">
        <v>87.7</v>
      </c>
      <c r="P465" s="67" t="s">
        <v>274</v>
      </c>
      <c r="Q465" s="68">
        <v>205.1</v>
      </c>
      <c r="R465" s="67" t="s">
        <v>172</v>
      </c>
      <c r="S465" s="68">
        <v>212.6</v>
      </c>
      <c r="T465" s="68">
        <f t="shared" si="62"/>
        <v>7.5</v>
      </c>
      <c r="U465">
        <f t="shared" si="58"/>
        <v>41</v>
      </c>
      <c r="V465">
        <f t="shared" si="63"/>
        <v>11</v>
      </c>
      <c r="W465">
        <f t="shared" si="59"/>
        <v>6.58</v>
      </c>
      <c r="X465" s="19">
        <v>45640</v>
      </c>
      <c r="Y465" s="26">
        <v>432.5</v>
      </c>
      <c r="Z465" s="61">
        <v>0</v>
      </c>
      <c r="AA465" s="61">
        <v>0</v>
      </c>
      <c r="AB465" s="28">
        <f t="shared" si="60"/>
        <v>0.13500000000000001</v>
      </c>
      <c r="AE465" s="61" t="str">
        <f t="shared" si="61"/>
        <v/>
      </c>
      <c r="AF465" s="77" t="str">
        <f>_xlfn.XLOOKUP(AD465,menu!$K$2:$K$9,menu!$J$2:$J$9,"",1)</f>
        <v/>
      </c>
      <c r="AG465" s="80" t="str">
        <f>_xlfn.XLOOKUP(AH465,menu!$O$2:$O$9,menu!$H$2:$H$9,"")</f>
        <v/>
      </c>
      <c r="AI465" t="str">
        <f>_xlfn.LET(_xlpm.x,_xlfn.CONCAT(_xlfn.XLOOKUP(D465,beans!$A$2:$A$300,beans!$J$2:$J$300,"")," / ",_xlfn.XLOOKUP(D465,beans!$A$2:$A$300,beans!$K$2:$K$300,"")," - ",_xlfn.XLOOKUP(D465,beans!$A$2:$A$300,beans!$L$2:$L$300,"")),IF(_xlpm.x=" /  - ","",_xlpm.x))</f>
        <v xml:space="preserve">瑪格麗特 / 玉荷包荔枝 - </v>
      </c>
      <c r="AJ465" s="23" t="s">
        <v>715</v>
      </c>
    </row>
    <row r="466" spans="1:36" x14ac:dyDescent="0.3">
      <c r="A466">
        <v>449</v>
      </c>
      <c r="B466">
        <v>465.2</v>
      </c>
      <c r="D466">
        <v>84</v>
      </c>
      <c r="E466" t="str">
        <f>_xlfn.LET(_xlpm.x,_xlfn.XLOOKUP(D466,beans!$A$2:$A$300,beans!$H$2:$H$300,""),IF(_xlpm.x="","",_xlpm.x))</f>
        <v>哥倫比亞</v>
      </c>
      <c r="F466" s="22" t="str">
        <f>_xlfn.XLOOKUP(E466,menu!$A$2:$A$37,menu!$B$2:$B$37,"")</f>
        <v>Colombia</v>
      </c>
      <c r="G466" t="str">
        <f>_xlfn.XLOOKUP(E466,menu!$A$2:$A$37,menu!$C$2:$C$37,"")</f>
        <v>col</v>
      </c>
      <c r="H466" t="str">
        <f>_xlfn.LET(_xlpm.x,_xlfn.XLOOKUP(_xlfn.XLOOKUP(D466,beans!$A$2:$A$300,beans!$I$2:$I$300),menu!$E$2:$E$20,menu!$F$2:$F$20),IF(_xlpm.x="","",_xlpm.x))</f>
        <v>Anaerobic Washed</v>
      </c>
      <c r="I466">
        <v>210</v>
      </c>
      <c r="J466">
        <v>85</v>
      </c>
      <c r="K466">
        <v>40</v>
      </c>
      <c r="L466">
        <v>90</v>
      </c>
      <c r="T466" s="68" t="str">
        <f t="shared" si="62"/>
        <v/>
      </c>
      <c r="U466" t="str">
        <f t="shared" si="58"/>
        <v/>
      </c>
      <c r="V466">
        <f t="shared" si="63"/>
        <v>0</v>
      </c>
      <c r="W466" t="str">
        <f t="shared" si="59"/>
        <v/>
      </c>
      <c r="X466" s="19">
        <v>45640</v>
      </c>
      <c r="Y466" s="26">
        <v>403.7</v>
      </c>
      <c r="Z466" s="61">
        <v>0</v>
      </c>
      <c r="AA466" s="61">
        <v>0</v>
      </c>
      <c r="AB466" s="28">
        <f t="shared" si="60"/>
        <v>0.13220120378331901</v>
      </c>
      <c r="AE466" s="61" t="str">
        <f t="shared" si="61"/>
        <v/>
      </c>
      <c r="AF466" s="77" t="str">
        <f>_xlfn.XLOOKUP(AD466,menu!$K$2:$K$9,menu!$J$2:$J$9,"",1)</f>
        <v/>
      </c>
      <c r="AG466" s="80" t="str">
        <f>_xlfn.XLOOKUP(AH466,menu!$O$2:$O$9,menu!$H$2:$H$9,"")</f>
        <v/>
      </c>
      <c r="AI466" t="str">
        <f>_xlfn.LET(_xlpm.x,_xlfn.CONCAT(_xlfn.XLOOKUP(D466,beans!$A$2:$A$300,beans!$J$2:$J$300,"")," / ",_xlfn.XLOOKUP(D466,beans!$A$2:$A$300,beans!$K$2:$K$300,"")," - ",_xlfn.XLOOKUP(D466,beans!$A$2:$A$300,beans!$L$2:$L$300,"")),IF(_xlpm.x=" /  - ","",_xlpm.x))</f>
        <v xml:space="preserve">瑪格麗特 / 玉荷包荔枝 - </v>
      </c>
      <c r="AJ466" s="23" t="s">
        <v>717</v>
      </c>
    </row>
    <row r="467" spans="1:36" x14ac:dyDescent="0.3">
      <c r="A467">
        <v>450</v>
      </c>
      <c r="B467">
        <v>500</v>
      </c>
      <c r="D467">
        <v>49</v>
      </c>
      <c r="E467" t="str">
        <f>_xlfn.LET(_xlpm.x,_xlfn.XLOOKUP(D467,beans!$A$2:$A$300,beans!$H$2:$H$300,""),IF(_xlpm.x="","",_xlpm.x))</f>
        <v>秘魯</v>
      </c>
      <c r="F467" s="22" t="str">
        <f>_xlfn.XLOOKUP(E467,menu!$A$2:$A$37,menu!$B$2:$B$37,"")</f>
        <v>Peru</v>
      </c>
      <c r="G467" t="str">
        <f>_xlfn.XLOOKUP(E467,menu!$A$2:$A$37,menu!$C$2:$C$37,"")</f>
        <v>per</v>
      </c>
      <c r="H467" t="str">
        <f>_xlfn.LET(_xlpm.x,_xlfn.XLOOKUP(_xlfn.XLOOKUP(D467,beans!$A$2:$A$300,beans!$I$2:$I$300),menu!$E$2:$E$20,menu!$F$2:$F$20),IF(_xlpm.x="","",_xlpm.x))</f>
        <v>natural</v>
      </c>
      <c r="I467">
        <v>200</v>
      </c>
      <c r="J467">
        <v>90</v>
      </c>
      <c r="K467">
        <v>40</v>
      </c>
      <c r="L467">
        <v>90</v>
      </c>
      <c r="T467" s="68" t="str">
        <f t="shared" si="62"/>
        <v/>
      </c>
      <c r="U467" t="str">
        <f t="shared" si="58"/>
        <v/>
      </c>
      <c r="V467">
        <f t="shared" si="63"/>
        <v>0</v>
      </c>
      <c r="W467" t="str">
        <f t="shared" si="59"/>
        <v/>
      </c>
      <c r="X467" s="19">
        <v>45640</v>
      </c>
      <c r="Y467" s="26">
        <v>438</v>
      </c>
      <c r="Z467" s="61">
        <v>0</v>
      </c>
      <c r="AA467" s="61">
        <v>0</v>
      </c>
      <c r="AB467" s="28">
        <f t="shared" si="60"/>
        <v>0.124</v>
      </c>
      <c r="AE467" s="61" t="str">
        <f t="shared" si="61"/>
        <v/>
      </c>
      <c r="AF467" s="77" t="str">
        <f>_xlfn.XLOOKUP(AD467,menu!$K$2:$K$9,menu!$J$2:$J$9,"",1)</f>
        <v/>
      </c>
      <c r="AG467" s="80" t="str">
        <f>_xlfn.XLOOKUP(AH467,menu!$O$2:$O$9,menu!$H$2:$H$9,"")</f>
        <v/>
      </c>
      <c r="AI467" t="str">
        <f>_xlfn.LET(_xlpm.x,_xlfn.CONCAT(_xlfn.XLOOKUP(D467,beans!$A$2:$A$300,beans!$J$2:$J$300,"")," / ",_xlfn.XLOOKUP(D467,beans!$A$2:$A$300,beans!$K$2:$K$300,"")," - ",_xlfn.XLOOKUP(D467,beans!$A$2:$A$300,beans!$L$2:$L$300,"")),IF(_xlpm.x=" /  - ","",_xlpm.x))</f>
        <v>Cultivar / 聖特蕾莎莊園 - Geisha</v>
      </c>
      <c r="AJ467" s="23" t="s">
        <v>718</v>
      </c>
    </row>
    <row r="468" spans="1:36" x14ac:dyDescent="0.3">
      <c r="A468">
        <v>451</v>
      </c>
      <c r="B468">
        <v>500</v>
      </c>
      <c r="D468">
        <v>49</v>
      </c>
      <c r="E468" t="str">
        <f>_xlfn.LET(_xlpm.x,_xlfn.XLOOKUP(D468,beans!$A$2:$A$300,beans!$H$2:$H$300,""),IF(_xlpm.x="","",_xlpm.x))</f>
        <v>秘魯</v>
      </c>
      <c r="F468" s="22" t="str">
        <f>_xlfn.XLOOKUP(E468,menu!$A$2:$A$37,menu!$B$2:$B$37,"")</f>
        <v>Peru</v>
      </c>
      <c r="G468" t="str">
        <f>_xlfn.XLOOKUP(E468,menu!$A$2:$A$37,menu!$C$2:$C$37,"")</f>
        <v>per</v>
      </c>
      <c r="H468" t="str">
        <f>_xlfn.LET(_xlpm.x,_xlfn.XLOOKUP(_xlfn.XLOOKUP(D468,beans!$A$2:$A$300,beans!$I$2:$I$300),menu!$E$2:$E$20,menu!$F$2:$F$20),IF(_xlpm.x="","",_xlpm.x))</f>
        <v>natural</v>
      </c>
      <c r="I468">
        <v>200</v>
      </c>
      <c r="J468">
        <v>90</v>
      </c>
      <c r="K468">
        <v>40</v>
      </c>
      <c r="L468">
        <v>90</v>
      </c>
      <c r="T468" s="68" t="str">
        <f t="shared" si="62"/>
        <v/>
      </c>
      <c r="U468" t="str">
        <f t="shared" si="58"/>
        <v/>
      </c>
      <c r="V468">
        <f t="shared" si="63"/>
        <v>0</v>
      </c>
      <c r="W468" t="str">
        <f t="shared" si="59"/>
        <v/>
      </c>
      <c r="X468" s="19">
        <v>45640</v>
      </c>
      <c r="Y468" s="26">
        <v>434</v>
      </c>
      <c r="Z468" s="61">
        <v>0</v>
      </c>
      <c r="AA468" s="61">
        <v>0</v>
      </c>
      <c r="AB468" s="28">
        <f t="shared" si="60"/>
        <v>0.13200000000000001</v>
      </c>
      <c r="AE468" s="61" t="str">
        <f t="shared" si="61"/>
        <v/>
      </c>
      <c r="AF468" s="77" t="str">
        <f>_xlfn.XLOOKUP(AD468,menu!$K$2:$K$9,menu!$J$2:$J$9,"",1)</f>
        <v/>
      </c>
      <c r="AG468" s="80" t="str">
        <f>_xlfn.XLOOKUP(AH468,menu!$O$2:$O$9,menu!$H$2:$H$9,"")</f>
        <v/>
      </c>
      <c r="AI468" t="str">
        <f>_xlfn.LET(_xlpm.x,_xlfn.CONCAT(_xlfn.XLOOKUP(D468,beans!$A$2:$A$300,beans!$J$2:$J$300,"")," / ",_xlfn.XLOOKUP(D468,beans!$A$2:$A$300,beans!$K$2:$K$300,"")," - ",_xlfn.XLOOKUP(D468,beans!$A$2:$A$300,beans!$L$2:$L$300,"")),IF(_xlpm.x=" /  - ","",_xlpm.x))</f>
        <v>Cultivar / 聖特蕾莎莊園 - Geisha</v>
      </c>
      <c r="AJ468" s="23" t="s">
        <v>719</v>
      </c>
    </row>
    <row r="469" spans="1:36" x14ac:dyDescent="0.3">
      <c r="A469">
        <v>452</v>
      </c>
      <c r="B469">
        <v>500</v>
      </c>
      <c r="D469">
        <v>49</v>
      </c>
      <c r="E469" t="str">
        <f>_xlfn.LET(_xlpm.x,_xlfn.XLOOKUP(D469,beans!$A$2:$A$300,beans!$H$2:$H$300,""),IF(_xlpm.x="","",_xlpm.x))</f>
        <v>秘魯</v>
      </c>
      <c r="F469" s="22" t="str">
        <f>_xlfn.XLOOKUP(E469,menu!$A$2:$A$37,menu!$B$2:$B$37,"")</f>
        <v>Peru</v>
      </c>
      <c r="G469" t="str">
        <f>_xlfn.XLOOKUP(E469,menu!$A$2:$A$37,menu!$C$2:$C$37,"")</f>
        <v>per</v>
      </c>
      <c r="H469" t="str">
        <f>_xlfn.LET(_xlpm.x,_xlfn.XLOOKUP(_xlfn.XLOOKUP(D469,beans!$A$2:$A$300,beans!$I$2:$I$300),menu!$E$2:$E$20,menu!$F$2:$F$20),IF(_xlpm.x="","",_xlpm.x))</f>
        <v>natural</v>
      </c>
      <c r="I469">
        <v>200</v>
      </c>
      <c r="J469">
        <v>88</v>
      </c>
      <c r="K469">
        <v>40</v>
      </c>
      <c r="L469">
        <v>90</v>
      </c>
      <c r="M469" s="68" t="s">
        <v>87</v>
      </c>
      <c r="N469">
        <v>89.8</v>
      </c>
      <c r="P469" s="67" t="s">
        <v>277</v>
      </c>
      <c r="Q469" s="68">
        <v>202.3</v>
      </c>
      <c r="R469" s="67" t="s">
        <v>649</v>
      </c>
      <c r="S469" s="68">
        <v>212.4</v>
      </c>
      <c r="T469" s="68">
        <f t="shared" si="62"/>
        <v>10.099999999999994</v>
      </c>
      <c r="U469">
        <f t="shared" si="58"/>
        <v>50</v>
      </c>
      <c r="V469">
        <f t="shared" si="63"/>
        <v>12.1</v>
      </c>
      <c r="W469">
        <f t="shared" si="59"/>
        <v>8.76</v>
      </c>
      <c r="X469" s="19">
        <v>45640</v>
      </c>
      <c r="Y469" s="26">
        <v>438</v>
      </c>
      <c r="Z469" s="61">
        <v>0</v>
      </c>
      <c r="AA469" s="61">
        <v>0</v>
      </c>
      <c r="AB469" s="28">
        <f t="shared" si="60"/>
        <v>0.124</v>
      </c>
      <c r="AE469" s="61" t="str">
        <f t="shared" si="61"/>
        <v/>
      </c>
      <c r="AF469" s="77" t="str">
        <f>_xlfn.XLOOKUP(AD469,menu!$K$2:$K$9,menu!$J$2:$J$9,"",1)</f>
        <v/>
      </c>
      <c r="AG469" s="80" t="str">
        <f>_xlfn.XLOOKUP(AH469,menu!$O$2:$O$9,menu!$H$2:$H$9,"")</f>
        <v/>
      </c>
      <c r="AI469" t="str">
        <f>_xlfn.LET(_xlpm.x,_xlfn.CONCAT(_xlfn.XLOOKUP(D469,beans!$A$2:$A$300,beans!$J$2:$J$300,"")," / ",_xlfn.XLOOKUP(D469,beans!$A$2:$A$300,beans!$K$2:$K$300,"")," - ",_xlfn.XLOOKUP(D469,beans!$A$2:$A$300,beans!$L$2:$L$300,"")),IF(_xlpm.x=" /  - ","",_xlpm.x))</f>
        <v>Cultivar / 聖特蕾莎莊園 - Geisha</v>
      </c>
      <c r="AJ469" s="23" t="s">
        <v>715</v>
      </c>
    </row>
    <row r="470" spans="1:36" x14ac:dyDescent="0.3">
      <c r="A470">
        <v>453</v>
      </c>
      <c r="B470">
        <v>500</v>
      </c>
      <c r="D470">
        <v>49</v>
      </c>
      <c r="E470" t="str">
        <f>_xlfn.LET(_xlpm.x,_xlfn.XLOOKUP(D470,beans!$A$2:$A$300,beans!$H$2:$H$300,""),IF(_xlpm.x="","",_xlpm.x))</f>
        <v>秘魯</v>
      </c>
      <c r="F470" s="22" t="str">
        <f>_xlfn.XLOOKUP(E470,menu!$A$2:$A$37,menu!$B$2:$B$37,"")</f>
        <v>Peru</v>
      </c>
      <c r="G470" t="str">
        <f>_xlfn.XLOOKUP(E470,menu!$A$2:$A$37,menu!$C$2:$C$37,"")</f>
        <v>per</v>
      </c>
      <c r="H470" t="str">
        <f>_xlfn.LET(_xlpm.x,_xlfn.XLOOKUP(_xlfn.XLOOKUP(D470,beans!$A$2:$A$300,beans!$I$2:$I$300),menu!$E$2:$E$20,menu!$F$2:$F$20),IF(_xlpm.x="","",_xlpm.x))</f>
        <v>natural</v>
      </c>
      <c r="I470">
        <v>200</v>
      </c>
      <c r="J470">
        <v>88</v>
      </c>
      <c r="K470">
        <v>40</v>
      </c>
      <c r="L470">
        <v>90</v>
      </c>
      <c r="T470" s="68" t="str">
        <f t="shared" si="62"/>
        <v/>
      </c>
      <c r="U470" t="str">
        <f t="shared" si="58"/>
        <v/>
      </c>
      <c r="V470">
        <f t="shared" si="63"/>
        <v>0</v>
      </c>
      <c r="W470" t="str">
        <f t="shared" si="59"/>
        <v/>
      </c>
      <c r="X470" s="19">
        <v>45640</v>
      </c>
      <c r="Y470" s="26">
        <v>438</v>
      </c>
      <c r="Z470" s="61">
        <v>0</v>
      </c>
      <c r="AA470" s="61">
        <v>0</v>
      </c>
      <c r="AB470" s="28">
        <f t="shared" si="60"/>
        <v>0.124</v>
      </c>
      <c r="AE470" s="61" t="str">
        <f t="shared" si="61"/>
        <v/>
      </c>
      <c r="AF470" s="77" t="str">
        <f>_xlfn.XLOOKUP(AD470,menu!$K$2:$K$9,menu!$J$2:$J$9,"",1)</f>
        <v/>
      </c>
      <c r="AG470" s="80" t="str">
        <f>_xlfn.XLOOKUP(AH470,menu!$O$2:$O$9,menu!$H$2:$H$9,"")</f>
        <v/>
      </c>
      <c r="AI470" t="str">
        <f>_xlfn.LET(_xlpm.x,_xlfn.CONCAT(_xlfn.XLOOKUP(D470,beans!$A$2:$A$300,beans!$J$2:$J$300,"")," / ",_xlfn.XLOOKUP(D470,beans!$A$2:$A$300,beans!$K$2:$K$300,"")," - ",_xlfn.XLOOKUP(D470,beans!$A$2:$A$300,beans!$L$2:$L$300,"")),IF(_xlpm.x=" /  - ","",_xlpm.x))</f>
        <v>Cultivar / 聖特蕾莎莊園 - Geisha</v>
      </c>
      <c r="AJ470" s="23" t="s">
        <v>720</v>
      </c>
    </row>
    <row r="471" spans="1:36" x14ac:dyDescent="0.3">
      <c r="A471">
        <v>454</v>
      </c>
      <c r="B471">
        <v>500</v>
      </c>
      <c r="D471">
        <v>49</v>
      </c>
      <c r="E471" t="str">
        <f>_xlfn.LET(_xlpm.x,_xlfn.XLOOKUP(D471,beans!$A$2:$A$300,beans!$H$2:$H$300,""),IF(_xlpm.x="","",_xlpm.x))</f>
        <v>秘魯</v>
      </c>
      <c r="F471" s="22" t="str">
        <f>_xlfn.XLOOKUP(E471,menu!$A$2:$A$37,menu!$B$2:$B$37,"")</f>
        <v>Peru</v>
      </c>
      <c r="G471" t="str">
        <f>_xlfn.XLOOKUP(E471,menu!$A$2:$A$37,menu!$C$2:$C$37,"")</f>
        <v>per</v>
      </c>
      <c r="H471" t="str">
        <f>_xlfn.LET(_xlpm.x,_xlfn.XLOOKUP(_xlfn.XLOOKUP(D471,beans!$A$2:$A$300,beans!$I$2:$I$300),menu!$E$2:$E$20,menu!$F$2:$F$20),IF(_xlpm.x="","",_xlpm.x))</f>
        <v>natural</v>
      </c>
      <c r="I471">
        <v>200</v>
      </c>
      <c r="J471">
        <v>88</v>
      </c>
      <c r="K471">
        <v>40</v>
      </c>
      <c r="L471">
        <v>90</v>
      </c>
      <c r="T471" s="68" t="str">
        <f t="shared" si="62"/>
        <v/>
      </c>
      <c r="U471" t="str">
        <f t="shared" si="58"/>
        <v/>
      </c>
      <c r="V471">
        <f t="shared" si="63"/>
        <v>0</v>
      </c>
      <c r="W471" t="str">
        <f t="shared" si="59"/>
        <v/>
      </c>
      <c r="X471" s="19">
        <v>45640</v>
      </c>
      <c r="Y471" s="26">
        <v>440</v>
      </c>
      <c r="Z471" s="61">
        <v>0</v>
      </c>
      <c r="AA471" s="61">
        <v>0</v>
      </c>
      <c r="AB471" s="28">
        <f t="shared" si="60"/>
        <v>0.12</v>
      </c>
      <c r="AE471" s="61" t="str">
        <f t="shared" si="61"/>
        <v/>
      </c>
      <c r="AF471" s="77" t="str">
        <f>_xlfn.XLOOKUP(AD471,menu!$K$2:$K$9,menu!$J$2:$J$9,"",1)</f>
        <v/>
      </c>
      <c r="AG471" s="80" t="str">
        <f>_xlfn.XLOOKUP(AH471,menu!$O$2:$O$9,menu!$H$2:$H$9,"")</f>
        <v/>
      </c>
      <c r="AI471" t="str">
        <f>_xlfn.LET(_xlpm.x,_xlfn.CONCAT(_xlfn.XLOOKUP(D471,beans!$A$2:$A$300,beans!$J$2:$J$300,"")," / ",_xlfn.XLOOKUP(D471,beans!$A$2:$A$300,beans!$K$2:$K$300,"")," - ",_xlfn.XLOOKUP(D471,beans!$A$2:$A$300,beans!$L$2:$L$300,"")),IF(_xlpm.x=" /  - ","",_xlpm.x))</f>
        <v>Cultivar / 聖特蕾莎莊園 - Geisha</v>
      </c>
      <c r="AJ471" s="23" t="s">
        <v>720</v>
      </c>
    </row>
    <row r="472" spans="1:36" x14ac:dyDescent="0.3">
      <c r="A472">
        <v>455</v>
      </c>
      <c r="B472">
        <v>500</v>
      </c>
      <c r="D472">
        <v>9</v>
      </c>
      <c r="E472" t="str">
        <f>_xlfn.LET(_xlpm.x,_xlfn.XLOOKUP(D472,beans!$A$2:$A$300,beans!$H$2:$H$300,""),IF(_xlpm.x="","",_xlpm.x))</f>
        <v>衣索比亞</v>
      </c>
      <c r="F472" s="22" t="str">
        <f>_xlfn.XLOOKUP(E472,menu!$A$2:$A$37,menu!$B$2:$B$37,"")</f>
        <v>Ethiopia</v>
      </c>
      <c r="G472" t="str">
        <f>_xlfn.XLOOKUP(E472,menu!$A$2:$A$37,menu!$C$2:$C$37,"")</f>
        <v>eth</v>
      </c>
      <c r="H472" t="str">
        <f>_xlfn.LET(_xlpm.x,_xlfn.XLOOKUP(_xlfn.XLOOKUP(D472,beans!$A$2:$A$300,beans!$I$2:$I$300),menu!$E$2:$E$20,menu!$F$2:$F$20),IF(_xlpm.x="","",_xlpm.x))</f>
        <v>natural</v>
      </c>
      <c r="I472">
        <v>200</v>
      </c>
      <c r="J472">
        <v>85</v>
      </c>
      <c r="K472">
        <v>40</v>
      </c>
      <c r="L472">
        <v>90</v>
      </c>
      <c r="M472" s="68" t="s">
        <v>190</v>
      </c>
      <c r="N472">
        <v>89.7</v>
      </c>
      <c r="P472" s="67" t="s">
        <v>325</v>
      </c>
      <c r="Q472" s="68">
        <v>209.5</v>
      </c>
      <c r="R472" s="67" t="s">
        <v>367</v>
      </c>
      <c r="S472" s="68">
        <v>217.4</v>
      </c>
      <c r="T472" s="68">
        <f t="shared" si="62"/>
        <v>7.9000000000000057</v>
      </c>
      <c r="U472">
        <f t="shared" si="58"/>
        <v>48</v>
      </c>
      <c r="V472">
        <f t="shared" si="63"/>
        <v>9.9</v>
      </c>
      <c r="W472">
        <f t="shared" si="59"/>
        <v>7.33</v>
      </c>
      <c r="X472" s="19">
        <v>45640</v>
      </c>
      <c r="Y472" s="26">
        <v>420</v>
      </c>
      <c r="Z472" s="61">
        <v>0</v>
      </c>
      <c r="AA472" s="61">
        <v>0</v>
      </c>
      <c r="AB472" s="28">
        <f t="shared" si="60"/>
        <v>0.16</v>
      </c>
      <c r="AE472" s="61" t="str">
        <f t="shared" si="61"/>
        <v/>
      </c>
      <c r="AF472" s="77" t="str">
        <f>_xlfn.XLOOKUP(AD472,menu!$K$2:$K$9,menu!$J$2:$J$9,"",1)</f>
        <v/>
      </c>
      <c r="AG472" s="80" t="str">
        <f>_xlfn.XLOOKUP(AH472,menu!$O$2:$O$9,menu!$H$2:$H$9,"")</f>
        <v/>
      </c>
      <c r="AI472" t="str">
        <f>_xlfn.LET(_xlpm.x,_xlfn.CONCAT(_xlfn.XLOOKUP(D472,beans!$A$2:$A$300,beans!$J$2:$J$300,"")," / ",_xlfn.XLOOKUP(D472,beans!$A$2:$A$300,beans!$K$2:$K$300,"")," - ",_xlfn.XLOOKUP(D472,beans!$A$2:$A$300,beans!$L$2:$L$300,"")),IF(_xlpm.x=" /  - ","",_xlpm.x))</f>
        <v>吉瑪 利姆 / 果美村 - 寶貝藝妓</v>
      </c>
      <c r="AJ472" s="23" t="s">
        <v>715</v>
      </c>
    </row>
    <row r="473" spans="1:36" x14ac:dyDescent="0.3">
      <c r="A473">
        <v>456</v>
      </c>
      <c r="B473">
        <v>500</v>
      </c>
      <c r="D473">
        <v>9</v>
      </c>
      <c r="E473" t="str">
        <f>_xlfn.LET(_xlpm.x,_xlfn.XLOOKUP(D473,beans!$A$2:$A$300,beans!$H$2:$H$300,""),IF(_xlpm.x="","",_xlpm.x))</f>
        <v>衣索比亞</v>
      </c>
      <c r="F473" s="22" t="str">
        <f>_xlfn.XLOOKUP(E473,menu!$A$2:$A$37,menu!$B$2:$B$37,"")</f>
        <v>Ethiopia</v>
      </c>
      <c r="G473" t="str">
        <f>_xlfn.XLOOKUP(E473,menu!$A$2:$A$37,menu!$C$2:$C$37,"")</f>
        <v>eth</v>
      </c>
      <c r="H473" t="str">
        <f>_xlfn.LET(_xlpm.x,_xlfn.XLOOKUP(_xlfn.XLOOKUP(D473,beans!$A$2:$A$300,beans!$I$2:$I$300),menu!$E$2:$E$20,menu!$F$2:$F$20),IF(_xlpm.x="","",_xlpm.x))</f>
        <v>natural</v>
      </c>
      <c r="I473">
        <v>200</v>
      </c>
      <c r="J473">
        <v>85</v>
      </c>
      <c r="K473">
        <v>40</v>
      </c>
      <c r="L473">
        <v>90</v>
      </c>
      <c r="T473" s="68" t="str">
        <f t="shared" si="62"/>
        <v/>
      </c>
      <c r="U473" t="str">
        <f t="shared" si="58"/>
        <v/>
      </c>
      <c r="V473">
        <f t="shared" si="63"/>
        <v>0</v>
      </c>
      <c r="W473" t="str">
        <f t="shared" si="59"/>
        <v/>
      </c>
      <c r="X473" s="19">
        <v>45640</v>
      </c>
      <c r="Y473" s="26">
        <v>420</v>
      </c>
      <c r="Z473" s="61">
        <v>0</v>
      </c>
      <c r="AA473" s="61">
        <v>0</v>
      </c>
      <c r="AB473" s="28">
        <f t="shared" si="60"/>
        <v>0.16</v>
      </c>
      <c r="AE473" s="61" t="str">
        <f t="shared" si="61"/>
        <v/>
      </c>
      <c r="AF473" s="77" t="str">
        <f>_xlfn.XLOOKUP(AD473,menu!$K$2:$K$9,menu!$J$2:$J$9,"",1)</f>
        <v/>
      </c>
      <c r="AG473" s="80" t="str">
        <f>_xlfn.XLOOKUP(AH473,menu!$O$2:$O$9,menu!$H$2:$H$9,"")</f>
        <v/>
      </c>
      <c r="AI473" t="str">
        <f>_xlfn.LET(_xlpm.x,_xlfn.CONCAT(_xlfn.XLOOKUP(D473,beans!$A$2:$A$300,beans!$J$2:$J$300,"")," / ",_xlfn.XLOOKUP(D473,beans!$A$2:$A$300,beans!$K$2:$K$300,"")," - ",_xlfn.XLOOKUP(D473,beans!$A$2:$A$300,beans!$L$2:$L$300,"")),IF(_xlpm.x=" /  - ","",_xlpm.x))</f>
        <v>吉瑪 利姆 / 果美村 - 寶貝藝妓</v>
      </c>
      <c r="AJ473" s="23" t="s">
        <v>721</v>
      </c>
    </row>
    <row r="474" spans="1:36" x14ac:dyDescent="0.3">
      <c r="A474">
        <v>457</v>
      </c>
      <c r="B474">
        <v>500</v>
      </c>
      <c r="D474">
        <v>9</v>
      </c>
      <c r="E474" t="str">
        <f>_xlfn.LET(_xlpm.x,_xlfn.XLOOKUP(D474,beans!$A$2:$A$300,beans!$H$2:$H$300,""),IF(_xlpm.x="","",_xlpm.x))</f>
        <v>衣索比亞</v>
      </c>
      <c r="F474" s="22" t="str">
        <f>_xlfn.XLOOKUP(E474,menu!$A$2:$A$37,menu!$B$2:$B$37,"")</f>
        <v>Ethiopia</v>
      </c>
      <c r="G474" t="str">
        <f>_xlfn.XLOOKUP(E474,menu!$A$2:$A$37,menu!$C$2:$C$37,"")</f>
        <v>eth</v>
      </c>
      <c r="H474" t="str">
        <f>_xlfn.LET(_xlpm.x,_xlfn.XLOOKUP(_xlfn.XLOOKUP(D474,beans!$A$2:$A$300,beans!$I$2:$I$300),menu!$E$2:$E$20,menu!$F$2:$F$20),IF(_xlpm.x="","",_xlpm.x))</f>
        <v>natural</v>
      </c>
      <c r="I474">
        <v>200</v>
      </c>
      <c r="J474">
        <v>85</v>
      </c>
      <c r="K474">
        <v>40</v>
      </c>
      <c r="L474">
        <v>90</v>
      </c>
      <c r="T474" s="68" t="str">
        <f t="shared" si="62"/>
        <v/>
      </c>
      <c r="U474" t="str">
        <f t="shared" si="58"/>
        <v/>
      </c>
      <c r="V474">
        <f t="shared" si="63"/>
        <v>0</v>
      </c>
      <c r="W474" t="str">
        <f t="shared" si="59"/>
        <v/>
      </c>
      <c r="X474" s="19">
        <v>45640</v>
      </c>
      <c r="Y474" s="26">
        <v>420.6</v>
      </c>
      <c r="Z474" s="61">
        <v>0</v>
      </c>
      <c r="AA474" s="61">
        <v>0</v>
      </c>
      <c r="AB474" s="28">
        <f t="shared" si="60"/>
        <v>0.15879999999999994</v>
      </c>
      <c r="AE474" s="61" t="str">
        <f t="shared" si="61"/>
        <v/>
      </c>
      <c r="AF474" s="77" t="str">
        <f>_xlfn.XLOOKUP(AD474,menu!$K$2:$K$9,menu!$J$2:$J$9,"",1)</f>
        <v/>
      </c>
      <c r="AG474" s="80" t="str">
        <f>_xlfn.XLOOKUP(AH474,menu!$O$2:$O$9,menu!$H$2:$H$9,"")</f>
        <v/>
      </c>
      <c r="AI474" t="str">
        <f>_xlfn.LET(_xlpm.x,_xlfn.CONCAT(_xlfn.XLOOKUP(D474,beans!$A$2:$A$300,beans!$J$2:$J$300,"")," / ",_xlfn.XLOOKUP(D474,beans!$A$2:$A$300,beans!$K$2:$K$300,"")," - ",_xlfn.XLOOKUP(D474,beans!$A$2:$A$300,beans!$L$2:$L$300,"")),IF(_xlpm.x=" /  - ","",_xlpm.x))</f>
        <v>吉瑪 利姆 / 果美村 - 寶貝藝妓</v>
      </c>
      <c r="AJ474" s="23" t="s">
        <v>715</v>
      </c>
    </row>
    <row r="475" spans="1:36" x14ac:dyDescent="0.3">
      <c r="A475">
        <v>458</v>
      </c>
      <c r="B475">
        <v>231.6</v>
      </c>
      <c r="D475">
        <v>9</v>
      </c>
      <c r="E475" t="str">
        <f>_xlfn.LET(_xlpm.x,_xlfn.XLOOKUP(D475,beans!$A$2:$A$300,beans!$H$2:$H$300,""),IF(_xlpm.x="","",_xlpm.x))</f>
        <v>衣索比亞</v>
      </c>
      <c r="F475" s="22" t="str">
        <f>_xlfn.XLOOKUP(E475,menu!$A$2:$A$37,menu!$B$2:$B$37,"")</f>
        <v>Ethiopia</v>
      </c>
      <c r="G475" t="str">
        <f>_xlfn.XLOOKUP(E475,menu!$A$2:$A$37,menu!$C$2:$C$37,"")</f>
        <v>eth</v>
      </c>
      <c r="H475" t="str">
        <f>_xlfn.LET(_xlpm.x,_xlfn.XLOOKUP(_xlfn.XLOOKUP(D475,beans!$A$2:$A$300,beans!$I$2:$I$300),menu!$E$2:$E$20,menu!$F$2:$F$20),IF(_xlpm.x="","",_xlpm.x))</f>
        <v>natural</v>
      </c>
      <c r="I475">
        <v>200</v>
      </c>
      <c r="J475">
        <v>85</v>
      </c>
      <c r="K475">
        <v>40</v>
      </c>
      <c r="L475">
        <v>70</v>
      </c>
      <c r="M475" s="68" t="s">
        <v>157</v>
      </c>
      <c r="N475">
        <v>92</v>
      </c>
      <c r="P475" s="67" t="s">
        <v>177</v>
      </c>
      <c r="Q475" s="68">
        <v>209.1</v>
      </c>
      <c r="R475" s="67" t="s">
        <v>292</v>
      </c>
      <c r="S475" s="68">
        <v>217.2</v>
      </c>
      <c r="T475" s="68">
        <f t="shared" si="62"/>
        <v>8.0999999999999943</v>
      </c>
      <c r="U475">
        <f t="shared" si="58"/>
        <v>34</v>
      </c>
      <c r="V475">
        <f t="shared" si="63"/>
        <v>14.3</v>
      </c>
      <c r="W475">
        <f t="shared" si="59"/>
        <v>5.58</v>
      </c>
      <c r="X475" s="19">
        <v>45640</v>
      </c>
      <c r="Y475" s="26">
        <v>196.2</v>
      </c>
      <c r="Z475" s="61">
        <v>0</v>
      </c>
      <c r="AA475" s="61">
        <v>0</v>
      </c>
      <c r="AB475" s="28">
        <f t="shared" si="60"/>
        <v>0.1528497409326425</v>
      </c>
      <c r="AE475" s="61" t="str">
        <f t="shared" si="61"/>
        <v/>
      </c>
      <c r="AF475" s="77" t="str">
        <f>_xlfn.XLOOKUP(AD475,menu!$K$2:$K$9,menu!$J$2:$J$9,"",1)</f>
        <v/>
      </c>
      <c r="AG475" s="80" t="str">
        <f>_xlfn.XLOOKUP(AH475,menu!$O$2:$O$9,menu!$H$2:$H$9,"")</f>
        <v/>
      </c>
      <c r="AI475" t="str">
        <f>_xlfn.LET(_xlpm.x,_xlfn.CONCAT(_xlfn.XLOOKUP(D475,beans!$A$2:$A$300,beans!$J$2:$J$300,"")," / ",_xlfn.XLOOKUP(D475,beans!$A$2:$A$300,beans!$K$2:$K$300,"")," - ",_xlfn.XLOOKUP(D475,beans!$A$2:$A$300,beans!$L$2:$L$300,"")),IF(_xlpm.x=" /  - ","",_xlpm.x))</f>
        <v>吉瑪 利姆 / 果美村 - 寶貝藝妓</v>
      </c>
      <c r="AJ475" s="23" t="s">
        <v>715</v>
      </c>
    </row>
    <row r="476" spans="1:36" x14ac:dyDescent="0.3">
      <c r="A476">
        <v>459</v>
      </c>
      <c r="B476">
        <v>500</v>
      </c>
      <c r="D476">
        <v>63</v>
      </c>
      <c r="E476" t="str">
        <f>_xlfn.LET(_xlpm.x,_xlfn.XLOOKUP(D476,beans!$A$2:$A$300,beans!$H$2:$H$300,""),IF(_xlpm.x="","",_xlpm.x))</f>
        <v>衣索比亞</v>
      </c>
      <c r="F476" s="22" t="str">
        <f>_xlfn.XLOOKUP(E476,menu!$A$2:$A$37,menu!$B$2:$B$37,"")</f>
        <v>Ethiopia</v>
      </c>
      <c r="G476" t="str">
        <f>_xlfn.XLOOKUP(E476,menu!$A$2:$A$37,menu!$C$2:$C$37,"")</f>
        <v>eth</v>
      </c>
      <c r="H476" t="str">
        <f>_xlfn.LET(_xlpm.x,_xlfn.XLOOKUP(_xlfn.XLOOKUP(D476,beans!$A$2:$A$300,beans!$I$2:$I$300),menu!$E$2:$E$20,menu!$F$2:$F$20),IF(_xlpm.x="","",_xlpm.x))</f>
        <v>washed</v>
      </c>
      <c r="I476">
        <v>200</v>
      </c>
      <c r="J476">
        <v>88</v>
      </c>
      <c r="K476">
        <v>40</v>
      </c>
      <c r="L476">
        <v>90</v>
      </c>
      <c r="M476" s="68" t="s">
        <v>87</v>
      </c>
      <c r="N476">
        <v>85.6</v>
      </c>
      <c r="P476" s="67" t="s">
        <v>111</v>
      </c>
      <c r="Q476" s="68">
        <v>201.6</v>
      </c>
      <c r="R476" s="67" t="s">
        <v>707</v>
      </c>
      <c r="S476" s="68">
        <v>212.2</v>
      </c>
      <c r="T476" s="68">
        <f t="shared" si="62"/>
        <v>10.599999999999994</v>
      </c>
      <c r="U476">
        <f t="shared" si="58"/>
        <v>52</v>
      </c>
      <c r="V476">
        <f t="shared" si="63"/>
        <v>12.2</v>
      </c>
      <c r="W476">
        <f t="shared" si="59"/>
        <v>8.52</v>
      </c>
      <c r="X476" s="19">
        <v>45640</v>
      </c>
      <c r="Y476" s="26">
        <v>432</v>
      </c>
      <c r="Z476" s="61">
        <v>0</v>
      </c>
      <c r="AA476" s="61">
        <v>0</v>
      </c>
      <c r="AB476" s="28">
        <f t="shared" si="60"/>
        <v>0.13600000000000001</v>
      </c>
      <c r="AE476" s="61" t="str">
        <f t="shared" si="61"/>
        <v/>
      </c>
      <c r="AF476" s="77" t="str">
        <f>_xlfn.XLOOKUP(AD476,menu!$K$2:$K$9,menu!$J$2:$J$9,"",1)</f>
        <v/>
      </c>
      <c r="AG476" s="80" t="str">
        <f>_xlfn.XLOOKUP(AH476,menu!$O$2:$O$9,menu!$H$2:$H$9,"")</f>
        <v/>
      </c>
      <c r="AI476" t="str">
        <f>_xlfn.LET(_xlpm.x,_xlfn.CONCAT(_xlfn.XLOOKUP(D476,beans!$A$2:$A$300,beans!$J$2:$J$300,"")," / ",_xlfn.XLOOKUP(D476,beans!$A$2:$A$300,beans!$K$2:$K$300,"")," - ",_xlfn.XLOOKUP(D476,beans!$A$2:$A$300,beans!$L$2:$L$300,"")),IF(_xlpm.x=" /  - ","",_xlpm.x))</f>
        <v>班奇 馬吉 / 露西 - Geisha</v>
      </c>
      <c r="AJ476" s="23" t="s">
        <v>715</v>
      </c>
    </row>
    <row r="477" spans="1:36" x14ac:dyDescent="0.3">
      <c r="A477">
        <v>460</v>
      </c>
      <c r="B477">
        <v>500</v>
      </c>
      <c r="D477">
        <v>63</v>
      </c>
      <c r="E477" t="str">
        <f>_xlfn.LET(_xlpm.x,_xlfn.XLOOKUP(D477,beans!$A$2:$A$300,beans!$H$2:$H$300,""),IF(_xlpm.x="","",_xlpm.x))</f>
        <v>衣索比亞</v>
      </c>
      <c r="F477" s="22" t="str">
        <f>_xlfn.XLOOKUP(E477,menu!$A$2:$A$37,menu!$B$2:$B$37,"")</f>
        <v>Ethiopia</v>
      </c>
      <c r="G477" t="str">
        <f>_xlfn.XLOOKUP(E477,menu!$A$2:$A$37,menu!$C$2:$C$37,"")</f>
        <v>eth</v>
      </c>
      <c r="H477" t="str">
        <f>_xlfn.LET(_xlpm.x,_xlfn.XLOOKUP(_xlfn.XLOOKUP(D477,beans!$A$2:$A$300,beans!$I$2:$I$300),menu!$E$2:$E$20,menu!$F$2:$F$20),IF(_xlpm.x="","",_xlpm.x))</f>
        <v>washed</v>
      </c>
      <c r="I477">
        <v>200</v>
      </c>
      <c r="J477">
        <v>88</v>
      </c>
      <c r="K477">
        <v>40</v>
      </c>
      <c r="L477">
        <v>90</v>
      </c>
      <c r="T477" s="68" t="str">
        <f t="shared" si="62"/>
        <v/>
      </c>
      <c r="U477" t="str">
        <f t="shared" si="58"/>
        <v/>
      </c>
      <c r="V477">
        <f t="shared" si="63"/>
        <v>0</v>
      </c>
      <c r="W477" t="str">
        <f t="shared" si="59"/>
        <v/>
      </c>
      <c r="X477" s="19">
        <v>45640</v>
      </c>
      <c r="Y477" s="26">
        <v>431.6</v>
      </c>
      <c r="Z477" s="61">
        <v>0</v>
      </c>
      <c r="AA477" s="61">
        <v>0</v>
      </c>
      <c r="AB477" s="28">
        <f t="shared" si="60"/>
        <v>0.13679999999999995</v>
      </c>
      <c r="AE477" s="61" t="str">
        <f t="shared" si="61"/>
        <v/>
      </c>
      <c r="AF477" s="77" t="str">
        <f>_xlfn.XLOOKUP(AD477,menu!$K$2:$K$9,menu!$J$2:$J$9,"",1)</f>
        <v/>
      </c>
      <c r="AG477" s="80" t="str">
        <f>_xlfn.XLOOKUP(AH477,menu!$O$2:$O$9,menu!$H$2:$H$9,"")</f>
        <v/>
      </c>
      <c r="AI477" t="str">
        <f>_xlfn.LET(_xlpm.x,_xlfn.CONCAT(_xlfn.XLOOKUP(D477,beans!$A$2:$A$300,beans!$J$2:$J$300,"")," / ",_xlfn.XLOOKUP(D477,beans!$A$2:$A$300,beans!$K$2:$K$300,"")," - ",_xlfn.XLOOKUP(D477,beans!$A$2:$A$300,beans!$L$2:$L$300,"")),IF(_xlpm.x=" /  - ","",_xlpm.x))</f>
        <v>班奇 馬吉 / 露西 - Geisha</v>
      </c>
      <c r="AJ477" s="23" t="s">
        <v>722</v>
      </c>
    </row>
    <row r="478" spans="1:36" x14ac:dyDescent="0.3">
      <c r="A478">
        <v>461</v>
      </c>
      <c r="B478">
        <v>500</v>
      </c>
      <c r="D478">
        <v>63</v>
      </c>
      <c r="E478" t="str">
        <f>_xlfn.LET(_xlpm.x,_xlfn.XLOOKUP(D478,beans!$A$2:$A$300,beans!$H$2:$H$300,""),IF(_xlpm.x="","",_xlpm.x))</f>
        <v>衣索比亞</v>
      </c>
      <c r="F478" s="22" t="str">
        <f>_xlfn.XLOOKUP(E478,menu!$A$2:$A$37,menu!$B$2:$B$37,"")</f>
        <v>Ethiopia</v>
      </c>
      <c r="G478" t="str">
        <f>_xlfn.XLOOKUP(E478,menu!$A$2:$A$37,menu!$C$2:$C$37,"")</f>
        <v>eth</v>
      </c>
      <c r="H478" t="str">
        <f>_xlfn.LET(_xlpm.x,_xlfn.XLOOKUP(_xlfn.XLOOKUP(D478,beans!$A$2:$A$300,beans!$I$2:$I$300),menu!$E$2:$E$20,menu!$F$2:$F$20),IF(_xlpm.x="","",_xlpm.x))</f>
        <v>washed</v>
      </c>
      <c r="I478">
        <v>200</v>
      </c>
      <c r="J478">
        <v>88</v>
      </c>
      <c r="K478">
        <v>40</v>
      </c>
      <c r="L478">
        <v>90</v>
      </c>
      <c r="T478" s="68" t="str">
        <f t="shared" si="62"/>
        <v/>
      </c>
      <c r="U478" t="str">
        <f t="shared" si="58"/>
        <v/>
      </c>
      <c r="V478">
        <f t="shared" si="63"/>
        <v>0</v>
      </c>
      <c r="W478" t="str">
        <f t="shared" si="59"/>
        <v/>
      </c>
      <c r="X478" s="19">
        <v>45640</v>
      </c>
      <c r="Y478" s="26">
        <v>429.5</v>
      </c>
      <c r="Z478" s="61">
        <v>0</v>
      </c>
      <c r="AA478" s="61">
        <v>0</v>
      </c>
      <c r="AB478" s="28">
        <f t="shared" si="60"/>
        <v>0.14099999999999999</v>
      </c>
      <c r="AE478" s="61" t="str">
        <f t="shared" si="61"/>
        <v/>
      </c>
      <c r="AF478" s="77" t="str">
        <f>_xlfn.XLOOKUP(AD478,menu!$K$2:$K$9,menu!$J$2:$J$9,"",1)</f>
        <v/>
      </c>
      <c r="AG478" s="80" t="str">
        <f>_xlfn.XLOOKUP(AH478,menu!$O$2:$O$9,menu!$H$2:$H$9,"")</f>
        <v/>
      </c>
      <c r="AI478" t="str">
        <f>_xlfn.LET(_xlpm.x,_xlfn.CONCAT(_xlfn.XLOOKUP(D478,beans!$A$2:$A$300,beans!$J$2:$J$300,"")," / ",_xlfn.XLOOKUP(D478,beans!$A$2:$A$300,beans!$K$2:$K$300,"")," - ",_xlfn.XLOOKUP(D478,beans!$A$2:$A$300,beans!$L$2:$L$300,"")),IF(_xlpm.x=" /  - ","",_xlpm.x))</f>
        <v>班奇 馬吉 / 露西 - Geisha</v>
      </c>
      <c r="AJ478" s="23" t="s">
        <v>722</v>
      </c>
    </row>
    <row r="479" spans="1:36" x14ac:dyDescent="0.3">
      <c r="A479">
        <v>462</v>
      </c>
      <c r="B479">
        <v>493</v>
      </c>
      <c r="D479">
        <v>63</v>
      </c>
      <c r="E479" t="str">
        <f>_xlfn.LET(_xlpm.x,_xlfn.XLOOKUP(D479,beans!$A$2:$A$300,beans!$H$2:$H$300,""),IF(_xlpm.x="","",_xlpm.x))</f>
        <v>衣索比亞</v>
      </c>
      <c r="F479" s="22" t="str">
        <f>_xlfn.XLOOKUP(E479,menu!$A$2:$A$37,menu!$B$2:$B$37,"")</f>
        <v>Ethiopia</v>
      </c>
      <c r="G479" t="str">
        <f>_xlfn.XLOOKUP(E479,menu!$A$2:$A$37,menu!$C$2:$C$37,"")</f>
        <v>eth</v>
      </c>
      <c r="H479" t="str">
        <f>_xlfn.LET(_xlpm.x,_xlfn.XLOOKUP(_xlfn.XLOOKUP(D479,beans!$A$2:$A$300,beans!$I$2:$I$300),menu!$E$2:$E$20,menu!$F$2:$F$20),IF(_xlpm.x="","",_xlpm.x))</f>
        <v>washed</v>
      </c>
      <c r="I479">
        <v>200</v>
      </c>
      <c r="J479">
        <v>88</v>
      </c>
      <c r="K479">
        <v>40</v>
      </c>
      <c r="L479">
        <v>90</v>
      </c>
      <c r="T479" s="68" t="str">
        <f t="shared" si="62"/>
        <v/>
      </c>
      <c r="U479" t="str">
        <f t="shared" si="58"/>
        <v/>
      </c>
      <c r="V479">
        <f t="shared" si="63"/>
        <v>0</v>
      </c>
      <c r="W479" t="str">
        <f t="shared" si="59"/>
        <v/>
      </c>
      <c r="X479" s="19">
        <v>45640</v>
      </c>
      <c r="Y479" s="26">
        <v>426.5</v>
      </c>
      <c r="Z479" s="61">
        <v>0</v>
      </c>
      <c r="AA479" s="61">
        <v>0</v>
      </c>
      <c r="AB479" s="28">
        <f t="shared" si="60"/>
        <v>0.13488843813387424</v>
      </c>
      <c r="AE479" s="61" t="str">
        <f t="shared" si="61"/>
        <v/>
      </c>
      <c r="AF479" s="77" t="str">
        <f>_xlfn.XLOOKUP(AD479,menu!$K$2:$K$9,menu!$J$2:$J$9,"",1)</f>
        <v/>
      </c>
      <c r="AG479" s="80" t="str">
        <f>_xlfn.XLOOKUP(AH479,menu!$O$2:$O$9,menu!$H$2:$H$9,"")</f>
        <v/>
      </c>
      <c r="AI479" t="str">
        <f>_xlfn.LET(_xlpm.x,_xlfn.CONCAT(_xlfn.XLOOKUP(D479,beans!$A$2:$A$300,beans!$J$2:$J$300,"")," / ",_xlfn.XLOOKUP(D479,beans!$A$2:$A$300,beans!$K$2:$K$300,"")," - ",_xlfn.XLOOKUP(D479,beans!$A$2:$A$300,beans!$L$2:$L$300,"")),IF(_xlpm.x=" /  - ","",_xlpm.x))</f>
        <v>班奇 馬吉 / 露西 - Geisha</v>
      </c>
      <c r="AJ479" s="23" t="s">
        <v>722</v>
      </c>
    </row>
    <row r="480" spans="1:36" x14ac:dyDescent="0.3">
      <c r="A480">
        <v>463</v>
      </c>
      <c r="B480">
        <v>500</v>
      </c>
      <c r="D480">
        <v>63</v>
      </c>
      <c r="E480" t="str">
        <f>_xlfn.LET(_xlpm.x,_xlfn.XLOOKUP(D480,beans!$A$2:$A$300,beans!$H$2:$H$300,""),IF(_xlpm.x="","",_xlpm.x))</f>
        <v>衣索比亞</v>
      </c>
      <c r="F480" s="22" t="str">
        <f>_xlfn.XLOOKUP(E480,menu!$A$2:$A$37,menu!$B$2:$B$37,"")</f>
        <v>Ethiopia</v>
      </c>
      <c r="G480" t="str">
        <f>_xlfn.XLOOKUP(E480,menu!$A$2:$A$37,menu!$C$2:$C$37,"")</f>
        <v>eth</v>
      </c>
      <c r="H480" t="str">
        <f>_xlfn.LET(_xlpm.x,_xlfn.XLOOKUP(_xlfn.XLOOKUP(D480,beans!$A$2:$A$300,beans!$I$2:$I$300),menu!$E$2:$E$20,menu!$F$2:$F$20),IF(_xlpm.x="","",_xlpm.x))</f>
        <v>washed</v>
      </c>
      <c r="I480">
        <v>200</v>
      </c>
      <c r="J480">
        <v>88</v>
      </c>
      <c r="K480">
        <v>40</v>
      </c>
      <c r="L480">
        <v>90</v>
      </c>
      <c r="T480" s="68" t="str">
        <f t="shared" si="62"/>
        <v/>
      </c>
      <c r="U480" t="str">
        <f t="shared" si="58"/>
        <v/>
      </c>
      <c r="V480">
        <f t="shared" si="63"/>
        <v>0</v>
      </c>
      <c r="W480" t="str">
        <f t="shared" si="59"/>
        <v/>
      </c>
      <c r="X480" s="19">
        <v>45640</v>
      </c>
      <c r="Y480" s="26">
        <v>430</v>
      </c>
      <c r="Z480" s="61">
        <v>0</v>
      </c>
      <c r="AA480" s="61">
        <v>0</v>
      </c>
      <c r="AB480" s="28">
        <f t="shared" si="60"/>
        <v>0.14000000000000001</v>
      </c>
      <c r="AE480" s="61" t="str">
        <f t="shared" si="61"/>
        <v/>
      </c>
      <c r="AF480" s="77" t="str">
        <f>_xlfn.XLOOKUP(AD480,menu!$K$2:$K$9,menu!$J$2:$J$9,"",1)</f>
        <v/>
      </c>
      <c r="AG480" s="80" t="str">
        <f>_xlfn.XLOOKUP(AH480,menu!$O$2:$O$9,menu!$H$2:$H$9,"")</f>
        <v/>
      </c>
      <c r="AI480" t="str">
        <f>_xlfn.LET(_xlpm.x,_xlfn.CONCAT(_xlfn.XLOOKUP(D480,beans!$A$2:$A$300,beans!$J$2:$J$300,"")," / ",_xlfn.XLOOKUP(D480,beans!$A$2:$A$300,beans!$K$2:$K$300,"")," - ",_xlfn.XLOOKUP(D480,beans!$A$2:$A$300,beans!$L$2:$L$300,"")),IF(_xlpm.x=" /  - ","",_xlpm.x))</f>
        <v>班奇 馬吉 / 露西 - Geisha</v>
      </c>
      <c r="AJ480" s="23" t="s">
        <v>722</v>
      </c>
    </row>
    <row r="481" spans="1:36" x14ac:dyDescent="0.3">
      <c r="A481">
        <v>464</v>
      </c>
      <c r="B481">
        <v>500</v>
      </c>
      <c r="D481">
        <v>58</v>
      </c>
      <c r="E481" t="str">
        <f>_xlfn.LET(_xlpm.x,_xlfn.XLOOKUP(D481,beans!$A$2:$A$300,beans!$H$2:$H$300,""),IF(_xlpm.x="","",_xlpm.x))</f>
        <v>哥倫比亞</v>
      </c>
      <c r="F481" s="22" t="str">
        <f>_xlfn.XLOOKUP(E481,menu!$A$2:$A$37,menu!$B$2:$B$37,"")</f>
        <v>Colombia</v>
      </c>
      <c r="G481" t="str">
        <f>_xlfn.XLOOKUP(E481,menu!$A$2:$A$37,menu!$C$2:$C$37,"")</f>
        <v>col</v>
      </c>
      <c r="H481" t="str">
        <f>_xlfn.LET(_xlpm.x,_xlfn.XLOOKUP(_xlfn.XLOOKUP(D481,beans!$A$2:$A$300,beans!$I$2:$I$300),menu!$E$2:$E$20,menu!$F$2:$F$20),IF(_xlpm.x="","",_xlpm.x))</f>
        <v>honey</v>
      </c>
      <c r="I481">
        <v>200</v>
      </c>
      <c r="J481">
        <v>88</v>
      </c>
      <c r="K481">
        <v>40</v>
      </c>
      <c r="L481">
        <v>90</v>
      </c>
      <c r="M481" s="68" t="s">
        <v>109</v>
      </c>
      <c r="N481">
        <v>85.5</v>
      </c>
      <c r="P481" s="67" t="s">
        <v>594</v>
      </c>
      <c r="Q481" s="68">
        <v>202.2</v>
      </c>
      <c r="R481" s="67" t="s">
        <v>561</v>
      </c>
      <c r="S481" s="68">
        <v>210.2</v>
      </c>
      <c r="T481" s="68">
        <f t="shared" si="62"/>
        <v>8</v>
      </c>
      <c r="U481">
        <f t="shared" si="58"/>
        <v>40</v>
      </c>
      <c r="V481">
        <f t="shared" si="63"/>
        <v>12</v>
      </c>
      <c r="W481">
        <f t="shared" si="59"/>
        <v>6.72</v>
      </c>
      <c r="X481" s="19">
        <v>45640</v>
      </c>
      <c r="Y481" s="26">
        <v>441</v>
      </c>
      <c r="Z481" s="61">
        <v>0</v>
      </c>
      <c r="AA481" s="61">
        <v>0</v>
      </c>
      <c r="AB481" s="28">
        <f t="shared" si="60"/>
        <v>0.11799999999999999</v>
      </c>
      <c r="AE481" s="61" t="str">
        <f t="shared" si="61"/>
        <v/>
      </c>
      <c r="AF481" s="77" t="str">
        <f>_xlfn.XLOOKUP(AD481,menu!$K$2:$K$9,menu!$J$2:$J$9,"",1)</f>
        <v/>
      </c>
      <c r="AG481" s="80" t="str">
        <f>_xlfn.XLOOKUP(AH481,menu!$O$2:$O$9,menu!$H$2:$H$9,"")</f>
        <v/>
      </c>
      <c r="AI481" t="str">
        <f>_xlfn.LET(_xlpm.x,_xlfn.CONCAT(_xlfn.XLOOKUP(D481,beans!$A$2:$A$300,beans!$J$2:$J$300,"")," / ",_xlfn.XLOOKUP(D481,beans!$A$2:$A$300,beans!$K$2:$K$300,"")," - ",_xlfn.XLOOKUP(D481,beans!$A$2:$A$300,beans!$L$2:$L$300,"")),IF(_xlpm.x=" /  - ","",_xlpm.x))</f>
        <v xml:space="preserve"> / Los Patios - Geisha</v>
      </c>
      <c r="AJ481" s="23" t="s">
        <v>715</v>
      </c>
    </row>
    <row r="482" spans="1:36" x14ac:dyDescent="0.3">
      <c r="A482">
        <v>465</v>
      </c>
      <c r="B482">
        <v>500</v>
      </c>
      <c r="D482">
        <v>58</v>
      </c>
      <c r="E482" t="str">
        <f>_xlfn.LET(_xlpm.x,_xlfn.XLOOKUP(D482,beans!$A$2:$A$300,beans!$H$2:$H$300,""),IF(_xlpm.x="","",_xlpm.x))</f>
        <v>哥倫比亞</v>
      </c>
      <c r="F482" s="22" t="str">
        <f>_xlfn.XLOOKUP(E482,menu!$A$2:$A$37,menu!$B$2:$B$37,"")</f>
        <v>Colombia</v>
      </c>
      <c r="G482" t="str">
        <f>_xlfn.XLOOKUP(E482,menu!$A$2:$A$37,menu!$C$2:$C$37,"")</f>
        <v>col</v>
      </c>
      <c r="H482" t="str">
        <f>_xlfn.LET(_xlpm.x,_xlfn.XLOOKUP(_xlfn.XLOOKUP(D482,beans!$A$2:$A$300,beans!$I$2:$I$300),menu!$E$2:$E$20,menu!$F$2:$F$20),IF(_xlpm.x="","",_xlpm.x))</f>
        <v>honey</v>
      </c>
      <c r="I482">
        <v>200</v>
      </c>
      <c r="J482">
        <v>88</v>
      </c>
      <c r="K482">
        <v>40</v>
      </c>
      <c r="L482">
        <v>90</v>
      </c>
      <c r="T482" s="68" t="str">
        <f t="shared" si="62"/>
        <v/>
      </c>
      <c r="U482" t="str">
        <f t="shared" si="58"/>
        <v/>
      </c>
      <c r="V482">
        <f t="shared" si="63"/>
        <v>0</v>
      </c>
      <c r="W482" t="str">
        <f t="shared" si="59"/>
        <v/>
      </c>
      <c r="X482" s="19">
        <v>45640</v>
      </c>
      <c r="Y482" s="26">
        <v>433.5</v>
      </c>
      <c r="Z482" s="61">
        <v>0</v>
      </c>
      <c r="AA482" s="61">
        <v>0</v>
      </c>
      <c r="AB482" s="28">
        <f t="shared" si="60"/>
        <v>0.13300000000000001</v>
      </c>
      <c r="AE482" s="61" t="str">
        <f t="shared" si="61"/>
        <v/>
      </c>
      <c r="AF482" s="77" t="str">
        <f>_xlfn.XLOOKUP(AD482,menu!$K$2:$K$9,menu!$J$2:$J$9,"",1)</f>
        <v/>
      </c>
      <c r="AG482" s="80" t="str">
        <f>_xlfn.XLOOKUP(AH482,menu!$O$2:$O$9,menu!$H$2:$H$9,"")</f>
        <v/>
      </c>
      <c r="AI482" t="str">
        <f>_xlfn.LET(_xlpm.x,_xlfn.CONCAT(_xlfn.XLOOKUP(D482,beans!$A$2:$A$300,beans!$J$2:$J$300,"")," / ",_xlfn.XLOOKUP(D482,beans!$A$2:$A$300,beans!$K$2:$K$300,"")," - ",_xlfn.XLOOKUP(D482,beans!$A$2:$A$300,beans!$L$2:$L$300,"")),IF(_xlpm.x=" /  - ","",_xlpm.x))</f>
        <v xml:space="preserve"> / Los Patios - Geisha</v>
      </c>
      <c r="AJ482" s="23" t="s">
        <v>723</v>
      </c>
    </row>
    <row r="483" spans="1:36" x14ac:dyDescent="0.3">
      <c r="A483">
        <v>466</v>
      </c>
      <c r="B483">
        <v>500</v>
      </c>
      <c r="D483">
        <v>36</v>
      </c>
      <c r="E483" t="str">
        <f>_xlfn.LET(_xlpm.x,_xlfn.XLOOKUP(D483,beans!$A$2:$A$300,beans!$H$2:$H$300,""),IF(_xlpm.x="","",_xlpm.x))</f>
        <v>哥倫比亞</v>
      </c>
      <c r="F483" s="22" t="str">
        <f>_xlfn.XLOOKUP(E483,menu!$A$2:$A$37,menu!$B$2:$B$37,"")</f>
        <v>Colombia</v>
      </c>
      <c r="G483" t="str">
        <f>_xlfn.XLOOKUP(E483,menu!$A$2:$A$37,menu!$C$2:$C$37,"")</f>
        <v>col</v>
      </c>
      <c r="H483" t="str">
        <f>_xlfn.LET(_xlpm.x,_xlfn.XLOOKUP(_xlfn.XLOOKUP(D483,beans!$A$2:$A$300,beans!$I$2:$I$300),menu!$E$2:$E$20,menu!$F$2:$F$20),IF(_xlpm.x="","",_xlpm.x))</f>
        <v>Carbonic Natural</v>
      </c>
      <c r="I483">
        <v>200</v>
      </c>
      <c r="J483">
        <v>88</v>
      </c>
      <c r="K483">
        <v>40</v>
      </c>
      <c r="L483">
        <v>90</v>
      </c>
      <c r="M483" s="68" t="s">
        <v>160</v>
      </c>
      <c r="N483">
        <v>91.5</v>
      </c>
      <c r="P483" s="67" t="s">
        <v>462</v>
      </c>
      <c r="Q483" s="68">
        <v>206.7</v>
      </c>
      <c r="R483" s="67" t="s">
        <v>40</v>
      </c>
      <c r="S483" s="68">
        <v>217.3</v>
      </c>
      <c r="T483" s="68">
        <f t="shared" si="62"/>
        <v>10.600000000000023</v>
      </c>
      <c r="U483">
        <f t="shared" si="58"/>
        <v>47</v>
      </c>
      <c r="V483">
        <f t="shared" si="63"/>
        <v>13.5</v>
      </c>
      <c r="W483">
        <f t="shared" si="59"/>
        <v>7.86</v>
      </c>
      <c r="X483" s="19">
        <v>45640</v>
      </c>
      <c r="Y483" s="26">
        <v>430.4</v>
      </c>
      <c r="Z483" s="61">
        <v>0</v>
      </c>
      <c r="AA483" s="61">
        <v>0</v>
      </c>
      <c r="AB483" s="28">
        <f t="shared" si="60"/>
        <v>0.13920000000000005</v>
      </c>
      <c r="AE483" s="61" t="str">
        <f t="shared" si="61"/>
        <v/>
      </c>
      <c r="AF483" s="77" t="str">
        <f>_xlfn.XLOOKUP(AD483,menu!$K$2:$K$9,menu!$J$2:$J$9,"",1)</f>
        <v/>
      </c>
      <c r="AG483" s="80" t="str">
        <f>_xlfn.XLOOKUP(AH483,menu!$O$2:$O$9,menu!$H$2:$H$9,"")</f>
        <v/>
      </c>
      <c r="AI483" t="str">
        <f>_xlfn.LET(_xlpm.x,_xlfn.CONCAT(_xlfn.XLOOKUP(D483,beans!$A$2:$A$300,beans!$J$2:$J$300,"")," / ",_xlfn.XLOOKUP(D483,beans!$A$2:$A$300,beans!$K$2:$K$300,"")," - ",_xlfn.XLOOKUP(D483,beans!$A$2:$A$300,beans!$L$2:$L$300,"")),IF(_xlpm.x=" /  - ","",_xlpm.x))</f>
        <v xml:space="preserve"> /  聖圖阿里歐 塔比 - Tabi</v>
      </c>
      <c r="AJ483" s="23" t="s">
        <v>715</v>
      </c>
    </row>
    <row r="484" spans="1:36" x14ac:dyDescent="0.3">
      <c r="A484">
        <v>467</v>
      </c>
      <c r="B484">
        <v>489</v>
      </c>
      <c r="D484">
        <v>36</v>
      </c>
      <c r="E484" t="str">
        <f>_xlfn.LET(_xlpm.x,_xlfn.XLOOKUP(D484,beans!$A$2:$A$300,beans!$H$2:$H$300,""),IF(_xlpm.x="","",_xlpm.x))</f>
        <v>哥倫比亞</v>
      </c>
      <c r="F484" s="22" t="str">
        <f>_xlfn.XLOOKUP(E484,menu!$A$2:$A$37,menu!$B$2:$B$37,"")</f>
        <v>Colombia</v>
      </c>
      <c r="G484" t="str">
        <f>_xlfn.XLOOKUP(E484,menu!$A$2:$A$37,menu!$C$2:$C$37,"")</f>
        <v>col</v>
      </c>
      <c r="H484" t="str">
        <f>_xlfn.LET(_xlpm.x,_xlfn.XLOOKUP(_xlfn.XLOOKUP(D484,beans!$A$2:$A$300,beans!$I$2:$I$300),menu!$E$2:$E$20,menu!$F$2:$F$20),IF(_xlpm.x="","",_xlpm.x))</f>
        <v>Carbonic Natural</v>
      </c>
      <c r="I484">
        <v>200</v>
      </c>
      <c r="J484">
        <v>88</v>
      </c>
      <c r="K484">
        <v>40</v>
      </c>
      <c r="L484">
        <v>90</v>
      </c>
      <c r="T484" s="68" t="str">
        <f t="shared" si="62"/>
        <v/>
      </c>
      <c r="U484" t="str">
        <f t="shared" si="58"/>
        <v/>
      </c>
      <c r="V484">
        <f t="shared" si="63"/>
        <v>0</v>
      </c>
      <c r="W484" t="str">
        <f t="shared" si="59"/>
        <v/>
      </c>
      <c r="X484" s="19">
        <v>45640</v>
      </c>
      <c r="Y484" s="26">
        <v>420.8</v>
      </c>
      <c r="Z484" s="61">
        <v>0</v>
      </c>
      <c r="AA484" s="61">
        <v>0</v>
      </c>
      <c r="AB484" s="28">
        <f t="shared" si="60"/>
        <v>0.1394683026584867</v>
      </c>
      <c r="AE484" s="61" t="str">
        <f t="shared" si="61"/>
        <v/>
      </c>
      <c r="AF484" s="77" t="str">
        <f>_xlfn.XLOOKUP(AD484,menu!$K$2:$K$9,menu!$J$2:$J$9,"",1)</f>
        <v/>
      </c>
      <c r="AG484" s="80" t="str">
        <f>_xlfn.XLOOKUP(AH484,menu!$O$2:$O$9,menu!$H$2:$H$9,"")</f>
        <v/>
      </c>
      <c r="AI484" t="str">
        <f>_xlfn.LET(_xlpm.x,_xlfn.CONCAT(_xlfn.XLOOKUP(D484,beans!$A$2:$A$300,beans!$J$2:$J$300,"")," / ",_xlfn.XLOOKUP(D484,beans!$A$2:$A$300,beans!$K$2:$K$300,"")," - ",_xlfn.XLOOKUP(D484,beans!$A$2:$A$300,beans!$L$2:$L$300,"")),IF(_xlpm.x=" /  - ","",_xlpm.x))</f>
        <v xml:space="preserve"> /  聖圖阿里歐 塔比 - Tabi</v>
      </c>
      <c r="AJ484" s="23" t="s">
        <v>724</v>
      </c>
    </row>
    <row r="485" spans="1:36" x14ac:dyDescent="0.3">
      <c r="A485">
        <v>468</v>
      </c>
      <c r="B485">
        <v>250</v>
      </c>
      <c r="D485">
        <v>70</v>
      </c>
      <c r="E485" t="str">
        <f>_xlfn.LET(_xlpm.x,_xlfn.XLOOKUP(D485,beans!$A$2:$A$300,beans!$H$2:$H$300,""),IF(_xlpm.x="","",_xlpm.x))</f>
        <v>盧安達</v>
      </c>
      <c r="F485" s="22" t="str">
        <f>_xlfn.XLOOKUP(E485,menu!$A$2:$A$37,menu!$B$2:$B$37,"")</f>
        <v>Rwanda</v>
      </c>
      <c r="G485" t="str">
        <f>_xlfn.XLOOKUP(E485,menu!$A$2:$A$37,menu!$C$2:$C$37,"")</f>
        <v>rwa</v>
      </c>
      <c r="H485" t="str">
        <f>_xlfn.LET(_xlpm.x,_xlfn.XLOOKUP(_xlfn.XLOOKUP(D485,beans!$A$2:$A$300,beans!$I$2:$I$300),menu!$E$2:$E$20,menu!$F$2:$F$20),IF(_xlpm.x="","",_xlpm.x))</f>
        <v>honey</v>
      </c>
      <c r="I485">
        <v>200</v>
      </c>
      <c r="J485">
        <v>85</v>
      </c>
      <c r="K485">
        <v>40</v>
      </c>
      <c r="L485">
        <v>70</v>
      </c>
      <c r="M485" s="68" t="s">
        <v>125</v>
      </c>
      <c r="N485">
        <v>84.4</v>
      </c>
      <c r="P485" s="67" t="s">
        <v>111</v>
      </c>
      <c r="Q485" s="68">
        <v>205.6</v>
      </c>
      <c r="R485" s="67" t="s">
        <v>134</v>
      </c>
      <c r="S485" s="68">
        <v>212.9</v>
      </c>
      <c r="T485" s="68">
        <f t="shared" si="62"/>
        <v>7.3000000000000114</v>
      </c>
      <c r="U485">
        <f t="shared" si="58"/>
        <v>44</v>
      </c>
      <c r="V485">
        <f t="shared" si="63"/>
        <v>10</v>
      </c>
      <c r="W485">
        <f t="shared" si="59"/>
        <v>7.31</v>
      </c>
      <c r="X485" s="19">
        <v>45646</v>
      </c>
      <c r="Y485" s="26">
        <v>218</v>
      </c>
      <c r="Z485" s="61">
        <v>0</v>
      </c>
      <c r="AB485" s="28">
        <f t="shared" si="60"/>
        <v>0.128</v>
      </c>
      <c r="AC485" s="110">
        <v>51.7</v>
      </c>
      <c r="AD485" s="26">
        <v>70.400000000000006</v>
      </c>
      <c r="AE485" s="61">
        <f t="shared" si="61"/>
        <v>18.700000000000003</v>
      </c>
      <c r="AF485" s="77" t="str">
        <f>_xlfn.XLOOKUP(AD485,menu!$K$2:$K$9,menu!$J$2:$J$9,"",1)</f>
        <v>淺</v>
      </c>
      <c r="AG485" s="80" t="str">
        <f>_xlfn.XLOOKUP(AH485,menu!$O$2:$O$9,menu!$H$2:$H$9,"")</f>
        <v/>
      </c>
      <c r="AI485" t="str">
        <f>_xlfn.LET(_xlpm.x,_xlfn.CONCAT(_xlfn.XLOOKUP(D485,beans!$A$2:$A$300,beans!$J$2:$J$300,"")," / ",_xlfn.XLOOKUP(D485,beans!$A$2:$A$300,beans!$K$2:$K$300,"")," - ",_xlfn.XLOOKUP(D485,beans!$A$2:$A$300,beans!$L$2:$L$300,"")),IF(_xlpm.x=" /  - ","",_xlpm.x))</f>
        <v xml:space="preserve">亞瑪雪克 / 其林比 - </v>
      </c>
      <c r="AJ485" s="23" t="s">
        <v>725</v>
      </c>
    </row>
    <row r="486" spans="1:36" x14ac:dyDescent="0.3">
      <c r="A486">
        <v>469</v>
      </c>
      <c r="B486">
        <v>496.8</v>
      </c>
      <c r="D486">
        <v>58</v>
      </c>
      <c r="E486" t="str">
        <f>_xlfn.LET(_xlpm.x,_xlfn.XLOOKUP(D486,beans!$A$2:$A$300,beans!$H$2:$H$300,""),IF(_xlpm.x="","",_xlpm.x))</f>
        <v>哥倫比亞</v>
      </c>
      <c r="F486" s="22" t="str">
        <f>_xlfn.XLOOKUP(E486,menu!$A$2:$A$37,menu!$B$2:$B$37,"")</f>
        <v>Colombia</v>
      </c>
      <c r="G486" t="str">
        <f>_xlfn.XLOOKUP(E486,menu!$A$2:$A$37,menu!$C$2:$C$37,"")</f>
        <v>col</v>
      </c>
      <c r="H486" t="str">
        <f>_xlfn.LET(_xlpm.x,_xlfn.XLOOKUP(_xlfn.XLOOKUP(D486,beans!$A$2:$A$300,beans!$I$2:$I$300),menu!$E$2:$E$20,menu!$F$2:$F$20),IF(_xlpm.x="","",_xlpm.x))</f>
        <v>honey</v>
      </c>
      <c r="I486">
        <v>200</v>
      </c>
      <c r="J486">
        <v>88</v>
      </c>
      <c r="K486">
        <v>40</v>
      </c>
      <c r="L486">
        <v>90</v>
      </c>
      <c r="M486" s="68" t="s">
        <v>121</v>
      </c>
      <c r="N486">
        <v>79.3</v>
      </c>
      <c r="P486" s="67" t="s">
        <v>465</v>
      </c>
      <c r="Q486" s="68">
        <v>202.3</v>
      </c>
      <c r="R486" s="67" t="s">
        <v>427</v>
      </c>
      <c r="S486" s="68">
        <v>206.7</v>
      </c>
      <c r="T486" s="68">
        <f t="shared" si="62"/>
        <v>4.3999999999999773</v>
      </c>
      <c r="U486">
        <f t="shared" si="58"/>
        <v>23</v>
      </c>
      <c r="V486">
        <f t="shared" si="63"/>
        <v>11.5</v>
      </c>
      <c r="W486">
        <f t="shared" si="59"/>
        <v>3.92</v>
      </c>
      <c r="X486" s="19">
        <v>45646</v>
      </c>
      <c r="Y486" s="26">
        <v>441.8</v>
      </c>
      <c r="Z486" s="61">
        <v>0</v>
      </c>
      <c r="AB486" s="28">
        <f t="shared" si="60"/>
        <v>0.11070853462157809</v>
      </c>
      <c r="AC486" s="110">
        <v>48.5</v>
      </c>
      <c r="AD486" s="26">
        <v>83.2</v>
      </c>
      <c r="AE486" s="61">
        <f t="shared" si="61"/>
        <v>34.700000000000003</v>
      </c>
      <c r="AF486" s="77" t="str">
        <f>_xlfn.XLOOKUP(AD486,menu!$K$2:$K$9,menu!$J$2:$J$9,"",1)</f>
        <v>極淺</v>
      </c>
      <c r="AG486" s="80" t="str">
        <f>_xlfn.XLOOKUP(AH486,menu!$O$2:$O$9,menu!$H$2:$H$9,"")</f>
        <v/>
      </c>
      <c r="AI486" t="str">
        <f>_xlfn.LET(_xlpm.x,_xlfn.CONCAT(_xlfn.XLOOKUP(D486,beans!$A$2:$A$300,beans!$J$2:$J$300,"")," / ",_xlfn.XLOOKUP(D486,beans!$A$2:$A$300,beans!$K$2:$K$300,"")," - ",_xlfn.XLOOKUP(D486,beans!$A$2:$A$300,beans!$L$2:$L$300,"")),IF(_xlpm.x=" /  - ","",_xlpm.x))</f>
        <v xml:space="preserve"> / Los Patios - Geisha</v>
      </c>
      <c r="AJ486" s="23" t="s">
        <v>726</v>
      </c>
    </row>
    <row r="487" spans="1:36" x14ac:dyDescent="0.3">
      <c r="A487">
        <v>470</v>
      </c>
      <c r="B487">
        <v>506</v>
      </c>
      <c r="D487">
        <v>59</v>
      </c>
      <c r="E487" t="str">
        <f>_xlfn.LET(_xlpm.x,_xlfn.XLOOKUP(D487,beans!$A$2:$A$300,beans!$H$2:$H$300,""),IF(_xlpm.x="","",_xlpm.x))</f>
        <v>哥倫比亞</v>
      </c>
      <c r="F487" s="22" t="str">
        <f>_xlfn.XLOOKUP(E487,menu!$A$2:$A$37,menu!$B$2:$B$37,"")</f>
        <v>Colombia</v>
      </c>
      <c r="G487" t="str">
        <f>_xlfn.XLOOKUP(E487,menu!$A$2:$A$37,menu!$C$2:$C$37,"")</f>
        <v>col</v>
      </c>
      <c r="H487" t="str">
        <f>_xlfn.LET(_xlpm.x,_xlfn.XLOOKUP(_xlfn.XLOOKUP(D487,beans!$A$2:$A$300,beans!$I$2:$I$300),menu!$E$2:$E$20,menu!$F$2:$F$20),IF(_xlpm.x="","",_xlpm.x))</f>
        <v>Anaerobic Natural</v>
      </c>
      <c r="I487">
        <v>200</v>
      </c>
      <c r="J487">
        <v>88</v>
      </c>
      <c r="K487">
        <v>40</v>
      </c>
      <c r="L487">
        <v>90</v>
      </c>
      <c r="M487" s="68" t="s">
        <v>109</v>
      </c>
      <c r="N487">
        <v>80.5</v>
      </c>
      <c r="P487" s="67" t="s">
        <v>465</v>
      </c>
      <c r="Q487" s="68">
        <v>202.4</v>
      </c>
      <c r="R487" s="67" t="s">
        <v>89</v>
      </c>
      <c r="S487" s="68">
        <v>209.4</v>
      </c>
      <c r="T487" s="68">
        <f t="shared" si="62"/>
        <v>7</v>
      </c>
      <c r="U487">
        <f t="shared" si="58"/>
        <v>34</v>
      </c>
      <c r="V487">
        <f t="shared" si="63"/>
        <v>12.4</v>
      </c>
      <c r="W487">
        <f t="shared" si="59"/>
        <v>5.7</v>
      </c>
      <c r="X487" s="19">
        <v>45646</v>
      </c>
      <c r="Y487" s="26">
        <v>441.7</v>
      </c>
      <c r="Z487" s="61">
        <v>0</v>
      </c>
      <c r="AB487" s="28">
        <f t="shared" si="60"/>
        <v>0.12707509881422926</v>
      </c>
      <c r="AC487" s="110">
        <v>45.2</v>
      </c>
      <c r="AD487" s="26">
        <v>75.900000000000006</v>
      </c>
      <c r="AE487" s="61">
        <f t="shared" si="61"/>
        <v>30.700000000000003</v>
      </c>
      <c r="AF487" s="77" t="str">
        <f>_xlfn.XLOOKUP(AD487,menu!$K$2:$K$9,menu!$J$2:$J$9,"",1)</f>
        <v>淺</v>
      </c>
      <c r="AG487" s="80" t="str">
        <f>_xlfn.XLOOKUP(AH487,menu!$O$2:$O$9,menu!$H$2:$H$9,"")</f>
        <v/>
      </c>
      <c r="AI487" t="str">
        <f>_xlfn.LET(_xlpm.x,_xlfn.CONCAT(_xlfn.XLOOKUP(D487,beans!$A$2:$A$300,beans!$J$2:$J$300,"")," / ",_xlfn.XLOOKUP(D487,beans!$A$2:$A$300,beans!$K$2:$K$300,"")," - ",_xlfn.XLOOKUP(D487,beans!$A$2:$A$300,beans!$L$2:$L$300,"")),IF(_xlpm.x=" /  - ","",_xlpm.x))</f>
        <v>金巴亞 金迪奧 / El Danubio Estate 粉桃甜心 - 卡杜拉</v>
      </c>
      <c r="AJ487" s="23" t="s">
        <v>727</v>
      </c>
    </row>
    <row r="488" spans="1:36" x14ac:dyDescent="0.3">
      <c r="A488">
        <v>471</v>
      </c>
      <c r="B488">
        <v>498.7</v>
      </c>
      <c r="D488">
        <v>43</v>
      </c>
      <c r="E488" t="str">
        <f>_xlfn.LET(_xlpm.x,_xlfn.XLOOKUP(D488,beans!$A$2:$A$300,beans!$H$2:$H$300,""),IF(_xlpm.x="","",_xlpm.x))</f>
        <v>衣索比亞</v>
      </c>
      <c r="F488" s="22" t="str">
        <f>_xlfn.XLOOKUP(E488,menu!$A$2:$A$37,menu!$B$2:$B$37,"")</f>
        <v>Ethiopia</v>
      </c>
      <c r="G488" t="str">
        <f>_xlfn.XLOOKUP(E488,menu!$A$2:$A$37,menu!$C$2:$C$37,"")</f>
        <v>eth</v>
      </c>
      <c r="H488" t="str">
        <f>_xlfn.LET(_xlpm.x,_xlfn.XLOOKUP(_xlfn.XLOOKUP(D488,beans!$A$2:$A$300,beans!$I$2:$I$300),menu!$E$2:$E$20,menu!$F$2:$F$20),IF(_xlpm.x="","",_xlpm.x))</f>
        <v>natural</v>
      </c>
      <c r="I488">
        <v>200</v>
      </c>
      <c r="J488">
        <v>88</v>
      </c>
      <c r="K488">
        <v>40</v>
      </c>
      <c r="L488">
        <v>90</v>
      </c>
      <c r="M488" s="68" t="s">
        <v>125</v>
      </c>
      <c r="N488">
        <v>82.7</v>
      </c>
      <c r="P488" s="67" t="s">
        <v>119</v>
      </c>
      <c r="Q488" s="68">
        <v>207.5</v>
      </c>
      <c r="R488" s="67" t="s">
        <v>391</v>
      </c>
      <c r="S488" s="68">
        <v>217.7</v>
      </c>
      <c r="T488" s="68">
        <f t="shared" si="62"/>
        <v>10.199999999999989</v>
      </c>
      <c r="U488">
        <f t="shared" si="58"/>
        <v>50</v>
      </c>
      <c r="V488">
        <f t="shared" si="63"/>
        <v>12.2</v>
      </c>
      <c r="W488">
        <f t="shared" si="59"/>
        <v>7.9</v>
      </c>
      <c r="X488" s="19">
        <v>45646</v>
      </c>
      <c r="Y488" s="26">
        <v>430.2</v>
      </c>
      <c r="Z488" s="61">
        <v>0</v>
      </c>
      <c r="AB488" s="28">
        <f t="shared" si="60"/>
        <v>0.13735712853418888</v>
      </c>
      <c r="AC488" s="110">
        <v>42.3</v>
      </c>
      <c r="AD488" s="26">
        <v>67.8</v>
      </c>
      <c r="AE488" s="61">
        <f t="shared" si="61"/>
        <v>25.5</v>
      </c>
      <c r="AF488" s="77" t="str">
        <f>_xlfn.XLOOKUP(AD488,menu!$K$2:$K$9,menu!$J$2:$J$9,"",1)</f>
        <v>中淺</v>
      </c>
      <c r="AG488" s="80" t="str">
        <f>_xlfn.XLOOKUP(AH488,menu!$O$2:$O$9,menu!$H$2:$H$9,"")</f>
        <v/>
      </c>
      <c r="AI488" t="str">
        <f>_xlfn.LET(_xlpm.x,_xlfn.CONCAT(_xlfn.XLOOKUP(D488,beans!$A$2:$A$300,beans!$J$2:$J$300,"")," / ",_xlfn.XLOOKUP(D488,beans!$A$2:$A$300,beans!$K$2:$K$300,"")," - ",_xlfn.XLOOKUP(D488,beans!$A$2:$A$300,beans!$L$2:$L$300,"")),IF(_xlpm.x=" /  - ","",_xlpm.x))</f>
        <v>西達馬 / 朵望丘合作社 - 74110</v>
      </c>
      <c r="AJ488" s="23" t="s">
        <v>728</v>
      </c>
    </row>
    <row r="489" spans="1:36" x14ac:dyDescent="0.3">
      <c r="A489">
        <v>472</v>
      </c>
      <c r="B489">
        <v>500</v>
      </c>
      <c r="D489">
        <v>37</v>
      </c>
      <c r="E489" t="str">
        <f>_xlfn.LET(_xlpm.x,_xlfn.XLOOKUP(D489,beans!$A$2:$A$300,beans!$H$2:$H$300,""),IF(_xlpm.x="","",_xlpm.x))</f>
        <v>哥倫比亞</v>
      </c>
      <c r="F489" s="22" t="str">
        <f>_xlfn.XLOOKUP(E489,menu!$A$2:$A$37,menu!$B$2:$B$37,"")</f>
        <v>Colombia</v>
      </c>
      <c r="G489" t="str">
        <f>_xlfn.XLOOKUP(E489,menu!$A$2:$A$37,menu!$C$2:$C$37,"")</f>
        <v>col</v>
      </c>
      <c r="H489" t="str">
        <f>_xlfn.LET(_xlpm.x,_xlfn.XLOOKUP(_xlfn.XLOOKUP(D489,beans!$A$2:$A$300,beans!$I$2:$I$300),menu!$E$2:$E$20,menu!$F$2:$F$20),IF(_xlpm.x="","",_xlpm.x))</f>
        <v>Lactic Natural</v>
      </c>
      <c r="I489">
        <v>200</v>
      </c>
      <c r="J489">
        <v>88</v>
      </c>
      <c r="K489">
        <v>40</v>
      </c>
      <c r="L489">
        <v>90</v>
      </c>
      <c r="M489" s="68" t="s">
        <v>188</v>
      </c>
      <c r="N489">
        <v>85.9</v>
      </c>
      <c r="P489" s="67" t="s">
        <v>289</v>
      </c>
      <c r="Q489" s="68">
        <v>205.3</v>
      </c>
      <c r="R489" s="67" t="s">
        <v>488</v>
      </c>
      <c r="S489" s="68">
        <v>213.7</v>
      </c>
      <c r="T489" s="68">
        <f t="shared" si="62"/>
        <v>8.3999999999999773</v>
      </c>
      <c r="U489">
        <f t="shared" si="58"/>
        <v>51</v>
      </c>
      <c r="V489">
        <f t="shared" si="63"/>
        <v>9.9</v>
      </c>
      <c r="W489">
        <f t="shared" si="59"/>
        <v>8.1199999999999992</v>
      </c>
      <c r="X489" s="19">
        <v>45646</v>
      </c>
      <c r="Y489" s="26">
        <v>428.9</v>
      </c>
      <c r="Z489" s="61">
        <v>0</v>
      </c>
      <c r="AB489" s="28">
        <f t="shared" si="60"/>
        <v>0.14220000000000005</v>
      </c>
      <c r="AC489" s="110">
        <v>42.4</v>
      </c>
      <c r="AD489" s="26">
        <v>64.2</v>
      </c>
      <c r="AE489" s="61">
        <f t="shared" si="61"/>
        <v>21.800000000000004</v>
      </c>
      <c r="AF489" s="77" t="str">
        <f>_xlfn.XLOOKUP(AD489,menu!$K$2:$K$9,menu!$J$2:$J$9,"",1)</f>
        <v>中淺</v>
      </c>
      <c r="AG489" s="80" t="str">
        <f>_xlfn.XLOOKUP(AH489,menu!$O$2:$O$9,menu!$H$2:$H$9,"")</f>
        <v/>
      </c>
      <c r="AI489" t="str">
        <f>_xlfn.LET(_xlpm.x,_xlfn.CONCAT(_xlfn.XLOOKUP(D489,beans!$A$2:$A$300,beans!$J$2:$J$300,"")," / ",_xlfn.XLOOKUP(D489,beans!$A$2:$A$300,beans!$K$2:$K$300,"")," - ",_xlfn.XLOOKUP(D489,beans!$A$2:$A$300,beans!$L$2:$L$300,"")),IF(_xlpm.x=" /  - ","",_xlpm.x))</f>
        <v>Tolima / 卡里斯奧莊園 - San Bernardo、YellowBourbon、Castillo</v>
      </c>
      <c r="AJ489" s="23" t="s">
        <v>483</v>
      </c>
    </row>
    <row r="490" spans="1:36" x14ac:dyDescent="0.3">
      <c r="A490">
        <v>473</v>
      </c>
      <c r="B490">
        <v>248</v>
      </c>
      <c r="D490">
        <v>75</v>
      </c>
      <c r="E490" t="str">
        <f>_xlfn.LET(_xlpm.x,_xlfn.XLOOKUP(D490,beans!$A$2:$A$300,beans!$H$2:$H$300,""),IF(_xlpm.x="","",_xlpm.x))</f>
        <v>瓜地馬拉</v>
      </c>
      <c r="F490" s="22" t="str">
        <f>_xlfn.XLOOKUP(E490,menu!$A$2:$A$37,menu!$B$2:$B$37,"")</f>
        <v>Guatemala</v>
      </c>
      <c r="G490" t="str">
        <f>_xlfn.XLOOKUP(E490,menu!$A$2:$A$37,menu!$C$2:$C$37,"")</f>
        <v>gtm</v>
      </c>
      <c r="H490" t="str">
        <f>_xlfn.LET(_xlpm.x,_xlfn.XLOOKUP(_xlfn.XLOOKUP(D490,beans!$A$2:$A$300,beans!$I$2:$I$300),menu!$E$2:$E$20,menu!$F$2:$F$20),IF(_xlpm.x="","",_xlpm.x))</f>
        <v>Anaerobic Natural</v>
      </c>
      <c r="I490">
        <v>200</v>
      </c>
      <c r="J490">
        <v>80</v>
      </c>
      <c r="K490">
        <v>45</v>
      </c>
      <c r="L490">
        <v>80</v>
      </c>
      <c r="M490" s="68" t="s">
        <v>207</v>
      </c>
      <c r="N490">
        <v>88</v>
      </c>
      <c r="P490" s="67" t="s">
        <v>547</v>
      </c>
      <c r="Q490" s="68">
        <v>205.7</v>
      </c>
      <c r="R490" s="67" t="s">
        <v>653</v>
      </c>
      <c r="S490" s="68">
        <v>220.2</v>
      </c>
      <c r="T490" s="68">
        <f t="shared" si="62"/>
        <v>14.5</v>
      </c>
      <c r="U490">
        <f t="shared" si="58"/>
        <v>49</v>
      </c>
      <c r="V490">
        <f t="shared" si="63"/>
        <v>17.8</v>
      </c>
      <c r="W490">
        <f t="shared" si="59"/>
        <v>8.33</v>
      </c>
      <c r="X490" s="19">
        <v>45653</v>
      </c>
      <c r="Y490" s="26">
        <v>212</v>
      </c>
      <c r="Z490" s="61">
        <v>0</v>
      </c>
      <c r="AB490" s="28">
        <f t="shared" si="60"/>
        <v>0.14516129032258066</v>
      </c>
      <c r="AE490" s="61" t="str">
        <f t="shared" si="61"/>
        <v/>
      </c>
      <c r="AF490" s="77" t="str">
        <f>_xlfn.XLOOKUP(AD490,menu!$K$2:$K$9,menu!$J$2:$J$9,"",1)</f>
        <v/>
      </c>
      <c r="AG490" s="80" t="str">
        <f>_xlfn.XLOOKUP(AH490,menu!$O$2:$O$9,menu!$H$2:$H$9,"")</f>
        <v/>
      </c>
      <c r="AI490" t="str">
        <f>_xlfn.LET(_xlpm.x,_xlfn.CONCAT(_xlfn.XLOOKUP(D490,beans!$A$2:$A$300,beans!$J$2:$J$300,"")," / ",_xlfn.XLOOKUP(D490,beans!$A$2:$A$300,beans!$K$2:$K$300,"")," - ",_xlfn.XLOOKUP(D490,beans!$A$2:$A$300,beans!$L$2:$L$300,"")),IF(_xlpm.x=" /  - ","",_xlpm.x))</f>
        <v xml:space="preserve">新東方 / 小農批次 - </v>
      </c>
      <c r="AJ490" s="23" t="s">
        <v>729</v>
      </c>
    </row>
    <row r="491" spans="1:36" x14ac:dyDescent="0.3">
      <c r="A491">
        <v>474</v>
      </c>
      <c r="B491">
        <v>249</v>
      </c>
      <c r="D491">
        <v>85</v>
      </c>
      <c r="E491" t="str">
        <f>_xlfn.LET(_xlpm.x,_xlfn.XLOOKUP(D491,beans!$A$2:$A$300,beans!$H$2:$H$300,""),IF(_xlpm.x="","",_xlpm.x))</f>
        <v>衣索比亞</v>
      </c>
      <c r="F491" s="22" t="str">
        <f>_xlfn.XLOOKUP(E491,menu!$A$2:$A$37,menu!$B$2:$B$37,"")</f>
        <v>Ethiopia</v>
      </c>
      <c r="G491" t="str">
        <f>_xlfn.XLOOKUP(E491,menu!$A$2:$A$37,menu!$C$2:$C$37,"")</f>
        <v>eth</v>
      </c>
      <c r="H491" t="str">
        <f>_xlfn.LET(_xlpm.x,_xlfn.XLOOKUP(_xlfn.XLOOKUP(D491,beans!$A$2:$A$300,beans!$I$2:$I$300),menu!$E$2:$E$20,menu!$F$2:$F$20),IF(_xlpm.x="","",_xlpm.x))</f>
        <v>natural</v>
      </c>
      <c r="I491">
        <v>200</v>
      </c>
      <c r="J491">
        <v>80</v>
      </c>
      <c r="K491">
        <v>45</v>
      </c>
      <c r="L491">
        <v>80</v>
      </c>
      <c r="M491" s="68" t="s">
        <v>157</v>
      </c>
      <c r="N491">
        <v>88.8</v>
      </c>
      <c r="P491" s="67" t="s">
        <v>668</v>
      </c>
      <c r="Q491" s="68">
        <v>209.2</v>
      </c>
      <c r="R491" s="67" t="s">
        <v>545</v>
      </c>
      <c r="S491" s="68">
        <v>219</v>
      </c>
      <c r="T491" s="68">
        <f t="shared" si="62"/>
        <v>9.8000000000000114</v>
      </c>
      <c r="U491">
        <f t="shared" si="58"/>
        <v>46</v>
      </c>
      <c r="V491">
        <f t="shared" si="63"/>
        <v>12.8</v>
      </c>
      <c r="W491">
        <f t="shared" si="59"/>
        <v>7.23</v>
      </c>
      <c r="X491" s="19">
        <v>45653</v>
      </c>
      <c r="Y491" s="26">
        <v>212</v>
      </c>
      <c r="Z491" s="61">
        <v>0</v>
      </c>
      <c r="AB491" s="28">
        <f t="shared" si="60"/>
        <v>0.14859437751004015</v>
      </c>
      <c r="AE491" s="61" t="str">
        <f t="shared" si="61"/>
        <v/>
      </c>
      <c r="AF491" s="77" t="str">
        <f>_xlfn.XLOOKUP(AD491,menu!$K$2:$K$9,menu!$J$2:$J$9,"",1)</f>
        <v/>
      </c>
      <c r="AG491" s="80" t="str">
        <f>_xlfn.XLOOKUP(AH491,menu!$O$2:$O$9,menu!$H$2:$H$9,"")</f>
        <v/>
      </c>
      <c r="AI491" t="str">
        <f>_xlfn.LET(_xlpm.x,_xlfn.CONCAT(_xlfn.XLOOKUP(D491,beans!$A$2:$A$300,beans!$J$2:$J$300,"")," / ",_xlfn.XLOOKUP(D491,beans!$A$2:$A$300,beans!$K$2:$K$300,"")," - ",_xlfn.XLOOKUP(D491,beans!$A$2:$A$300,beans!$L$2:$L$300,"")),IF(_xlpm.x=" /  - ","",_xlpm.x))</f>
        <v xml:space="preserve">古吉 烏拉嘎 / 寇巴 - </v>
      </c>
      <c r="AJ491" s="23" t="s">
        <v>729</v>
      </c>
    </row>
    <row r="492" spans="1:36" x14ac:dyDescent="0.3">
      <c r="A492">
        <v>475</v>
      </c>
      <c r="B492">
        <v>495</v>
      </c>
      <c r="D492">
        <v>85</v>
      </c>
      <c r="E492" t="str">
        <f>_xlfn.LET(_xlpm.x,_xlfn.XLOOKUP(D492,beans!$A$2:$A$300,beans!$H$2:$H$300,""),IF(_xlpm.x="","",_xlpm.x))</f>
        <v>衣索比亞</v>
      </c>
      <c r="F492" s="22" t="str">
        <f>_xlfn.XLOOKUP(E492,menu!$A$2:$A$37,menu!$B$2:$B$37,"")</f>
        <v>Ethiopia</v>
      </c>
      <c r="G492" t="str">
        <f>_xlfn.XLOOKUP(E492,menu!$A$2:$A$37,menu!$C$2:$C$37,"")</f>
        <v>eth</v>
      </c>
      <c r="H492" t="str">
        <f>_xlfn.LET(_xlpm.x,_xlfn.XLOOKUP(_xlfn.XLOOKUP(D492,beans!$A$2:$A$300,beans!$I$2:$I$300),menu!$E$2:$E$20,menu!$F$2:$F$20),IF(_xlpm.x="","",_xlpm.x))</f>
        <v>natural</v>
      </c>
      <c r="I492">
        <v>200</v>
      </c>
      <c r="J492">
        <v>88</v>
      </c>
      <c r="K492">
        <v>40</v>
      </c>
      <c r="L492">
        <v>90</v>
      </c>
      <c r="M492" s="68" t="s">
        <v>157</v>
      </c>
      <c r="N492">
        <v>82.6</v>
      </c>
      <c r="P492" s="67" t="s">
        <v>262</v>
      </c>
      <c r="Q492" s="68">
        <v>209.9</v>
      </c>
      <c r="R492" s="67" t="s">
        <v>135</v>
      </c>
      <c r="S492" s="68">
        <v>218.2</v>
      </c>
      <c r="T492" s="68">
        <f t="shared" si="62"/>
        <v>8.2999999999999829</v>
      </c>
      <c r="U492">
        <f t="shared" si="58"/>
        <v>47</v>
      </c>
      <c r="V492">
        <f t="shared" si="63"/>
        <v>10.6</v>
      </c>
      <c r="W492">
        <f t="shared" si="59"/>
        <v>6.97</v>
      </c>
      <c r="X492" s="19">
        <v>45653</v>
      </c>
      <c r="Y492" s="26">
        <v>423.4</v>
      </c>
      <c r="Z492" s="61">
        <v>0</v>
      </c>
      <c r="AB492" s="28">
        <f t="shared" si="60"/>
        <v>0.14464646464646469</v>
      </c>
      <c r="AE492" s="61" t="str">
        <f t="shared" si="61"/>
        <v/>
      </c>
      <c r="AF492" s="77" t="str">
        <f>_xlfn.XLOOKUP(AD492,menu!$K$2:$K$9,menu!$J$2:$J$9,"",1)</f>
        <v/>
      </c>
      <c r="AG492" s="80" t="str">
        <f>_xlfn.XLOOKUP(AH492,menu!$O$2:$O$9,menu!$H$2:$H$9,"")</f>
        <v/>
      </c>
      <c r="AI492" t="str">
        <f>_xlfn.LET(_xlpm.x,_xlfn.CONCAT(_xlfn.XLOOKUP(D492,beans!$A$2:$A$300,beans!$J$2:$J$300,"")," / ",_xlfn.XLOOKUP(D492,beans!$A$2:$A$300,beans!$K$2:$K$300,"")," - ",_xlfn.XLOOKUP(D492,beans!$A$2:$A$300,beans!$L$2:$L$300,"")),IF(_xlpm.x=" /  - ","",_xlpm.x))</f>
        <v xml:space="preserve">古吉 烏拉嘎 / 寇巴 - </v>
      </c>
      <c r="AJ492" s="23" t="s">
        <v>729</v>
      </c>
    </row>
    <row r="493" spans="1:36" x14ac:dyDescent="0.3">
      <c r="A493">
        <v>476</v>
      </c>
      <c r="B493">
        <v>500</v>
      </c>
      <c r="D493">
        <v>63</v>
      </c>
      <c r="E493" t="str">
        <f>_xlfn.LET(_xlpm.x,_xlfn.XLOOKUP(D493,beans!$A$2:$A$300,beans!$H$2:$H$300,""),IF(_xlpm.x="","",_xlpm.x))</f>
        <v>衣索比亞</v>
      </c>
      <c r="F493" s="22" t="str">
        <f>_xlfn.XLOOKUP(E493,menu!$A$2:$A$37,menu!$B$2:$B$37,"")</f>
        <v>Ethiopia</v>
      </c>
      <c r="G493" t="str">
        <f>_xlfn.XLOOKUP(E493,menu!$A$2:$A$37,menu!$C$2:$C$37,"")</f>
        <v>eth</v>
      </c>
      <c r="H493" t="str">
        <f>_xlfn.LET(_xlpm.x,_xlfn.XLOOKUP(_xlfn.XLOOKUP(D493,beans!$A$2:$A$300,beans!$I$2:$I$300),menu!$E$2:$E$20,menu!$F$2:$F$20),IF(_xlpm.x="","",_xlpm.x))</f>
        <v>washed</v>
      </c>
      <c r="I493">
        <v>200</v>
      </c>
      <c r="J493">
        <v>88</v>
      </c>
      <c r="K493">
        <v>40</v>
      </c>
      <c r="L493">
        <v>90</v>
      </c>
      <c r="M493" s="68" t="s">
        <v>125</v>
      </c>
      <c r="N493">
        <v>80.099999999999994</v>
      </c>
      <c r="P493" s="67" t="s">
        <v>202</v>
      </c>
      <c r="Q493" s="68">
        <v>205.5</v>
      </c>
      <c r="R493" s="67" t="s">
        <v>265</v>
      </c>
      <c r="S493" s="68">
        <v>219.2</v>
      </c>
      <c r="T493" s="68">
        <f t="shared" si="62"/>
        <v>13.699999999999989</v>
      </c>
      <c r="U493">
        <f t="shared" si="58"/>
        <v>85</v>
      </c>
      <c r="V493">
        <f t="shared" si="63"/>
        <v>9.6999999999999993</v>
      </c>
      <c r="W493">
        <f t="shared" si="59"/>
        <v>12.02</v>
      </c>
      <c r="X493" s="19">
        <v>45653</v>
      </c>
      <c r="Y493" s="26">
        <v>423.9</v>
      </c>
      <c r="Z493" s="61">
        <v>0</v>
      </c>
      <c r="AA493" s="61">
        <v>0</v>
      </c>
      <c r="AB493" s="28">
        <f t="shared" si="60"/>
        <v>0.15220000000000006</v>
      </c>
      <c r="AE493" s="61" t="str">
        <f t="shared" si="61"/>
        <v/>
      </c>
      <c r="AF493" s="77" t="str">
        <f>_xlfn.XLOOKUP(AD493,menu!$K$2:$K$9,menu!$J$2:$J$9,"",1)</f>
        <v/>
      </c>
      <c r="AG493" s="80" t="str">
        <f>_xlfn.XLOOKUP(AH493,menu!$O$2:$O$9,menu!$H$2:$H$9,"")</f>
        <v/>
      </c>
      <c r="AI493" t="str">
        <f>_xlfn.LET(_xlpm.x,_xlfn.CONCAT(_xlfn.XLOOKUP(D493,beans!$A$2:$A$300,beans!$J$2:$J$300,"")," / ",_xlfn.XLOOKUP(D493,beans!$A$2:$A$300,beans!$K$2:$K$300,"")," - ",_xlfn.XLOOKUP(D493,beans!$A$2:$A$300,beans!$L$2:$L$300,"")),IF(_xlpm.x=" /  - ","",_xlpm.x))</f>
        <v>班奇 馬吉 / 露西 - Geisha</v>
      </c>
      <c r="AJ493" s="23" t="s">
        <v>730</v>
      </c>
    </row>
    <row r="494" spans="1:36" x14ac:dyDescent="0.3">
      <c r="A494">
        <v>477</v>
      </c>
      <c r="B494">
        <v>496.3</v>
      </c>
      <c r="D494">
        <v>78</v>
      </c>
      <c r="E494" t="str">
        <f>_xlfn.LET(_xlpm.x,_xlfn.XLOOKUP(D494,beans!$A$2:$A$300,beans!$H$2:$H$300,""),IF(_xlpm.x="","",_xlpm.x))</f>
        <v>衣索比亞</v>
      </c>
      <c r="F494" s="22" t="str">
        <f>_xlfn.XLOOKUP(E494,menu!$A$2:$A$37,menu!$B$2:$B$37,"")</f>
        <v>Ethiopia</v>
      </c>
      <c r="G494" t="str">
        <f>_xlfn.XLOOKUP(E494,menu!$A$2:$A$37,menu!$C$2:$C$37,"")</f>
        <v>eth</v>
      </c>
      <c r="H494" t="str">
        <f>_xlfn.LET(_xlpm.x,_xlfn.XLOOKUP(_xlfn.XLOOKUP(D494,beans!$A$2:$A$300,beans!$I$2:$I$300),menu!$E$2:$E$20,menu!$F$2:$F$20),IF(_xlpm.x="","",_xlpm.x))</f>
        <v>honey</v>
      </c>
      <c r="I494">
        <v>200</v>
      </c>
      <c r="J494">
        <v>88</v>
      </c>
      <c r="K494">
        <v>40</v>
      </c>
      <c r="L494">
        <v>90</v>
      </c>
      <c r="M494" s="68" t="s">
        <v>75</v>
      </c>
      <c r="N494">
        <v>81.3</v>
      </c>
      <c r="P494" s="67" t="s">
        <v>202</v>
      </c>
      <c r="Q494" s="68">
        <v>209.9</v>
      </c>
      <c r="R494" s="67" t="s">
        <v>441</v>
      </c>
      <c r="S494" s="68">
        <v>218.7</v>
      </c>
      <c r="T494" s="68">
        <f t="shared" si="62"/>
        <v>8.7999999999999829</v>
      </c>
      <c r="U494">
        <f t="shared" si="58"/>
        <v>64</v>
      </c>
      <c r="V494">
        <f t="shared" si="63"/>
        <v>8.1999999999999993</v>
      </c>
      <c r="W494">
        <f t="shared" si="59"/>
        <v>9.33</v>
      </c>
      <c r="X494" s="19">
        <v>45653</v>
      </c>
      <c r="Y494" s="26">
        <v>422</v>
      </c>
      <c r="Z494" s="61">
        <v>0</v>
      </c>
      <c r="AB494" s="28">
        <f t="shared" si="60"/>
        <v>0.14970783800120896</v>
      </c>
      <c r="AE494" s="61" t="str">
        <f t="shared" si="61"/>
        <v/>
      </c>
      <c r="AF494" s="77" t="str">
        <f>_xlfn.XLOOKUP(AD494,menu!$K$2:$K$9,menu!$J$2:$J$9,"",1)</f>
        <v/>
      </c>
      <c r="AG494" s="80" t="str">
        <f>_xlfn.XLOOKUP(AH494,menu!$O$2:$O$9,menu!$H$2:$H$9,"")</f>
        <v/>
      </c>
      <c r="AI494" t="str">
        <f>_xlfn.LET(_xlpm.x,_xlfn.CONCAT(_xlfn.XLOOKUP(D494,beans!$A$2:$A$300,beans!$J$2:$J$300,"")," / ",_xlfn.XLOOKUP(D494,beans!$A$2:$A$300,beans!$K$2:$K$300,"")," - ",_xlfn.XLOOKUP(D494,beans!$A$2:$A$300,beans!$L$2:$L$300,"")),IF(_xlpm.x=" /  - ","",_xlpm.x))</f>
        <v xml:space="preserve">耶加雪菲 / 科克 - </v>
      </c>
      <c r="AJ494" s="23" t="s">
        <v>729</v>
      </c>
    </row>
    <row r="495" spans="1:36" x14ac:dyDescent="0.3">
      <c r="A495">
        <v>478</v>
      </c>
      <c r="B495">
        <v>497</v>
      </c>
      <c r="D495">
        <v>78</v>
      </c>
      <c r="E495" t="str">
        <f>_xlfn.LET(_xlpm.x,_xlfn.XLOOKUP(D495,beans!$A$2:$A$300,beans!$H$2:$H$300,""),IF(_xlpm.x="","",_xlpm.x))</f>
        <v>衣索比亞</v>
      </c>
      <c r="F495" s="22" t="str">
        <f>_xlfn.XLOOKUP(E495,menu!$A$2:$A$37,menu!$B$2:$B$37,"")</f>
        <v>Ethiopia</v>
      </c>
      <c r="G495" t="str">
        <f>_xlfn.XLOOKUP(E495,menu!$A$2:$A$37,menu!$C$2:$C$37,"")</f>
        <v>eth</v>
      </c>
      <c r="H495" t="str">
        <f>_xlfn.LET(_xlpm.x,_xlfn.XLOOKUP(_xlfn.XLOOKUP(D495,beans!$A$2:$A$300,beans!$I$2:$I$300),menu!$E$2:$E$20,menu!$F$2:$F$20),IF(_xlpm.x="","",_xlpm.x))</f>
        <v>honey</v>
      </c>
      <c r="I495">
        <v>200</v>
      </c>
      <c r="J495">
        <v>88</v>
      </c>
      <c r="K495">
        <v>40</v>
      </c>
      <c r="L495">
        <v>90</v>
      </c>
      <c r="M495" s="68" t="s">
        <v>75</v>
      </c>
      <c r="N495">
        <v>83.2</v>
      </c>
      <c r="P495" s="67" t="s">
        <v>621</v>
      </c>
      <c r="Q495" s="68">
        <v>206.3</v>
      </c>
      <c r="R495" s="67" t="s">
        <v>428</v>
      </c>
      <c r="S495" s="68">
        <v>218.5</v>
      </c>
      <c r="T495" s="68">
        <f t="shared" si="62"/>
        <v>12.199999999999989</v>
      </c>
      <c r="U495">
        <f t="shared" si="58"/>
        <v>110</v>
      </c>
      <c r="V495">
        <f t="shared" si="63"/>
        <v>6.7</v>
      </c>
      <c r="W495">
        <f t="shared" si="59"/>
        <v>15.69</v>
      </c>
      <c r="X495" s="19">
        <v>45653</v>
      </c>
      <c r="Y495" s="26">
        <v>421.7</v>
      </c>
      <c r="Z495" s="61">
        <v>0</v>
      </c>
      <c r="AB495" s="28">
        <f t="shared" si="60"/>
        <v>0.15150905432595577</v>
      </c>
      <c r="AE495" s="61" t="str">
        <f t="shared" si="61"/>
        <v/>
      </c>
      <c r="AF495" s="77" t="str">
        <f>_xlfn.XLOOKUP(AD495,menu!$K$2:$K$9,menu!$J$2:$J$9,"",1)</f>
        <v/>
      </c>
      <c r="AG495" s="80" t="str">
        <f>_xlfn.XLOOKUP(AH495,menu!$O$2:$O$9,menu!$H$2:$H$9,"")</f>
        <v/>
      </c>
      <c r="AI495" t="str">
        <f>_xlfn.LET(_xlpm.x,_xlfn.CONCAT(_xlfn.XLOOKUP(D495,beans!$A$2:$A$300,beans!$J$2:$J$300,"")," / ",_xlfn.XLOOKUP(D495,beans!$A$2:$A$300,beans!$K$2:$K$300,"")," - ",_xlfn.XLOOKUP(D495,beans!$A$2:$A$300,beans!$L$2:$L$300,"")),IF(_xlpm.x=" /  - ","",_xlpm.x))</f>
        <v xml:space="preserve">耶加雪菲 / 科克 - </v>
      </c>
      <c r="AJ495" s="23" t="s">
        <v>729</v>
      </c>
    </row>
    <row r="496" spans="1:36" x14ac:dyDescent="0.3">
      <c r="A496">
        <v>479</v>
      </c>
      <c r="B496">
        <v>248.6</v>
      </c>
      <c r="D496">
        <v>86</v>
      </c>
      <c r="E496" t="str">
        <f>_xlfn.LET(_xlpm.x,_xlfn.XLOOKUP(D496,beans!$A$2:$A$300,beans!$H$2:$H$300,""),IF(_xlpm.x="","",_xlpm.x))</f>
        <v>衣索比亞</v>
      </c>
      <c r="F496" s="22" t="str">
        <f>_xlfn.XLOOKUP(E496,menu!$A$2:$A$37,menu!$B$2:$B$37,"")</f>
        <v>Ethiopia</v>
      </c>
      <c r="G496" t="str">
        <f>_xlfn.XLOOKUP(E496,menu!$A$2:$A$37,menu!$C$2:$C$37,"")</f>
        <v>eth</v>
      </c>
      <c r="H496" t="str">
        <f>_xlfn.LET(_xlpm.x,_xlfn.XLOOKUP(_xlfn.XLOOKUP(D496,beans!$A$2:$A$300,beans!$I$2:$I$300),menu!$E$2:$E$20,menu!$F$2:$F$20),IF(_xlpm.x="","",_xlpm.x))</f>
        <v>natural</v>
      </c>
      <c r="I496">
        <v>200</v>
      </c>
      <c r="J496">
        <v>80</v>
      </c>
      <c r="K496">
        <v>40</v>
      </c>
      <c r="L496">
        <v>70</v>
      </c>
      <c r="M496" s="68" t="s">
        <v>121</v>
      </c>
      <c r="N496">
        <v>85.7</v>
      </c>
      <c r="P496" s="67" t="s">
        <v>420</v>
      </c>
      <c r="Q496" s="68">
        <v>210.4</v>
      </c>
      <c r="R496" s="67" t="s">
        <v>398</v>
      </c>
      <c r="S496" s="68">
        <v>219.1</v>
      </c>
      <c r="T496" s="68">
        <f t="shared" si="62"/>
        <v>8.6999999999999886</v>
      </c>
      <c r="U496">
        <f t="shared" si="58"/>
        <v>45</v>
      </c>
      <c r="V496">
        <f t="shared" si="63"/>
        <v>11.6</v>
      </c>
      <c r="W496">
        <f t="shared" si="59"/>
        <v>6.73</v>
      </c>
      <c r="X496" s="19">
        <v>45653</v>
      </c>
      <c r="Y496" s="26">
        <v>213.7</v>
      </c>
      <c r="Z496" s="61">
        <v>0</v>
      </c>
      <c r="AB496" s="28">
        <f t="shared" si="60"/>
        <v>0.14038616251005634</v>
      </c>
      <c r="AE496" s="61" t="str">
        <f t="shared" si="61"/>
        <v/>
      </c>
      <c r="AF496" s="77" t="str">
        <f>_xlfn.XLOOKUP(AD496,menu!$K$2:$K$9,menu!$J$2:$J$9,"",1)</f>
        <v/>
      </c>
      <c r="AG496" s="80" t="str">
        <f>_xlfn.XLOOKUP(AH496,menu!$O$2:$O$9,menu!$H$2:$H$9,"")</f>
        <v/>
      </c>
      <c r="AI496" t="str">
        <f>_xlfn.LET(_xlpm.x,_xlfn.CONCAT(_xlfn.XLOOKUP(D496,beans!$A$2:$A$300,beans!$J$2:$J$300,"")," / ",_xlfn.XLOOKUP(D496,beans!$A$2:$A$300,beans!$K$2:$K$300,"")," - ",_xlfn.XLOOKUP(D496,beans!$A$2:$A$300,beans!$L$2:$L$300,"")),IF(_xlpm.x=" /  - ","",_xlpm.x))</f>
        <v xml:space="preserve">耶加雪菲 / (沃卡)凱菲亞歐蓓絲  Kefeyalew Obese - </v>
      </c>
      <c r="AJ496" s="23" t="s">
        <v>731</v>
      </c>
    </row>
    <row r="497" spans="1:36" x14ac:dyDescent="0.3">
      <c r="A497">
        <v>480</v>
      </c>
      <c r="B497">
        <v>499</v>
      </c>
      <c r="D497">
        <v>86</v>
      </c>
      <c r="E497" t="str">
        <f>_xlfn.LET(_xlpm.x,_xlfn.XLOOKUP(D497,beans!$A$2:$A$300,beans!$H$2:$H$300,""),IF(_xlpm.x="","",_xlpm.x))</f>
        <v>衣索比亞</v>
      </c>
      <c r="F497" s="22" t="str">
        <f>_xlfn.XLOOKUP(E497,menu!$A$2:$A$37,menu!$B$2:$B$37,"")</f>
        <v>Ethiopia</v>
      </c>
      <c r="G497" t="str">
        <f>_xlfn.XLOOKUP(E497,menu!$A$2:$A$37,menu!$C$2:$C$37,"")</f>
        <v>eth</v>
      </c>
      <c r="H497" t="str">
        <f>_xlfn.LET(_xlpm.x,_xlfn.XLOOKUP(_xlfn.XLOOKUP(D497,beans!$A$2:$A$300,beans!$I$2:$I$300),menu!$E$2:$E$20,menu!$F$2:$F$20),IF(_xlpm.x="","",_xlpm.x))</f>
        <v>natural</v>
      </c>
      <c r="I497">
        <v>200</v>
      </c>
      <c r="J497">
        <v>88</v>
      </c>
      <c r="K497">
        <v>40</v>
      </c>
      <c r="L497">
        <v>90</v>
      </c>
      <c r="M497" s="68" t="s">
        <v>75</v>
      </c>
      <c r="N497">
        <v>84.4</v>
      </c>
      <c r="P497" s="67" t="s">
        <v>638</v>
      </c>
      <c r="Q497" s="68">
        <v>207.6</v>
      </c>
      <c r="R497" s="67" t="s">
        <v>82</v>
      </c>
      <c r="S497" s="68">
        <v>221.1</v>
      </c>
      <c r="T497" s="68">
        <f t="shared" si="62"/>
        <v>13.5</v>
      </c>
      <c r="U497">
        <f t="shared" si="58"/>
        <v>84</v>
      </c>
      <c r="V497">
        <f t="shared" si="63"/>
        <v>9.6</v>
      </c>
      <c r="W497">
        <f t="shared" si="59"/>
        <v>12.63</v>
      </c>
      <c r="X497" s="19">
        <v>45653</v>
      </c>
      <c r="Y497" s="26">
        <v>423.4</v>
      </c>
      <c r="Z497" s="61">
        <v>0</v>
      </c>
      <c r="AB497" s="28">
        <f t="shared" si="60"/>
        <v>0.1515030060120241</v>
      </c>
      <c r="AE497" s="61" t="str">
        <f t="shared" si="61"/>
        <v/>
      </c>
      <c r="AF497" s="77" t="str">
        <f>_xlfn.XLOOKUP(AD497,menu!$K$2:$K$9,menu!$J$2:$J$9,"",1)</f>
        <v/>
      </c>
      <c r="AG497" s="80" t="str">
        <f>_xlfn.XLOOKUP(AH497,menu!$O$2:$O$9,menu!$H$2:$H$9,"")</f>
        <v/>
      </c>
      <c r="AI497" t="str">
        <f>_xlfn.LET(_xlpm.x,_xlfn.CONCAT(_xlfn.XLOOKUP(D497,beans!$A$2:$A$300,beans!$J$2:$J$300,"")," / ",_xlfn.XLOOKUP(D497,beans!$A$2:$A$300,beans!$K$2:$K$300,"")," - ",_xlfn.XLOOKUP(D497,beans!$A$2:$A$300,beans!$L$2:$L$300,"")),IF(_xlpm.x=" /  - ","",_xlpm.x))</f>
        <v xml:space="preserve">耶加雪菲 / (沃卡)凱菲亞歐蓓絲  Kefeyalew Obese - </v>
      </c>
      <c r="AJ497" s="23" t="s">
        <v>729</v>
      </c>
    </row>
    <row r="498" spans="1:36" x14ac:dyDescent="0.3">
      <c r="A498">
        <v>481</v>
      </c>
      <c r="B498">
        <v>496</v>
      </c>
      <c r="D498">
        <v>86</v>
      </c>
      <c r="E498" t="str">
        <f>_xlfn.LET(_xlpm.x,_xlfn.XLOOKUP(D498,beans!$A$2:$A$300,beans!$H$2:$H$300,""),IF(_xlpm.x="","",_xlpm.x))</f>
        <v>衣索比亞</v>
      </c>
      <c r="F498" s="22" t="str">
        <f>_xlfn.XLOOKUP(E498,menu!$A$2:$A$37,menu!$B$2:$B$37,"")</f>
        <v>Ethiopia</v>
      </c>
      <c r="G498" t="str">
        <f>_xlfn.XLOOKUP(E498,menu!$A$2:$A$37,menu!$C$2:$C$37,"")</f>
        <v>eth</v>
      </c>
      <c r="H498" t="str">
        <f>_xlfn.LET(_xlpm.x,_xlfn.XLOOKUP(_xlfn.XLOOKUP(D498,beans!$A$2:$A$300,beans!$I$2:$I$300),menu!$E$2:$E$20,menu!$F$2:$F$20),IF(_xlpm.x="","",_xlpm.x))</f>
        <v>natural</v>
      </c>
      <c r="I498">
        <v>200</v>
      </c>
      <c r="J498">
        <v>88</v>
      </c>
      <c r="K498">
        <v>40</v>
      </c>
      <c r="L498">
        <v>90</v>
      </c>
      <c r="M498" s="68" t="s">
        <v>75</v>
      </c>
      <c r="N498">
        <v>82.6</v>
      </c>
      <c r="P498" s="67" t="s">
        <v>443</v>
      </c>
      <c r="Q498" s="68">
        <v>208.6</v>
      </c>
      <c r="R498" s="67" t="s">
        <v>137</v>
      </c>
      <c r="S498" s="68">
        <v>221</v>
      </c>
      <c r="T498" s="68">
        <f t="shared" si="62"/>
        <v>12.400000000000006</v>
      </c>
      <c r="U498">
        <f t="shared" si="58"/>
        <v>77</v>
      </c>
      <c r="V498">
        <f t="shared" si="63"/>
        <v>9.6999999999999993</v>
      </c>
      <c r="W498">
        <f t="shared" si="59"/>
        <v>11.49</v>
      </c>
      <c r="X498" s="19">
        <v>45653</v>
      </c>
      <c r="Y498" s="26">
        <v>422.6</v>
      </c>
      <c r="Z498" s="61">
        <v>0</v>
      </c>
      <c r="AB498" s="28">
        <f t="shared" si="60"/>
        <v>0.14798387096774188</v>
      </c>
      <c r="AE498" s="61" t="str">
        <f t="shared" si="61"/>
        <v/>
      </c>
      <c r="AF498" s="77" t="str">
        <f>_xlfn.XLOOKUP(AD498,menu!$K$2:$K$9,menu!$J$2:$J$9,"",1)</f>
        <v/>
      </c>
      <c r="AG498" s="80" t="str">
        <f>_xlfn.XLOOKUP(AH498,menu!$O$2:$O$9,menu!$H$2:$H$9,"")</f>
        <v/>
      </c>
      <c r="AI498" t="str">
        <f>_xlfn.LET(_xlpm.x,_xlfn.CONCAT(_xlfn.XLOOKUP(D498,beans!$A$2:$A$300,beans!$J$2:$J$300,"")," / ",_xlfn.XLOOKUP(D498,beans!$A$2:$A$300,beans!$K$2:$K$300,"")," - ",_xlfn.XLOOKUP(D498,beans!$A$2:$A$300,beans!$L$2:$L$300,"")),IF(_xlpm.x=" /  - ","",_xlpm.x))</f>
        <v xml:space="preserve">耶加雪菲 / (沃卡)凱菲亞歐蓓絲  Kefeyalew Obese - </v>
      </c>
      <c r="AJ498" s="23" t="s">
        <v>729</v>
      </c>
    </row>
    <row r="499" spans="1:36" x14ac:dyDescent="0.3">
      <c r="A499">
        <v>482</v>
      </c>
      <c r="B499">
        <v>493</v>
      </c>
      <c r="D499">
        <v>86</v>
      </c>
      <c r="E499" t="str">
        <f>_xlfn.LET(_xlpm.x,_xlfn.XLOOKUP(D499,beans!$A$2:$A$300,beans!$H$2:$H$300,""),IF(_xlpm.x="","",_xlpm.x))</f>
        <v>衣索比亞</v>
      </c>
      <c r="F499" s="22" t="str">
        <f>_xlfn.XLOOKUP(E499,menu!$A$2:$A$37,menu!$B$2:$B$37,"")</f>
        <v>Ethiopia</v>
      </c>
      <c r="G499" t="str">
        <f>_xlfn.XLOOKUP(E499,menu!$A$2:$A$37,menu!$C$2:$C$37,"")</f>
        <v>eth</v>
      </c>
      <c r="H499" t="str">
        <f>_xlfn.LET(_xlpm.x,_xlfn.XLOOKUP(_xlfn.XLOOKUP(D499,beans!$A$2:$A$300,beans!$I$2:$I$300),menu!$E$2:$E$20,menu!$F$2:$F$20),IF(_xlpm.x="","",_xlpm.x))</f>
        <v>natural</v>
      </c>
      <c r="I499">
        <v>200</v>
      </c>
      <c r="J499">
        <v>88</v>
      </c>
      <c r="K499">
        <v>40</v>
      </c>
      <c r="L499">
        <v>90</v>
      </c>
      <c r="M499" s="68" t="s">
        <v>75</v>
      </c>
      <c r="N499">
        <v>83.4</v>
      </c>
      <c r="P499" s="67" t="s">
        <v>327</v>
      </c>
      <c r="Q499" s="68">
        <v>209.3</v>
      </c>
      <c r="R499" s="67" t="s">
        <v>161</v>
      </c>
      <c r="S499" s="68">
        <v>221.1</v>
      </c>
      <c r="T499" s="68">
        <f t="shared" si="62"/>
        <v>11.799999999999983</v>
      </c>
      <c r="U499">
        <f t="shared" si="58"/>
        <v>74</v>
      </c>
      <c r="V499">
        <f t="shared" si="63"/>
        <v>9.6</v>
      </c>
      <c r="W499">
        <f t="shared" si="59"/>
        <v>10.93</v>
      </c>
      <c r="X499" s="19">
        <v>45653</v>
      </c>
      <c r="Y499" s="26">
        <v>419</v>
      </c>
      <c r="Z499" s="61">
        <v>0</v>
      </c>
      <c r="AB499" s="28">
        <f t="shared" si="60"/>
        <v>0.15010141987829614</v>
      </c>
      <c r="AE499" s="61" t="str">
        <f t="shared" si="61"/>
        <v/>
      </c>
      <c r="AF499" s="77" t="str">
        <f>_xlfn.XLOOKUP(AD499,menu!$K$2:$K$9,menu!$J$2:$J$9,"",1)</f>
        <v/>
      </c>
      <c r="AG499" s="80" t="str">
        <f>_xlfn.XLOOKUP(AH499,menu!$O$2:$O$9,menu!$H$2:$H$9,"")</f>
        <v/>
      </c>
      <c r="AI499" t="str">
        <f>_xlfn.LET(_xlpm.x,_xlfn.CONCAT(_xlfn.XLOOKUP(D499,beans!$A$2:$A$300,beans!$J$2:$J$300,"")," / ",_xlfn.XLOOKUP(D499,beans!$A$2:$A$300,beans!$K$2:$K$300,"")," - ",_xlfn.XLOOKUP(D499,beans!$A$2:$A$300,beans!$L$2:$L$300,"")),IF(_xlpm.x=" /  - ","",_xlpm.x))</f>
        <v xml:space="preserve">耶加雪菲 / (沃卡)凱菲亞歐蓓絲  Kefeyalew Obese - </v>
      </c>
      <c r="AJ499" s="23" t="s">
        <v>423</v>
      </c>
    </row>
    <row r="500" spans="1:36" x14ac:dyDescent="0.3">
      <c r="A500">
        <v>483</v>
      </c>
      <c r="B500">
        <v>250</v>
      </c>
      <c r="D500">
        <v>68</v>
      </c>
      <c r="E500" t="str">
        <f>_xlfn.LET(_xlpm.x,_xlfn.XLOOKUP(D500,beans!$A$2:$A$300,beans!$H$2:$H$300,""),IF(_xlpm.x="","",_xlpm.x))</f>
        <v>哥倫比亞</v>
      </c>
      <c r="F500" s="22" t="str">
        <f>_xlfn.XLOOKUP(E500,menu!$A$2:$A$37,menu!$B$2:$B$37,"")</f>
        <v>Colombia</v>
      </c>
      <c r="G500" t="str">
        <f>_xlfn.XLOOKUP(E500,menu!$A$2:$A$37,menu!$C$2:$C$37,"")</f>
        <v>col</v>
      </c>
      <c r="H500" t="str">
        <f>_xlfn.LET(_xlpm.x,_xlfn.XLOOKUP(_xlfn.XLOOKUP(D500,beans!$A$2:$A$300,beans!$I$2:$I$300),menu!$E$2:$E$20,menu!$F$2:$F$20),IF(_xlpm.x="","",_xlpm.x))</f>
        <v>Anaerobic Natural</v>
      </c>
      <c r="I500">
        <v>200</v>
      </c>
      <c r="J500">
        <v>83</v>
      </c>
      <c r="K500">
        <v>40</v>
      </c>
      <c r="L500">
        <v>70</v>
      </c>
      <c r="M500" s="68" t="s">
        <v>157</v>
      </c>
      <c r="N500">
        <v>89.4</v>
      </c>
      <c r="P500" s="67" t="s">
        <v>599</v>
      </c>
      <c r="Q500" s="68">
        <v>208.4</v>
      </c>
      <c r="R500" s="67" t="s">
        <v>541</v>
      </c>
      <c r="S500" s="68">
        <v>220.4</v>
      </c>
      <c r="T500" s="68">
        <f t="shared" si="62"/>
        <v>12</v>
      </c>
      <c r="U500">
        <f t="shared" si="58"/>
        <v>63</v>
      </c>
      <c r="V500">
        <f t="shared" si="63"/>
        <v>11.4</v>
      </c>
      <c r="W500">
        <f t="shared" si="59"/>
        <v>9.92</v>
      </c>
      <c r="X500" s="19">
        <v>45653</v>
      </c>
      <c r="Y500" s="26">
        <v>214.8</v>
      </c>
      <c r="Z500" s="61">
        <v>0</v>
      </c>
      <c r="AB500" s="28">
        <f t="shared" si="60"/>
        <v>0.14079999999999995</v>
      </c>
      <c r="AE500" s="61" t="str">
        <f t="shared" si="61"/>
        <v/>
      </c>
      <c r="AF500" s="77" t="str">
        <f>_xlfn.XLOOKUP(AD500,menu!$K$2:$K$9,menu!$J$2:$J$9,"",1)</f>
        <v/>
      </c>
      <c r="AG500" s="80" t="str">
        <f>_xlfn.XLOOKUP(AH500,menu!$O$2:$O$9,menu!$H$2:$H$9,"")</f>
        <v/>
      </c>
      <c r="AI500" t="str">
        <f>_xlfn.LET(_xlpm.x,_xlfn.CONCAT(_xlfn.XLOOKUP(D500,beans!$A$2:$A$300,beans!$J$2:$J$300,"")," / ",_xlfn.XLOOKUP(D500,beans!$A$2:$A$300,beans!$K$2:$K$300,"")," - ",_xlfn.XLOOKUP(D500,beans!$A$2:$A$300,beans!$L$2:$L$300,"")),IF(_xlpm.x=" /  - ","",_xlpm.x))</f>
        <v xml:space="preserve"> / 天堂莊園-日出桂花香 - </v>
      </c>
      <c r="AJ500" s="23" t="s">
        <v>732</v>
      </c>
    </row>
    <row r="501" spans="1:36" x14ac:dyDescent="0.3">
      <c r="A501">
        <v>484</v>
      </c>
      <c r="B501">
        <v>500</v>
      </c>
      <c r="D501">
        <v>78</v>
      </c>
      <c r="E501" t="str">
        <f>_xlfn.LET(_xlpm.x,_xlfn.XLOOKUP(D501,beans!$A$2:$A$300,beans!$H$2:$H$300,""),IF(_xlpm.x="","",_xlpm.x))</f>
        <v>衣索比亞</v>
      </c>
      <c r="F501" s="22" t="str">
        <f>_xlfn.XLOOKUP(E501,menu!$A$2:$A$37,menu!$B$2:$B$37,"")</f>
        <v>Ethiopia</v>
      </c>
      <c r="G501" t="str">
        <f>_xlfn.XLOOKUP(E501,menu!$A$2:$A$37,menu!$C$2:$C$37,"")</f>
        <v>eth</v>
      </c>
      <c r="H501" t="str">
        <f>_xlfn.LET(_xlpm.x,_xlfn.XLOOKUP(_xlfn.XLOOKUP(D501,beans!$A$2:$A$300,beans!$I$2:$I$300),menu!$E$2:$E$20,menu!$F$2:$F$20),IF(_xlpm.x="","",_xlpm.x))</f>
        <v>honey</v>
      </c>
      <c r="I501">
        <v>200</v>
      </c>
      <c r="J501">
        <v>80</v>
      </c>
      <c r="K501">
        <v>45</v>
      </c>
      <c r="L501">
        <v>90</v>
      </c>
      <c r="M501" s="68" t="s">
        <v>188</v>
      </c>
      <c r="N501">
        <v>80.900000000000006</v>
      </c>
      <c r="P501" s="67" t="s">
        <v>668</v>
      </c>
      <c r="Q501" s="68">
        <v>198.6</v>
      </c>
      <c r="R501" s="67" t="s">
        <v>733</v>
      </c>
      <c r="S501" s="68">
        <v>219.7</v>
      </c>
      <c r="T501" s="68">
        <f t="shared" si="62"/>
        <v>21.099999999999994</v>
      </c>
      <c r="U501">
        <f t="shared" si="58"/>
        <v>99</v>
      </c>
      <c r="V501">
        <f t="shared" si="63"/>
        <v>12.8</v>
      </c>
      <c r="W501">
        <f t="shared" si="59"/>
        <v>14.37</v>
      </c>
      <c r="X501" s="19">
        <v>45658</v>
      </c>
      <c r="Y501" s="26">
        <v>424</v>
      </c>
      <c r="Z501" s="61">
        <v>0</v>
      </c>
      <c r="AB501" s="28">
        <f t="shared" si="60"/>
        <v>0.152</v>
      </c>
      <c r="AE501" s="61" t="str">
        <f t="shared" si="61"/>
        <v/>
      </c>
      <c r="AF501" s="77" t="str">
        <f>_xlfn.XLOOKUP(AD501,menu!$K$2:$K$9,menu!$J$2:$J$9,"",1)</f>
        <v/>
      </c>
      <c r="AG501" s="80" t="str">
        <f>_xlfn.XLOOKUP(AH501,menu!$O$2:$O$9,menu!$H$2:$H$9,"")</f>
        <v/>
      </c>
      <c r="AI501" t="str">
        <f>_xlfn.LET(_xlpm.x,_xlfn.CONCAT(_xlfn.XLOOKUP(D501,beans!$A$2:$A$300,beans!$J$2:$J$300,"")," / ",_xlfn.XLOOKUP(D501,beans!$A$2:$A$300,beans!$K$2:$K$300,"")," - ",_xlfn.XLOOKUP(D501,beans!$A$2:$A$300,beans!$L$2:$L$300,"")),IF(_xlpm.x=" /  - ","",_xlpm.x))</f>
        <v xml:space="preserve">耶加雪菲 / 科克 - </v>
      </c>
      <c r="AJ501" s="23" t="s">
        <v>734</v>
      </c>
    </row>
    <row r="502" spans="1:36" x14ac:dyDescent="0.3">
      <c r="A502">
        <v>485</v>
      </c>
      <c r="B502">
        <v>488.6</v>
      </c>
      <c r="D502">
        <v>78</v>
      </c>
      <c r="E502" t="str">
        <f>_xlfn.LET(_xlpm.x,_xlfn.XLOOKUP(D502,beans!$A$2:$A$300,beans!$H$2:$H$300,""),IF(_xlpm.x="","",_xlpm.x))</f>
        <v>衣索比亞</v>
      </c>
      <c r="F502" s="22" t="str">
        <f>_xlfn.XLOOKUP(E502,menu!$A$2:$A$37,menu!$B$2:$B$37,"")</f>
        <v>Ethiopia</v>
      </c>
      <c r="G502" t="str">
        <f>_xlfn.XLOOKUP(E502,menu!$A$2:$A$37,menu!$C$2:$C$37,"")</f>
        <v>eth</v>
      </c>
      <c r="H502" t="str">
        <f>_xlfn.LET(_xlpm.x,_xlfn.XLOOKUP(_xlfn.XLOOKUP(D502,beans!$A$2:$A$300,beans!$I$2:$I$300),menu!$E$2:$E$20,menu!$F$2:$F$20),IF(_xlpm.x="","",_xlpm.x))</f>
        <v>honey</v>
      </c>
      <c r="I502">
        <v>200</v>
      </c>
      <c r="J502">
        <v>80</v>
      </c>
      <c r="K502">
        <v>45</v>
      </c>
      <c r="L502">
        <v>90</v>
      </c>
      <c r="M502" s="68" t="s">
        <v>188</v>
      </c>
      <c r="N502">
        <v>80.5</v>
      </c>
      <c r="P502" s="67" t="s">
        <v>343</v>
      </c>
      <c r="Q502" s="68">
        <v>204.2</v>
      </c>
      <c r="R502" s="67" t="s">
        <v>322</v>
      </c>
      <c r="S502" s="68">
        <v>221.8</v>
      </c>
      <c r="T502" s="68">
        <f t="shared" si="62"/>
        <v>17.600000000000023</v>
      </c>
      <c r="U502">
        <f t="shared" si="58"/>
        <v>67</v>
      </c>
      <c r="V502">
        <f t="shared" si="63"/>
        <v>15.8</v>
      </c>
      <c r="W502">
        <f t="shared" si="59"/>
        <v>10.210000000000001</v>
      </c>
      <c r="X502" s="19">
        <v>45658</v>
      </c>
      <c r="Y502" s="26">
        <v>415.4</v>
      </c>
      <c r="Z502" s="61">
        <v>0</v>
      </c>
      <c r="AB502" s="28">
        <f t="shared" si="60"/>
        <v>0.14981580024559976</v>
      </c>
      <c r="AE502" s="61" t="str">
        <f t="shared" si="61"/>
        <v/>
      </c>
      <c r="AF502" s="77" t="str">
        <f>_xlfn.XLOOKUP(AD502,menu!$K$2:$K$9,menu!$J$2:$J$9,"",1)</f>
        <v/>
      </c>
      <c r="AG502" s="80" t="str">
        <f>_xlfn.XLOOKUP(AH502,menu!$O$2:$O$9,menu!$H$2:$H$9,"")</f>
        <v/>
      </c>
      <c r="AI502" t="str">
        <f>_xlfn.LET(_xlpm.x,_xlfn.CONCAT(_xlfn.XLOOKUP(D502,beans!$A$2:$A$300,beans!$J$2:$J$300,"")," / ",_xlfn.XLOOKUP(D502,beans!$A$2:$A$300,beans!$K$2:$K$300,"")," - ",_xlfn.XLOOKUP(D502,beans!$A$2:$A$300,beans!$L$2:$L$300,"")),IF(_xlpm.x=" /  - ","",_xlpm.x))</f>
        <v xml:space="preserve">耶加雪菲 / 科克 - </v>
      </c>
      <c r="AJ502" s="23" t="s">
        <v>734</v>
      </c>
    </row>
    <row r="503" spans="1:36" x14ac:dyDescent="0.3">
      <c r="A503">
        <v>486</v>
      </c>
      <c r="B503">
        <v>499</v>
      </c>
      <c r="D503">
        <v>73</v>
      </c>
      <c r="E503" t="str">
        <f>_xlfn.LET(_xlpm.x,_xlfn.XLOOKUP(D503,beans!$A$2:$A$300,beans!$H$2:$H$300,""),IF(_xlpm.x="","",_xlpm.x))</f>
        <v>瓜地馬拉</v>
      </c>
      <c r="F503" s="22" t="str">
        <f>_xlfn.XLOOKUP(E503,menu!$A$2:$A$37,menu!$B$2:$B$37,"")</f>
        <v>Guatemala</v>
      </c>
      <c r="G503" t="str">
        <f>_xlfn.XLOOKUP(E503,menu!$A$2:$A$37,menu!$C$2:$C$37,"")</f>
        <v>gtm</v>
      </c>
      <c r="H503" t="str">
        <f>_xlfn.LET(_xlpm.x,_xlfn.XLOOKUP(_xlfn.XLOOKUP(D503,beans!$A$2:$A$300,beans!$I$2:$I$300),menu!$E$2:$E$20,menu!$F$2:$F$20),IF(_xlpm.x="","",_xlpm.x))</f>
        <v>natural</v>
      </c>
      <c r="I503">
        <v>200</v>
      </c>
      <c r="J503">
        <v>80</v>
      </c>
      <c r="K503">
        <v>45</v>
      </c>
      <c r="L503">
        <v>90</v>
      </c>
      <c r="M503" s="68" t="s">
        <v>272</v>
      </c>
      <c r="N503">
        <v>83.4</v>
      </c>
      <c r="P503" s="67" t="s">
        <v>172</v>
      </c>
      <c r="Q503" s="68">
        <v>206.6</v>
      </c>
      <c r="R503" s="67" t="s">
        <v>185</v>
      </c>
      <c r="S503" s="68">
        <v>223</v>
      </c>
      <c r="T503" s="68">
        <f t="shared" si="62"/>
        <v>16.400000000000006</v>
      </c>
      <c r="U503">
        <f t="shared" si="58"/>
        <v>68</v>
      </c>
      <c r="V503">
        <f t="shared" si="63"/>
        <v>14.5</v>
      </c>
      <c r="W503">
        <f t="shared" si="59"/>
        <v>9.84</v>
      </c>
      <c r="X503" s="19">
        <v>45658</v>
      </c>
      <c r="Y503" s="26">
        <v>420.6</v>
      </c>
      <c r="Z503" s="61">
        <v>0</v>
      </c>
      <c r="AB503" s="28">
        <f t="shared" si="60"/>
        <v>0.15711422845691378</v>
      </c>
      <c r="AE503" s="61" t="str">
        <f t="shared" si="61"/>
        <v/>
      </c>
      <c r="AF503" s="77" t="str">
        <f>_xlfn.XLOOKUP(AD503,menu!$K$2:$K$9,menu!$J$2:$J$9,"",1)</f>
        <v/>
      </c>
      <c r="AG503" s="80" t="str">
        <f>_xlfn.XLOOKUP(AH503,menu!$O$2:$O$9,menu!$H$2:$H$9,"")</f>
        <v/>
      </c>
      <c r="AI503" t="str">
        <f>_xlfn.LET(_xlpm.x,_xlfn.CONCAT(_xlfn.XLOOKUP(D503,beans!$A$2:$A$300,beans!$J$2:$J$300,"")," / ",_xlfn.XLOOKUP(D503,beans!$A$2:$A$300,beans!$K$2:$K$300,"")," - ",_xlfn.XLOOKUP(D503,beans!$A$2:$A$300,beans!$L$2:$L$300,"")),IF(_xlpm.x=" /  - ","",_xlpm.x))</f>
        <v>安提瓜 (Antiqua) / 卡佩提洛莊園 - 帕卡瑪拉種</v>
      </c>
      <c r="AJ503" s="23" t="s">
        <v>735</v>
      </c>
    </row>
    <row r="504" spans="1:36" x14ac:dyDescent="0.3">
      <c r="A504">
        <v>487</v>
      </c>
      <c r="B504">
        <v>500</v>
      </c>
      <c r="D504">
        <v>42</v>
      </c>
      <c r="E504" t="str">
        <f>_xlfn.LET(_xlpm.x,_xlfn.XLOOKUP(D504,beans!$A$2:$A$300,beans!$H$2:$H$300,""),IF(_xlpm.x="","",_xlpm.x))</f>
        <v>瓜地馬拉</v>
      </c>
      <c r="F504" s="22" t="str">
        <f>_xlfn.XLOOKUP(E504,menu!$A$2:$A$37,menu!$B$2:$B$37,"")</f>
        <v>Guatemala</v>
      </c>
      <c r="G504" t="str">
        <f>_xlfn.XLOOKUP(E504,menu!$A$2:$A$37,menu!$C$2:$C$37,"")</f>
        <v>gtm</v>
      </c>
      <c r="H504" t="str">
        <f>_xlfn.LET(_xlpm.x,_xlfn.XLOOKUP(_xlfn.XLOOKUP(D504,beans!$A$2:$A$300,beans!$I$2:$I$300),menu!$E$2:$E$20,menu!$F$2:$F$20),IF(_xlpm.x="","",_xlpm.x))</f>
        <v>honey</v>
      </c>
      <c r="I504">
        <v>200</v>
      </c>
      <c r="J504">
        <v>80</v>
      </c>
      <c r="K504">
        <v>45</v>
      </c>
      <c r="L504">
        <v>90</v>
      </c>
      <c r="M504" s="68" t="s">
        <v>54</v>
      </c>
      <c r="N504">
        <v>78.5</v>
      </c>
      <c r="P504" s="67" t="s">
        <v>91</v>
      </c>
      <c r="Q504" s="68">
        <v>209.1</v>
      </c>
      <c r="R504" s="67" t="s">
        <v>154</v>
      </c>
      <c r="S504" s="68">
        <v>223.7</v>
      </c>
      <c r="T504" s="68">
        <f t="shared" si="62"/>
        <v>14.599999999999994</v>
      </c>
      <c r="U504">
        <f t="shared" si="58"/>
        <v>67</v>
      </c>
      <c r="V504">
        <f t="shared" si="63"/>
        <v>13.1</v>
      </c>
      <c r="W504">
        <f t="shared" si="59"/>
        <v>9.7799999999999994</v>
      </c>
      <c r="X504" s="19">
        <v>45658</v>
      </c>
      <c r="Y504" s="26">
        <v>420</v>
      </c>
      <c r="Z504" s="61">
        <v>0</v>
      </c>
      <c r="AB504" s="28">
        <f t="shared" si="60"/>
        <v>0.16</v>
      </c>
      <c r="AE504" s="61" t="str">
        <f t="shared" si="61"/>
        <v/>
      </c>
      <c r="AF504" s="77" t="str">
        <f>_xlfn.XLOOKUP(AD504,menu!$K$2:$K$9,menu!$J$2:$J$9,"",1)</f>
        <v/>
      </c>
      <c r="AG504" s="80" t="str">
        <f>_xlfn.XLOOKUP(AH504,menu!$O$2:$O$9,menu!$H$2:$H$9,"")</f>
        <v/>
      </c>
      <c r="AI504" t="str">
        <f>_xlfn.LET(_xlpm.x,_xlfn.CONCAT(_xlfn.XLOOKUP(D504,beans!$A$2:$A$300,beans!$J$2:$J$300,"")," / ",_xlfn.XLOOKUP(D504,beans!$A$2:$A$300,beans!$K$2:$K$300,"")," - ",_xlfn.XLOOKUP(D504,beans!$A$2:$A$300,beans!$L$2:$L$300,"")),IF(_xlpm.x=" /  - ","",_xlpm.x))</f>
        <v>薇微特南果 / 聖安東尼奧莊園 - 波旁,鐵皮卡</v>
      </c>
    </row>
    <row r="505" spans="1:36" x14ac:dyDescent="0.3">
      <c r="A505">
        <v>488</v>
      </c>
      <c r="B505">
        <v>490.6</v>
      </c>
      <c r="D505">
        <v>75</v>
      </c>
      <c r="E505" t="str">
        <f>_xlfn.LET(_xlpm.x,_xlfn.XLOOKUP(D505,beans!$A$2:$A$300,beans!$H$2:$H$300,""),IF(_xlpm.x="","",_xlpm.x))</f>
        <v>瓜地馬拉</v>
      </c>
      <c r="F505" s="22" t="str">
        <f>_xlfn.XLOOKUP(E505,menu!$A$2:$A$37,menu!$B$2:$B$37,"")</f>
        <v>Guatemala</v>
      </c>
      <c r="G505" t="str">
        <f>_xlfn.XLOOKUP(E505,menu!$A$2:$A$37,menu!$C$2:$C$37,"")</f>
        <v>gtm</v>
      </c>
      <c r="H505" t="str">
        <f>_xlfn.LET(_xlpm.x,_xlfn.XLOOKUP(_xlfn.XLOOKUP(D505,beans!$A$2:$A$300,beans!$I$2:$I$300),menu!$E$2:$E$20,menu!$F$2:$F$20),IF(_xlpm.x="","",_xlpm.x))</f>
        <v>Anaerobic Natural</v>
      </c>
      <c r="I505">
        <v>200</v>
      </c>
      <c r="J505">
        <v>80</v>
      </c>
      <c r="K505">
        <v>45</v>
      </c>
      <c r="L505">
        <v>90</v>
      </c>
      <c r="M505" s="68" t="s">
        <v>146</v>
      </c>
      <c r="N505">
        <v>80.2</v>
      </c>
      <c r="P505" s="67" t="s">
        <v>327</v>
      </c>
      <c r="Q505" s="68">
        <v>205.8</v>
      </c>
      <c r="R505" s="67" t="s">
        <v>457</v>
      </c>
      <c r="S505" s="68">
        <v>220.7</v>
      </c>
      <c r="T505" s="68">
        <f t="shared" si="62"/>
        <v>14.899999999999977</v>
      </c>
      <c r="U505">
        <f t="shared" si="58"/>
        <v>64</v>
      </c>
      <c r="V505">
        <f t="shared" si="63"/>
        <v>14</v>
      </c>
      <c r="W505">
        <f t="shared" si="59"/>
        <v>9.6</v>
      </c>
      <c r="X505" s="19">
        <v>45658</v>
      </c>
      <c r="Y505" s="26">
        <v>423.5</v>
      </c>
      <c r="Z505" s="61">
        <v>0</v>
      </c>
      <c r="AB505" s="28">
        <f t="shared" si="60"/>
        <v>0.13677130044843053</v>
      </c>
      <c r="AE505" s="61" t="str">
        <f t="shared" si="61"/>
        <v/>
      </c>
      <c r="AF505" s="77" t="str">
        <f>_xlfn.XLOOKUP(AD505,menu!$K$2:$K$9,menu!$J$2:$J$9,"",1)</f>
        <v/>
      </c>
      <c r="AG505" s="80" t="str">
        <f>_xlfn.XLOOKUP(AH505,menu!$O$2:$O$9,menu!$H$2:$H$9,"")</f>
        <v/>
      </c>
      <c r="AI505" t="str">
        <f>_xlfn.LET(_xlpm.x,_xlfn.CONCAT(_xlfn.XLOOKUP(D505,beans!$A$2:$A$300,beans!$J$2:$J$300,"")," / ",_xlfn.XLOOKUP(D505,beans!$A$2:$A$300,beans!$K$2:$K$300,"")," - ",_xlfn.XLOOKUP(D505,beans!$A$2:$A$300,beans!$L$2:$L$300,"")),IF(_xlpm.x=" /  - ","",_xlpm.x))</f>
        <v xml:space="preserve">新東方 / 小農批次 - </v>
      </c>
    </row>
    <row r="506" spans="1:36" x14ac:dyDescent="0.3">
      <c r="A506">
        <v>489</v>
      </c>
      <c r="B506">
        <v>250</v>
      </c>
      <c r="D506">
        <v>44</v>
      </c>
      <c r="E506" t="str">
        <f>_xlfn.LET(_xlpm.x,_xlfn.XLOOKUP(D506,beans!$A$2:$A$300,beans!$H$2:$H$300,""),IF(_xlpm.x="","",_xlpm.x))</f>
        <v>衣索比亞</v>
      </c>
      <c r="F506" s="22" t="str">
        <f>_xlfn.XLOOKUP(E506,menu!$A$2:$A$37,menu!$B$2:$B$37,"")</f>
        <v>Ethiopia</v>
      </c>
      <c r="G506" t="str">
        <f>_xlfn.XLOOKUP(E506,menu!$A$2:$A$37,menu!$C$2:$C$37,"")</f>
        <v>eth</v>
      </c>
      <c r="H506" t="str">
        <f>_xlfn.LET(_xlpm.x,_xlfn.XLOOKUP(_xlfn.XLOOKUP(D506,beans!$A$2:$A$300,beans!$I$2:$I$300),menu!$E$2:$E$20,menu!$F$2:$F$20),IF(_xlpm.x="","",_xlpm.x))</f>
        <v>Special</v>
      </c>
      <c r="I506">
        <v>190</v>
      </c>
      <c r="J506">
        <v>75</v>
      </c>
      <c r="K506">
        <v>45</v>
      </c>
      <c r="L506">
        <v>75</v>
      </c>
      <c r="M506" s="68" t="s">
        <v>190</v>
      </c>
      <c r="N506">
        <v>81.7</v>
      </c>
      <c r="P506" s="67" t="s">
        <v>40</v>
      </c>
      <c r="Q506" s="68">
        <v>202.2</v>
      </c>
      <c r="R506" s="67" t="s">
        <v>161</v>
      </c>
      <c r="S506" s="68">
        <v>218.8</v>
      </c>
      <c r="T506" s="68">
        <f t="shared" si="62"/>
        <v>16.600000000000023</v>
      </c>
      <c r="U506">
        <f t="shared" si="58"/>
        <v>79</v>
      </c>
      <c r="V506">
        <f t="shared" si="63"/>
        <v>12.6</v>
      </c>
      <c r="W506">
        <f t="shared" si="59"/>
        <v>11.67</v>
      </c>
      <c r="X506" s="19">
        <v>45658</v>
      </c>
      <c r="Y506" s="26">
        <v>213</v>
      </c>
      <c r="Z506" s="61">
        <v>0</v>
      </c>
      <c r="AB506" s="28">
        <f t="shared" si="60"/>
        <v>0.14799999999999999</v>
      </c>
      <c r="AE506" s="61" t="str">
        <f t="shared" si="61"/>
        <v/>
      </c>
      <c r="AF506" s="77" t="str">
        <f>_xlfn.XLOOKUP(AD506,menu!$K$2:$K$9,menu!$J$2:$J$9,"",1)</f>
        <v/>
      </c>
      <c r="AG506" s="80" t="str">
        <f>_xlfn.XLOOKUP(AH506,menu!$O$2:$O$9,menu!$H$2:$H$9,"")</f>
        <v/>
      </c>
      <c r="AI506" t="str">
        <f>_xlfn.LET(_xlpm.x,_xlfn.CONCAT(_xlfn.XLOOKUP(D506,beans!$A$2:$A$300,beans!$J$2:$J$300,"")," / ",_xlfn.XLOOKUP(D506,beans!$A$2:$A$300,beans!$K$2:$K$300,"")," - ",_xlfn.XLOOKUP(D506,beans!$A$2:$A$300,beans!$L$2:$L$300,"")),IF(_xlpm.x=" /  - ","",_xlpm.x))</f>
        <v xml:space="preserve">耶加雪菲 / 百香果特殊發酵 厭氧日曬處理 G1 - </v>
      </c>
      <c r="AJ506" s="23" t="s">
        <v>734</v>
      </c>
    </row>
    <row r="507" spans="1:36" x14ac:dyDescent="0.3">
      <c r="A507">
        <v>490</v>
      </c>
      <c r="B507">
        <v>247.6</v>
      </c>
      <c r="D507">
        <v>33</v>
      </c>
      <c r="E507" t="str">
        <f>_xlfn.LET(_xlpm.x,_xlfn.XLOOKUP(D507,beans!$A$2:$A$300,beans!$H$2:$H$300,""),IF(_xlpm.x="","",_xlpm.x))</f>
        <v>哥倫比亞</v>
      </c>
      <c r="F507" s="22" t="str">
        <f>_xlfn.XLOOKUP(E507,menu!$A$2:$A$37,menu!$B$2:$B$37,"")</f>
        <v>Colombia</v>
      </c>
      <c r="G507" t="str">
        <f>_xlfn.XLOOKUP(E507,menu!$A$2:$A$37,menu!$C$2:$C$37,"")</f>
        <v>col</v>
      </c>
      <c r="H507" t="str">
        <f>_xlfn.LET(_xlpm.x,_xlfn.XLOOKUP(_xlfn.XLOOKUP(D507,beans!$A$2:$A$300,beans!$I$2:$I$300),menu!$E$2:$E$20,menu!$F$2:$F$20),IF(_xlpm.x="","",_xlpm.x))</f>
        <v>Anaerobic Washed</v>
      </c>
      <c r="I507">
        <v>190</v>
      </c>
      <c r="J507">
        <v>75</v>
      </c>
      <c r="K507">
        <v>45</v>
      </c>
      <c r="L507">
        <v>75</v>
      </c>
      <c r="T507" s="68" t="str">
        <f t="shared" si="62"/>
        <v/>
      </c>
      <c r="U507" t="str">
        <f t="shared" si="58"/>
        <v/>
      </c>
      <c r="V507">
        <f t="shared" si="63"/>
        <v>0</v>
      </c>
      <c r="W507" t="str">
        <f t="shared" si="59"/>
        <v/>
      </c>
      <c r="X507" s="19">
        <v>45658</v>
      </c>
      <c r="Y507" s="26">
        <v>211</v>
      </c>
      <c r="Z507" s="61">
        <v>0</v>
      </c>
      <c r="AB507" s="28">
        <f t="shared" si="60"/>
        <v>0.14781906300484651</v>
      </c>
      <c r="AE507" s="61" t="str">
        <f t="shared" si="61"/>
        <v/>
      </c>
      <c r="AF507" s="77" t="str">
        <f>_xlfn.XLOOKUP(AD507,menu!$K$2:$K$9,menu!$J$2:$J$9,"",1)</f>
        <v/>
      </c>
      <c r="AG507" s="80" t="str">
        <f>_xlfn.XLOOKUP(AH507,menu!$O$2:$O$9,menu!$H$2:$H$9,"")</f>
        <v/>
      </c>
      <c r="AI507" t="str">
        <f>_xlfn.LET(_xlpm.x,_xlfn.CONCAT(_xlfn.XLOOKUP(D507,beans!$A$2:$A$300,beans!$J$2:$J$300,"")," / ",_xlfn.XLOOKUP(D507,beans!$A$2:$A$300,beans!$K$2:$K$300,"")," - ",_xlfn.XLOOKUP(D507,beans!$A$2:$A$300,beans!$L$2:$L$300,"")),IF(_xlpm.x=" /  - ","",_xlpm.x))</f>
        <v>Hulia / Bruselas/ La Lumbrera / 薇拉 祕密花園 JAVA 厭氧水洗 - Java</v>
      </c>
    </row>
    <row r="508" spans="1:36" x14ac:dyDescent="0.3">
      <c r="A508">
        <v>491</v>
      </c>
      <c r="B508">
        <v>250</v>
      </c>
      <c r="D508">
        <v>43</v>
      </c>
      <c r="E508" t="str">
        <f>_xlfn.LET(_xlpm.x,_xlfn.XLOOKUP(D508,beans!$A$2:$A$300,beans!$H$2:$H$300,""),IF(_xlpm.x="","",_xlpm.x))</f>
        <v>衣索比亞</v>
      </c>
      <c r="F508" s="22" t="str">
        <f>_xlfn.XLOOKUP(E508,menu!$A$2:$A$37,menu!$B$2:$B$37,"")</f>
        <v>Ethiopia</v>
      </c>
      <c r="G508" t="str">
        <f>_xlfn.XLOOKUP(E508,menu!$A$2:$A$37,menu!$C$2:$C$37,"")</f>
        <v>eth</v>
      </c>
      <c r="H508" t="str">
        <f>_xlfn.LET(_xlpm.x,_xlfn.XLOOKUP(_xlfn.XLOOKUP(D508,beans!$A$2:$A$300,beans!$I$2:$I$300),menu!$E$2:$E$20,menu!$F$2:$F$20),IF(_xlpm.x="","",_xlpm.x))</f>
        <v>natural</v>
      </c>
      <c r="I508">
        <v>190</v>
      </c>
      <c r="J508">
        <v>75</v>
      </c>
      <c r="K508">
        <v>45</v>
      </c>
      <c r="L508">
        <v>75</v>
      </c>
      <c r="M508" s="68" t="s">
        <v>109</v>
      </c>
      <c r="N508">
        <v>85.5</v>
      </c>
      <c r="P508" s="67" t="s">
        <v>610</v>
      </c>
      <c r="Q508" s="68">
        <v>198.5</v>
      </c>
      <c r="R508" s="67" t="s">
        <v>354</v>
      </c>
      <c r="S508" s="68">
        <v>223.5</v>
      </c>
      <c r="T508" s="68">
        <f t="shared" si="62"/>
        <v>25</v>
      </c>
      <c r="U508">
        <f t="shared" si="58"/>
        <v>87</v>
      </c>
      <c r="V508">
        <f t="shared" si="63"/>
        <v>17.2</v>
      </c>
      <c r="W508">
        <f t="shared" si="59"/>
        <v>14.05</v>
      </c>
      <c r="X508" s="19">
        <v>45658</v>
      </c>
      <c r="Y508" s="26">
        <v>217</v>
      </c>
      <c r="Z508" s="61">
        <v>0</v>
      </c>
      <c r="AB508" s="28">
        <f t="shared" si="60"/>
        <v>0.13200000000000001</v>
      </c>
      <c r="AE508" s="61" t="str">
        <f t="shared" si="61"/>
        <v/>
      </c>
      <c r="AF508" s="77" t="str">
        <f>_xlfn.XLOOKUP(AD508,menu!$K$2:$K$9,menu!$J$2:$J$9,"",1)</f>
        <v/>
      </c>
      <c r="AG508" s="80" t="str">
        <f>_xlfn.XLOOKUP(AH508,menu!$O$2:$O$9,menu!$H$2:$H$9,"")</f>
        <v/>
      </c>
      <c r="AI508" t="str">
        <f>_xlfn.LET(_xlpm.x,_xlfn.CONCAT(_xlfn.XLOOKUP(D508,beans!$A$2:$A$300,beans!$J$2:$J$300,"")," / ",_xlfn.XLOOKUP(D508,beans!$A$2:$A$300,beans!$K$2:$K$300,"")," - ",_xlfn.XLOOKUP(D508,beans!$A$2:$A$300,beans!$L$2:$L$300,"")),IF(_xlpm.x=" /  - ","",_xlpm.x))</f>
        <v>西達馬 / 朵望丘合作社 - 74110</v>
      </c>
    </row>
    <row r="509" spans="1:36" x14ac:dyDescent="0.3">
      <c r="A509">
        <v>492</v>
      </c>
      <c r="B509">
        <v>239.2</v>
      </c>
      <c r="D509">
        <v>81</v>
      </c>
      <c r="E509" t="str">
        <f>_xlfn.LET(_xlpm.x,_xlfn.XLOOKUP(D509,beans!$A$2:$A$300,beans!$H$2:$H$300,""),IF(_xlpm.x="","",_xlpm.x))</f>
        <v>薩爾瓦多</v>
      </c>
      <c r="F509" s="22" t="str">
        <f>_xlfn.XLOOKUP(E509,menu!$A$2:$A$37,menu!$B$2:$B$37,"")</f>
        <v>Salvador</v>
      </c>
      <c r="G509" t="str">
        <f>_xlfn.XLOOKUP(E509,menu!$A$2:$A$37,menu!$C$2:$C$37,"")</f>
        <v>slv</v>
      </c>
      <c r="H509" t="str">
        <f>_xlfn.LET(_xlpm.x,_xlfn.XLOOKUP(_xlfn.XLOOKUP(D509,beans!$A$2:$A$300,beans!$I$2:$I$300),menu!$E$2:$E$20,menu!$F$2:$F$20),IF(_xlpm.x="","",_xlpm.x))</f>
        <v>natural</v>
      </c>
      <c r="I509">
        <v>190</v>
      </c>
      <c r="J509">
        <v>75</v>
      </c>
      <c r="K509">
        <v>45</v>
      </c>
      <c r="L509">
        <v>75</v>
      </c>
      <c r="M509" s="68" t="s">
        <v>188</v>
      </c>
      <c r="N509">
        <v>83.7</v>
      </c>
      <c r="P509" s="67" t="s">
        <v>435</v>
      </c>
      <c r="Q509" s="68">
        <v>203</v>
      </c>
      <c r="R509" s="67" t="s">
        <v>376</v>
      </c>
      <c r="S509" s="68">
        <v>221.7</v>
      </c>
      <c r="T509" s="68">
        <f t="shared" si="62"/>
        <v>18.699999999999989</v>
      </c>
      <c r="U509">
        <f t="shared" si="58"/>
        <v>79</v>
      </c>
      <c r="V509">
        <f t="shared" si="63"/>
        <v>14.2</v>
      </c>
      <c r="W509">
        <f t="shared" si="59"/>
        <v>12.17</v>
      </c>
      <c r="X509" s="19">
        <v>45658</v>
      </c>
      <c r="Y509" s="26">
        <v>200</v>
      </c>
      <c r="Z509" s="61">
        <v>0</v>
      </c>
      <c r="AB509" s="28">
        <f t="shared" si="60"/>
        <v>0.16387959866220733</v>
      </c>
      <c r="AE509" s="61" t="str">
        <f t="shared" si="61"/>
        <v/>
      </c>
      <c r="AF509" s="77" t="str">
        <f>_xlfn.XLOOKUP(AD509,menu!$K$2:$K$9,menu!$J$2:$J$9,"",1)</f>
        <v/>
      </c>
      <c r="AG509" s="80" t="str">
        <f>_xlfn.XLOOKUP(AH509,menu!$O$2:$O$9,menu!$H$2:$H$9,"")</f>
        <v/>
      </c>
      <c r="AI509" t="str">
        <f>_xlfn.LET(_xlpm.x,_xlfn.CONCAT(_xlfn.XLOOKUP(D509,beans!$A$2:$A$300,beans!$J$2:$J$300,"")," / ",_xlfn.XLOOKUP(D509,beans!$A$2:$A$300,beans!$K$2:$K$300,"")," - ",_xlfn.XLOOKUP(D509,beans!$A$2:$A$300,beans!$L$2:$L$300,"")),IF(_xlpm.x=" /  - ","",_xlpm.x))</f>
        <v xml:space="preserve"> / 巧克力情人 - 波旁</v>
      </c>
    </row>
    <row r="510" spans="1:36" x14ac:dyDescent="0.3">
      <c r="A510">
        <v>493</v>
      </c>
      <c r="B510">
        <v>250</v>
      </c>
      <c r="D510">
        <v>42</v>
      </c>
      <c r="E510" t="str">
        <f>_xlfn.LET(_xlpm.x,_xlfn.XLOOKUP(D510,beans!$A$2:$A$300,beans!$H$2:$H$300,""),IF(_xlpm.x="","",_xlpm.x))</f>
        <v>瓜地馬拉</v>
      </c>
      <c r="F510" s="22" t="str">
        <f>_xlfn.XLOOKUP(E510,menu!$A$2:$A$37,menu!$B$2:$B$37,"")</f>
        <v>Guatemala</v>
      </c>
      <c r="G510" t="str">
        <f>_xlfn.XLOOKUP(E510,menu!$A$2:$A$37,menu!$C$2:$C$37,"")</f>
        <v>gtm</v>
      </c>
      <c r="H510" t="str">
        <f>_xlfn.LET(_xlpm.x,_xlfn.XLOOKUP(_xlfn.XLOOKUP(D510,beans!$A$2:$A$300,beans!$I$2:$I$300),menu!$E$2:$E$20,menu!$F$2:$F$20),IF(_xlpm.x="","",_xlpm.x))</f>
        <v>honey</v>
      </c>
      <c r="I510">
        <v>190</v>
      </c>
      <c r="J510">
        <v>75</v>
      </c>
      <c r="K510">
        <v>45</v>
      </c>
      <c r="L510">
        <v>75</v>
      </c>
      <c r="M510" s="68" t="s">
        <v>190</v>
      </c>
      <c r="N510">
        <v>81.599999999999994</v>
      </c>
      <c r="P510" s="67" t="s">
        <v>654</v>
      </c>
      <c r="Q510" s="68">
        <v>204</v>
      </c>
      <c r="R510" s="67" t="s">
        <v>174</v>
      </c>
      <c r="S510" s="68">
        <v>221.2</v>
      </c>
      <c r="T510" s="68">
        <f t="shared" si="62"/>
        <v>17.199999999999989</v>
      </c>
      <c r="U510">
        <f t="shared" si="58"/>
        <v>74</v>
      </c>
      <c r="V510">
        <f t="shared" si="63"/>
        <v>13.9</v>
      </c>
      <c r="W510">
        <f t="shared" si="59"/>
        <v>11.6</v>
      </c>
      <c r="X510" s="19">
        <v>45658</v>
      </c>
      <c r="Y510" s="26">
        <v>212.8</v>
      </c>
      <c r="Z510" s="61">
        <v>0</v>
      </c>
      <c r="AB510" s="28">
        <f t="shared" si="60"/>
        <v>0.14879999999999996</v>
      </c>
      <c r="AE510" s="61" t="str">
        <f t="shared" si="61"/>
        <v/>
      </c>
      <c r="AF510" s="77" t="str">
        <f>_xlfn.XLOOKUP(AD510,menu!$K$2:$K$9,menu!$J$2:$J$9,"",1)</f>
        <v/>
      </c>
      <c r="AG510" s="80" t="str">
        <f>_xlfn.XLOOKUP(AH510,menu!$O$2:$O$9,menu!$H$2:$H$9,"")</f>
        <v/>
      </c>
      <c r="AI510" t="str">
        <f>_xlfn.LET(_xlpm.x,_xlfn.CONCAT(_xlfn.XLOOKUP(D510,beans!$A$2:$A$300,beans!$J$2:$J$300,"")," / ",_xlfn.XLOOKUP(D510,beans!$A$2:$A$300,beans!$K$2:$K$300,"")," - ",_xlfn.XLOOKUP(D510,beans!$A$2:$A$300,beans!$L$2:$L$300,"")),IF(_xlpm.x=" /  - ","",_xlpm.x))</f>
        <v>薇微特南果 / 聖安東尼奧莊園 - 波旁,鐵皮卡</v>
      </c>
    </row>
    <row r="511" spans="1:36" x14ac:dyDescent="0.3">
      <c r="A511">
        <v>494</v>
      </c>
      <c r="B511">
        <v>250</v>
      </c>
      <c r="D511">
        <v>83</v>
      </c>
      <c r="E511" t="str">
        <f>_xlfn.LET(_xlpm.x,_xlfn.XLOOKUP(D511,beans!$A$2:$A$300,beans!$H$2:$H$300,""),IF(_xlpm.x="","",_xlpm.x))</f>
        <v>印尼</v>
      </c>
      <c r="F511" s="22" t="str">
        <f>_xlfn.XLOOKUP(E511,menu!$A$2:$A$37,menu!$B$2:$B$37,"")</f>
        <v>Indonisia</v>
      </c>
      <c r="G511" t="str">
        <f>_xlfn.XLOOKUP(E511,menu!$A$2:$A$37,menu!$C$2:$C$37,"")</f>
        <v>idn</v>
      </c>
      <c r="H511" t="str">
        <f>_xlfn.LET(_xlpm.x,_xlfn.XLOOKUP(_xlfn.XLOOKUP(D511,beans!$A$2:$A$300,beans!$I$2:$I$300),menu!$E$2:$E$20,menu!$F$2:$F$20),IF(_xlpm.x="","",_xlpm.x))</f>
        <v>washed</v>
      </c>
      <c r="I511">
        <v>190</v>
      </c>
      <c r="J511">
        <v>75</v>
      </c>
      <c r="K511">
        <v>45</v>
      </c>
      <c r="L511">
        <v>75</v>
      </c>
      <c r="M511" s="68" t="s">
        <v>190</v>
      </c>
      <c r="N511">
        <v>83.4</v>
      </c>
      <c r="P511" s="67" t="s">
        <v>586</v>
      </c>
      <c r="Q511" s="68">
        <v>204.8</v>
      </c>
      <c r="R511" s="67" t="s">
        <v>457</v>
      </c>
      <c r="S511" s="68">
        <v>220.6</v>
      </c>
      <c r="T511" s="68">
        <f t="shared" si="62"/>
        <v>15.799999999999983</v>
      </c>
      <c r="U511">
        <f t="shared" si="58"/>
        <v>80</v>
      </c>
      <c r="V511">
        <f t="shared" si="63"/>
        <v>11.9</v>
      </c>
      <c r="W511">
        <f t="shared" si="59"/>
        <v>11.99</v>
      </c>
      <c r="X511" s="19">
        <v>45658</v>
      </c>
      <c r="Y511" s="26">
        <v>210</v>
      </c>
      <c r="Z511" s="61">
        <v>0</v>
      </c>
      <c r="AB511" s="28">
        <f t="shared" si="60"/>
        <v>0.16</v>
      </c>
      <c r="AE511" s="61" t="str">
        <f t="shared" si="61"/>
        <v/>
      </c>
      <c r="AF511" s="77" t="str">
        <f>_xlfn.XLOOKUP(AD511,menu!$K$2:$K$9,menu!$J$2:$J$9,"",1)</f>
        <v/>
      </c>
      <c r="AG511" s="80" t="str">
        <f>_xlfn.XLOOKUP(AH511,menu!$O$2:$O$9,menu!$H$2:$H$9,"")</f>
        <v/>
      </c>
      <c r="AI511" t="str">
        <f>_xlfn.LET(_xlpm.x,_xlfn.CONCAT(_xlfn.XLOOKUP(D511,beans!$A$2:$A$300,beans!$J$2:$J$300,"")," / ",_xlfn.XLOOKUP(D511,beans!$A$2:$A$300,beans!$K$2:$K$300,"")," - ",_xlfn.XLOOKUP(D511,beans!$A$2:$A$300,beans!$L$2:$L$300,"")),IF(_xlpm.x=" /  - ","",_xlpm.x))</f>
        <v xml:space="preserve"> / 曼特寧 - </v>
      </c>
    </row>
    <row r="512" spans="1:36" x14ac:dyDescent="0.3">
      <c r="A512">
        <v>495</v>
      </c>
      <c r="B512">
        <v>500</v>
      </c>
      <c r="D512">
        <v>81</v>
      </c>
      <c r="E512" t="str">
        <f>_xlfn.LET(_xlpm.x,_xlfn.XLOOKUP(D512,beans!$A$2:$A$300,beans!$H$2:$H$300,""),IF(_xlpm.x="","",_xlpm.x))</f>
        <v>薩爾瓦多</v>
      </c>
      <c r="F512" s="22" t="str">
        <f>_xlfn.XLOOKUP(E512,menu!$A$2:$A$37,menu!$B$2:$B$37,"")</f>
        <v>Salvador</v>
      </c>
      <c r="G512" t="str">
        <f>_xlfn.XLOOKUP(E512,menu!$A$2:$A$37,menu!$C$2:$C$37,"")</f>
        <v>slv</v>
      </c>
      <c r="H512" t="str">
        <f>_xlfn.LET(_xlpm.x,_xlfn.XLOOKUP(_xlfn.XLOOKUP(D512,beans!$A$2:$A$300,beans!$I$2:$I$300),menu!$E$2:$E$20,menu!$F$2:$F$20),IF(_xlpm.x="","",_xlpm.x))</f>
        <v>natural</v>
      </c>
      <c r="I512">
        <v>200</v>
      </c>
      <c r="J512">
        <v>80</v>
      </c>
      <c r="K512">
        <v>45</v>
      </c>
      <c r="L512">
        <v>90</v>
      </c>
      <c r="M512" s="68" t="s">
        <v>190</v>
      </c>
      <c r="N512">
        <v>82.1</v>
      </c>
      <c r="P512" s="67" t="s">
        <v>588</v>
      </c>
      <c r="Q512" s="68">
        <v>197.1</v>
      </c>
      <c r="R512" s="67" t="s">
        <v>280</v>
      </c>
      <c r="S512" s="68">
        <v>220</v>
      </c>
      <c r="T512" s="68">
        <f t="shared" si="62"/>
        <v>22.900000000000006</v>
      </c>
      <c r="U512">
        <f t="shared" si="58"/>
        <v>135</v>
      </c>
      <c r="V512">
        <f t="shared" si="63"/>
        <v>10.199999999999999</v>
      </c>
      <c r="W512">
        <f t="shared" si="59"/>
        <v>19.399999999999999</v>
      </c>
      <c r="X512" s="19">
        <v>45658</v>
      </c>
      <c r="Y512" s="26">
        <v>423.3</v>
      </c>
      <c r="Z512" s="61">
        <v>0</v>
      </c>
      <c r="AB512" s="28">
        <f t="shared" si="60"/>
        <v>0.15339999999999998</v>
      </c>
      <c r="AE512" s="61" t="str">
        <f t="shared" si="61"/>
        <v/>
      </c>
      <c r="AF512" s="77" t="str">
        <f>_xlfn.XLOOKUP(AD512,menu!$K$2:$K$9,menu!$J$2:$J$9,"",1)</f>
        <v/>
      </c>
      <c r="AG512" s="80" t="str">
        <f>_xlfn.XLOOKUP(AH512,menu!$O$2:$O$9,menu!$H$2:$H$9,"")</f>
        <v/>
      </c>
      <c r="AI512" t="str">
        <f>_xlfn.LET(_xlpm.x,_xlfn.CONCAT(_xlfn.XLOOKUP(D512,beans!$A$2:$A$300,beans!$J$2:$J$300,"")," / ",_xlfn.XLOOKUP(D512,beans!$A$2:$A$300,beans!$K$2:$K$300,"")," - ",_xlfn.XLOOKUP(D512,beans!$A$2:$A$300,beans!$L$2:$L$300,"")),IF(_xlpm.x=" /  - ","",_xlpm.x))</f>
        <v xml:space="preserve"> / 巧克力情人 - 波旁</v>
      </c>
    </row>
    <row r="513" spans="1:36" x14ac:dyDescent="0.3">
      <c r="A513">
        <v>496</v>
      </c>
      <c r="B513">
        <v>251</v>
      </c>
      <c r="D513">
        <v>70</v>
      </c>
      <c r="E513" t="str">
        <f>_xlfn.LET(_xlpm.x,_xlfn.XLOOKUP(D513,beans!$A$2:$A$300,beans!$H$2:$H$300,""),IF(_xlpm.x="","",_xlpm.x))</f>
        <v>盧安達</v>
      </c>
      <c r="F513" s="22" t="str">
        <f>_xlfn.XLOOKUP(E513,menu!$A$2:$A$37,menu!$B$2:$B$37,"")</f>
        <v>Rwanda</v>
      </c>
      <c r="G513" t="str">
        <f>_xlfn.XLOOKUP(E513,menu!$A$2:$A$37,menu!$C$2:$C$37,"")</f>
        <v>rwa</v>
      </c>
      <c r="H513" t="str">
        <f>_xlfn.LET(_xlpm.x,_xlfn.XLOOKUP(_xlfn.XLOOKUP(D513,beans!$A$2:$A$300,beans!$I$2:$I$300),menu!$E$2:$E$20,menu!$F$2:$F$20),IF(_xlpm.x="","",_xlpm.x))</f>
        <v>honey</v>
      </c>
      <c r="I513">
        <v>200</v>
      </c>
      <c r="J513">
        <v>80</v>
      </c>
      <c r="K513">
        <v>45</v>
      </c>
      <c r="L513">
        <v>70</v>
      </c>
      <c r="M513" s="68" t="s">
        <v>157</v>
      </c>
      <c r="N513">
        <v>86.2</v>
      </c>
      <c r="P513" s="67" t="s">
        <v>547</v>
      </c>
      <c r="Q513" s="68">
        <v>203.1</v>
      </c>
      <c r="R513" s="67" t="s">
        <v>427</v>
      </c>
      <c r="S513" s="68">
        <v>213.8</v>
      </c>
      <c r="T513" s="68">
        <f t="shared" si="62"/>
        <v>10.700000000000017</v>
      </c>
      <c r="U513">
        <f t="shared" si="58"/>
        <v>47</v>
      </c>
      <c r="V513">
        <f t="shared" si="63"/>
        <v>13.7</v>
      </c>
      <c r="W513">
        <f t="shared" si="59"/>
        <v>8.02</v>
      </c>
      <c r="X513" s="19">
        <v>45662</v>
      </c>
      <c r="Y513" s="26">
        <v>218.7</v>
      </c>
      <c r="Z513" s="61">
        <v>0</v>
      </c>
      <c r="AB513" s="28">
        <f t="shared" si="60"/>
        <v>0.12868525896414348</v>
      </c>
      <c r="AC513" s="110">
        <v>48</v>
      </c>
      <c r="AD513" s="26">
        <v>76</v>
      </c>
      <c r="AE513" s="61">
        <f t="shared" si="61"/>
        <v>28</v>
      </c>
      <c r="AF513" s="77" t="str">
        <f>_xlfn.XLOOKUP(AD513,menu!$K$2:$K$9,menu!$J$2:$J$9,"",1)</f>
        <v>淺</v>
      </c>
      <c r="AG513" s="80" t="str">
        <f>_xlfn.XLOOKUP(AH513,menu!$O$2:$O$9,menu!$H$2:$H$9,"")</f>
        <v/>
      </c>
      <c r="AI513" t="str">
        <f>_xlfn.LET(_xlpm.x,_xlfn.CONCAT(_xlfn.XLOOKUP(D513,beans!$A$2:$A$300,beans!$J$2:$J$300,"")," / ",_xlfn.XLOOKUP(D513,beans!$A$2:$A$300,beans!$K$2:$K$300,"")," - ",_xlfn.XLOOKUP(D513,beans!$A$2:$A$300,beans!$L$2:$L$300,"")),IF(_xlpm.x=" /  - ","",_xlpm.x))</f>
        <v xml:space="preserve">亞瑪雪克 / 其林比 - </v>
      </c>
    </row>
    <row r="514" spans="1:36" x14ac:dyDescent="0.3">
      <c r="A514">
        <v>497</v>
      </c>
      <c r="B514">
        <v>250</v>
      </c>
      <c r="D514">
        <v>2</v>
      </c>
      <c r="E514" t="str">
        <f>_xlfn.LET(_xlpm.x,_xlfn.XLOOKUP(D514,beans!$A$2:$A$300,beans!$H$2:$H$300,""),IF(_xlpm.x="","",_xlpm.x))</f>
        <v>哥斯大黎加</v>
      </c>
      <c r="F514" s="22" t="str">
        <f>_xlfn.XLOOKUP(E514,menu!$A$2:$A$37,menu!$B$2:$B$37,"")</f>
        <v>Costa Rica</v>
      </c>
      <c r="G514" t="str">
        <f>_xlfn.XLOOKUP(E514,menu!$A$2:$A$37,menu!$C$2:$C$37,"")</f>
        <v>cri</v>
      </c>
      <c r="H514" t="str">
        <f>_xlfn.LET(_xlpm.x,_xlfn.XLOOKUP(_xlfn.XLOOKUP(D514,beans!$A$2:$A$300,beans!$I$2:$I$300),menu!$E$2:$E$20,menu!$F$2:$F$20),IF(_xlpm.x="","",_xlpm.x))</f>
        <v>raisin-honey</v>
      </c>
      <c r="I514">
        <v>200</v>
      </c>
      <c r="J514">
        <v>80</v>
      </c>
      <c r="K514">
        <v>45</v>
      </c>
      <c r="L514">
        <v>70</v>
      </c>
      <c r="M514" s="68" t="s">
        <v>121</v>
      </c>
      <c r="N514">
        <v>88.7</v>
      </c>
      <c r="P514" s="67" t="s">
        <v>697</v>
      </c>
      <c r="Q514" s="68">
        <v>202</v>
      </c>
      <c r="R514" s="67" t="s">
        <v>443</v>
      </c>
      <c r="S514" s="68">
        <v>214.5</v>
      </c>
      <c r="T514" s="68">
        <f t="shared" si="62"/>
        <v>12.5</v>
      </c>
      <c r="U514">
        <f t="shared" ref="U514:U577" si="64">_xlfn.LET(_xlpm.x,(TIMEVALUE("0:"&amp;SUBSTITUTE(R514,"'",":"))-TIMEVALUE("0:"&amp;SUBSTITUTE(P514,"'",":")))*86400,IF(_xlpm.x=0,"",ROUND(_xlpm.x,2)))</f>
        <v>49</v>
      </c>
      <c r="V514">
        <f t="shared" si="63"/>
        <v>15.3</v>
      </c>
      <c r="W514">
        <f t="shared" ref="W514:W577" si="65">_xlfn.LET(_xlpm.x,(TIMEVALUE("0:"&amp;SUBSTITUTE(R514,"'",":"))-TIMEVALUE("0:"&amp;SUBSTITUTE(P514,"'",":")))*86400,IF(_xlpm.x=0,"",ROUND(_xlpm.x/((TIMEVALUE("0:"&amp;SUBSTITUTE(R514,"'",":"))-TIMEVALUE("0:0:0"))*864),2)))</f>
        <v>8.26</v>
      </c>
      <c r="X514" s="19">
        <v>45662</v>
      </c>
      <c r="Y514" s="26">
        <v>218.9</v>
      </c>
      <c r="Z514" s="61">
        <v>0</v>
      </c>
      <c r="AB514" s="28">
        <f t="shared" ref="AB514:AB577" si="66">IF(Y514 &gt; 0,(B514-Y514)/B514," ")</f>
        <v>0.12439999999999998</v>
      </c>
      <c r="AE514" s="61" t="str">
        <f t="shared" ref="AE514:AE577" si="67">_xlfn.LET(_xlpm.x,AD514-AC514,IF(_xlpm.x=0,"",_xlpm.x))</f>
        <v/>
      </c>
      <c r="AF514" s="77" t="str">
        <f>_xlfn.XLOOKUP(AD514,menu!$K$2:$K$9,menu!$J$2:$J$9,"",1)</f>
        <v/>
      </c>
      <c r="AG514" s="80" t="str">
        <f>_xlfn.XLOOKUP(AH514,menu!$O$2:$O$9,menu!$H$2:$H$9,"")</f>
        <v/>
      </c>
      <c r="AI514" t="str">
        <f>_xlfn.LET(_xlpm.x,_xlfn.CONCAT(_xlfn.XLOOKUP(D514,beans!$A$2:$A$300,beans!$J$2:$J$300,"")," / ",_xlfn.XLOOKUP(D514,beans!$A$2:$A$300,beans!$K$2:$K$300,"")," - ",_xlfn.XLOOKUP(D514,beans!$A$2:$A$300,beans!$L$2:$L$300,"")),IF(_xlpm.x=" /  - ","",_xlpm.x))</f>
        <v xml:space="preserve">Tarrazu / 卡內特 音樂家系列 莫札特 - </v>
      </c>
    </row>
    <row r="515" spans="1:36" x14ac:dyDescent="0.3">
      <c r="A515">
        <v>498</v>
      </c>
      <c r="B515">
        <v>246.9</v>
      </c>
      <c r="D515">
        <v>68</v>
      </c>
      <c r="E515" t="str">
        <f>_xlfn.LET(_xlpm.x,_xlfn.XLOOKUP(D515,beans!$A$2:$A$300,beans!$H$2:$H$300,""),IF(_xlpm.x="","",_xlpm.x))</f>
        <v>哥倫比亞</v>
      </c>
      <c r="F515" s="22" t="str">
        <f>_xlfn.XLOOKUP(E515,menu!$A$2:$A$37,menu!$B$2:$B$37,"")</f>
        <v>Colombia</v>
      </c>
      <c r="G515" t="str">
        <f>_xlfn.XLOOKUP(E515,menu!$A$2:$A$37,menu!$C$2:$C$37,"")</f>
        <v>col</v>
      </c>
      <c r="H515" t="str">
        <f>_xlfn.LET(_xlpm.x,_xlfn.XLOOKUP(_xlfn.XLOOKUP(D515,beans!$A$2:$A$300,beans!$I$2:$I$300),menu!$E$2:$E$20,menu!$F$2:$F$20),IF(_xlpm.x="","",_xlpm.x))</f>
        <v>Anaerobic Natural</v>
      </c>
      <c r="I515">
        <v>200</v>
      </c>
      <c r="J515">
        <v>80</v>
      </c>
      <c r="K515">
        <v>45</v>
      </c>
      <c r="L515">
        <v>70</v>
      </c>
      <c r="M515" s="68" t="s">
        <v>207</v>
      </c>
      <c r="N515">
        <v>87.2</v>
      </c>
      <c r="P515" s="67" t="s">
        <v>126</v>
      </c>
      <c r="Q515" s="68">
        <v>206</v>
      </c>
      <c r="R515" s="67" t="s">
        <v>40</v>
      </c>
      <c r="S515" s="68">
        <v>213.6</v>
      </c>
      <c r="T515" s="68">
        <f t="shared" ref="T515:T578" si="68">_xlfn.LET(_xlpm.x,S515-Q515,IF(_xlpm.x=0,"",_xlpm.x))</f>
        <v>7.5999999999999943</v>
      </c>
      <c r="U515">
        <f t="shared" si="64"/>
        <v>33</v>
      </c>
      <c r="V515">
        <f t="shared" ref="V515:V578" si="69">IFERROR(ROUND(T515*60/U515,1), )</f>
        <v>13.8</v>
      </c>
      <c r="W515">
        <f t="shared" si="65"/>
        <v>5.52</v>
      </c>
      <c r="X515" s="19">
        <v>45662</v>
      </c>
      <c r="Y515" s="26">
        <v>213.6</v>
      </c>
      <c r="Z515" s="61">
        <v>0</v>
      </c>
      <c r="AB515" s="28">
        <f t="shared" si="66"/>
        <v>0.1348724179829891</v>
      </c>
      <c r="AE515" s="61" t="str">
        <f t="shared" si="67"/>
        <v/>
      </c>
      <c r="AF515" s="77" t="str">
        <f>_xlfn.XLOOKUP(AD515,menu!$K$2:$K$9,menu!$J$2:$J$9,"",1)</f>
        <v/>
      </c>
      <c r="AG515" s="80" t="str">
        <f>_xlfn.XLOOKUP(AH515,menu!$O$2:$O$9,menu!$H$2:$H$9,"")</f>
        <v/>
      </c>
      <c r="AI515" t="str">
        <f>_xlfn.LET(_xlpm.x,_xlfn.CONCAT(_xlfn.XLOOKUP(D515,beans!$A$2:$A$300,beans!$J$2:$J$300,"")," / ",_xlfn.XLOOKUP(D515,beans!$A$2:$A$300,beans!$K$2:$K$300,"")," - ",_xlfn.XLOOKUP(D515,beans!$A$2:$A$300,beans!$L$2:$L$300,"")),IF(_xlpm.x=" /  - ","",_xlpm.x))</f>
        <v xml:space="preserve"> / 天堂莊園-日出桂花香 - </v>
      </c>
      <c r="AJ515" s="23" t="s">
        <v>736</v>
      </c>
    </row>
    <row r="516" spans="1:36" x14ac:dyDescent="0.3">
      <c r="A516">
        <v>499</v>
      </c>
      <c r="B516">
        <v>250</v>
      </c>
      <c r="D516">
        <v>68</v>
      </c>
      <c r="E516" t="str">
        <f>_xlfn.LET(_xlpm.x,_xlfn.XLOOKUP(D516,beans!$A$2:$A$300,beans!$H$2:$H$300,""),IF(_xlpm.x="","",_xlpm.x))</f>
        <v>哥倫比亞</v>
      </c>
      <c r="F516" s="22" t="str">
        <f>_xlfn.XLOOKUP(E516,menu!$A$2:$A$37,menu!$B$2:$B$37,"")</f>
        <v>Colombia</v>
      </c>
      <c r="G516" t="str">
        <f>_xlfn.XLOOKUP(E516,menu!$A$2:$A$37,menu!$C$2:$C$37,"")</f>
        <v>col</v>
      </c>
      <c r="H516" t="str">
        <f>_xlfn.LET(_xlpm.x,_xlfn.XLOOKUP(_xlfn.XLOOKUP(D516,beans!$A$2:$A$300,beans!$I$2:$I$300),menu!$E$2:$E$20,menu!$F$2:$F$20),IF(_xlpm.x="","",_xlpm.x))</f>
        <v>Anaerobic Natural</v>
      </c>
      <c r="I516">
        <v>200</v>
      </c>
      <c r="J516">
        <v>80</v>
      </c>
      <c r="K516">
        <v>45</v>
      </c>
      <c r="L516">
        <v>70</v>
      </c>
      <c r="M516" s="68" t="s">
        <v>71</v>
      </c>
      <c r="N516">
        <v>88.7</v>
      </c>
      <c r="P516" s="67" t="s">
        <v>737</v>
      </c>
      <c r="Q516" s="68">
        <v>203.3</v>
      </c>
      <c r="R516" s="67" t="s">
        <v>171</v>
      </c>
      <c r="S516" s="68">
        <v>217.7</v>
      </c>
      <c r="T516" s="68">
        <f t="shared" si="68"/>
        <v>14.399999999999977</v>
      </c>
      <c r="U516">
        <f t="shared" si="64"/>
        <v>49</v>
      </c>
      <c r="V516">
        <f t="shared" si="69"/>
        <v>17.600000000000001</v>
      </c>
      <c r="W516">
        <f t="shared" si="65"/>
        <v>8.75</v>
      </c>
      <c r="X516" s="19">
        <v>45662</v>
      </c>
      <c r="Y516" s="26">
        <v>213.6</v>
      </c>
      <c r="Z516" s="61">
        <v>0</v>
      </c>
      <c r="AB516" s="28">
        <f t="shared" si="66"/>
        <v>0.14560000000000003</v>
      </c>
      <c r="AC516" s="110">
        <v>40.200000000000003</v>
      </c>
      <c r="AD516" s="26">
        <v>68.5</v>
      </c>
      <c r="AE516" s="61">
        <f t="shared" si="67"/>
        <v>28.299999999999997</v>
      </c>
      <c r="AF516" s="77" t="str">
        <f>_xlfn.XLOOKUP(AD516,menu!$K$2:$K$9,menu!$J$2:$J$9,"",1)</f>
        <v>中淺</v>
      </c>
      <c r="AG516" s="80" t="str">
        <f>_xlfn.XLOOKUP(AH516,menu!$O$2:$O$9,menu!$H$2:$H$9,"")</f>
        <v/>
      </c>
      <c r="AI516" t="str">
        <f>_xlfn.LET(_xlpm.x,_xlfn.CONCAT(_xlfn.XLOOKUP(D516,beans!$A$2:$A$300,beans!$J$2:$J$300,"")," / ",_xlfn.XLOOKUP(D516,beans!$A$2:$A$300,beans!$K$2:$K$300,"")," - ",_xlfn.XLOOKUP(D516,beans!$A$2:$A$300,beans!$L$2:$L$300,"")),IF(_xlpm.x=" /  - ","",_xlpm.x))</f>
        <v xml:space="preserve"> / 天堂莊園-日出桂花香 - </v>
      </c>
      <c r="AJ516" s="23" t="s">
        <v>736</v>
      </c>
    </row>
    <row r="517" spans="1:36" x14ac:dyDescent="0.3">
      <c r="A517">
        <v>500</v>
      </c>
      <c r="B517">
        <v>246</v>
      </c>
      <c r="D517">
        <v>47</v>
      </c>
      <c r="E517" t="str">
        <f>_xlfn.LET(_xlpm.x,_xlfn.XLOOKUP(D517,beans!$A$2:$A$300,beans!$H$2:$H$300,""),IF(_xlpm.x="","",_xlpm.x))</f>
        <v>衣索比亞</v>
      </c>
      <c r="F517" s="22" t="str">
        <f>_xlfn.XLOOKUP(E517,menu!$A$2:$A$37,menu!$B$2:$B$37,"")</f>
        <v>Ethiopia</v>
      </c>
      <c r="G517" t="str">
        <f>_xlfn.XLOOKUP(E517,menu!$A$2:$A$37,menu!$C$2:$C$37,"")</f>
        <v>eth</v>
      </c>
      <c r="H517" t="str">
        <f>_xlfn.LET(_xlpm.x,_xlfn.XLOOKUP(_xlfn.XLOOKUP(D517,beans!$A$2:$A$300,beans!$I$2:$I$300),menu!$E$2:$E$20,menu!$F$2:$F$20),IF(_xlpm.x="","",_xlpm.x))</f>
        <v>washed</v>
      </c>
      <c r="I517">
        <v>190</v>
      </c>
      <c r="J517">
        <v>80</v>
      </c>
      <c r="K517">
        <v>45</v>
      </c>
      <c r="L517">
        <v>80</v>
      </c>
      <c r="M517" s="68" t="s">
        <v>54</v>
      </c>
      <c r="N517">
        <v>84.2</v>
      </c>
      <c r="P517" s="67" t="s">
        <v>738</v>
      </c>
      <c r="Q517" s="68">
        <v>195.5</v>
      </c>
      <c r="R517" s="67" t="s">
        <v>165</v>
      </c>
      <c r="S517" s="68">
        <v>215.4</v>
      </c>
      <c r="T517" s="68">
        <f t="shared" si="68"/>
        <v>19.900000000000006</v>
      </c>
      <c r="U517">
        <f t="shared" si="64"/>
        <v>99</v>
      </c>
      <c r="V517">
        <f t="shared" si="69"/>
        <v>12.1</v>
      </c>
      <c r="W517">
        <f t="shared" si="65"/>
        <v>15.54</v>
      </c>
      <c r="X517" s="19">
        <v>45676</v>
      </c>
      <c r="Y517" s="26">
        <v>209</v>
      </c>
      <c r="Z517" s="61">
        <v>0</v>
      </c>
      <c r="AB517" s="28">
        <f t="shared" si="66"/>
        <v>0.15040650406504066</v>
      </c>
      <c r="AE517" s="61" t="str">
        <f t="shared" si="67"/>
        <v/>
      </c>
      <c r="AF517" s="77" t="str">
        <f>_xlfn.XLOOKUP(AD517,menu!$K$2:$K$9,menu!$J$2:$J$9,"",1)</f>
        <v/>
      </c>
      <c r="AG517" s="80" t="str">
        <f>_xlfn.XLOOKUP(AH517,menu!$O$2:$O$9,menu!$H$2:$H$9,"")</f>
        <v/>
      </c>
      <c r="AI517" t="str">
        <f>_xlfn.LET(_xlpm.x,_xlfn.CONCAT(_xlfn.XLOOKUP(D517,beans!$A$2:$A$300,beans!$J$2:$J$300,"")," / ",_xlfn.XLOOKUP(D517,beans!$A$2:$A$300,beans!$K$2:$K$300,"")," - ",_xlfn.XLOOKUP(D517,beans!$A$2:$A$300,beans!$L$2:$L$300,"")),IF(_xlpm.x=" /  - ","",_xlpm.x))</f>
        <v>吉馬莉姆 / 果美村 - 寶貝藝妓</v>
      </c>
      <c r="AJ517" s="23" t="s">
        <v>739</v>
      </c>
    </row>
    <row r="518" spans="1:36" x14ac:dyDescent="0.3">
      <c r="A518">
        <v>501</v>
      </c>
      <c r="B518">
        <v>247</v>
      </c>
      <c r="D518">
        <v>63</v>
      </c>
      <c r="E518" t="str">
        <f>_xlfn.LET(_xlpm.x,_xlfn.XLOOKUP(D518,beans!$A$2:$A$300,beans!$H$2:$H$300,""),IF(_xlpm.x="","",_xlpm.x))</f>
        <v>衣索比亞</v>
      </c>
      <c r="F518" s="22" t="str">
        <f>_xlfn.XLOOKUP(E518,menu!$A$2:$A$37,menu!$B$2:$B$37,"")</f>
        <v>Ethiopia</v>
      </c>
      <c r="G518" t="str">
        <f>_xlfn.XLOOKUP(E518,menu!$A$2:$A$37,menu!$C$2:$C$37,"")</f>
        <v>eth</v>
      </c>
      <c r="H518" t="str">
        <f>_xlfn.LET(_xlpm.x,_xlfn.XLOOKUP(_xlfn.XLOOKUP(D518,beans!$A$2:$A$300,beans!$I$2:$I$300),menu!$E$2:$E$20,menu!$F$2:$F$20),IF(_xlpm.x="","",_xlpm.x))</f>
        <v>washed</v>
      </c>
      <c r="I518">
        <v>190</v>
      </c>
      <c r="J518">
        <v>80</v>
      </c>
      <c r="K518">
        <v>45</v>
      </c>
      <c r="L518">
        <v>80</v>
      </c>
      <c r="M518" s="68" t="s">
        <v>125</v>
      </c>
      <c r="N518">
        <v>82.3</v>
      </c>
      <c r="P518" s="67" t="s">
        <v>578</v>
      </c>
      <c r="Q518" s="68">
        <v>199.5</v>
      </c>
      <c r="R518" s="67" t="s">
        <v>524</v>
      </c>
      <c r="S518" s="68">
        <v>219</v>
      </c>
      <c r="T518" s="68">
        <f t="shared" si="68"/>
        <v>19.5</v>
      </c>
      <c r="U518">
        <f t="shared" si="64"/>
        <v>91</v>
      </c>
      <c r="V518">
        <f t="shared" si="69"/>
        <v>12.9</v>
      </c>
      <c r="W518">
        <f t="shared" si="65"/>
        <v>14.77</v>
      </c>
      <c r="X518" s="19">
        <v>45676</v>
      </c>
      <c r="Y518" s="26">
        <v>210</v>
      </c>
      <c r="Z518" s="61">
        <v>0</v>
      </c>
      <c r="AB518" s="28">
        <f t="shared" si="66"/>
        <v>0.14979757085020243</v>
      </c>
      <c r="AE518" s="61" t="str">
        <f t="shared" si="67"/>
        <v/>
      </c>
      <c r="AF518" s="77" t="str">
        <f>_xlfn.XLOOKUP(AD518,menu!$K$2:$K$9,menu!$J$2:$J$9,"",1)</f>
        <v/>
      </c>
      <c r="AG518" s="80" t="str">
        <f>_xlfn.XLOOKUP(AH518,menu!$O$2:$O$9,menu!$H$2:$H$9,"")</f>
        <v/>
      </c>
      <c r="AI518" t="str">
        <f>_xlfn.LET(_xlpm.x,_xlfn.CONCAT(_xlfn.XLOOKUP(D518,beans!$A$2:$A$300,beans!$J$2:$J$300,"")," / ",_xlfn.XLOOKUP(D518,beans!$A$2:$A$300,beans!$K$2:$K$300,"")," - ",_xlfn.XLOOKUP(D518,beans!$A$2:$A$300,beans!$L$2:$L$300,"")),IF(_xlpm.x=" /  - ","",_xlpm.x))</f>
        <v>班奇 馬吉 / 露西 - Geisha</v>
      </c>
      <c r="AJ518" s="23" t="s">
        <v>739</v>
      </c>
    </row>
    <row r="519" spans="1:36" x14ac:dyDescent="0.3">
      <c r="A519">
        <v>502</v>
      </c>
      <c r="B519">
        <v>489.8</v>
      </c>
      <c r="D519">
        <v>33</v>
      </c>
      <c r="E519" t="str">
        <f>_xlfn.LET(_xlpm.x,_xlfn.XLOOKUP(D519,beans!$A$2:$A$300,beans!$H$2:$H$300,""),IF(_xlpm.x="","",_xlpm.x))</f>
        <v>哥倫比亞</v>
      </c>
      <c r="F519" s="22" t="str">
        <f>_xlfn.XLOOKUP(E519,menu!$A$2:$A$37,menu!$B$2:$B$37,"")</f>
        <v>Colombia</v>
      </c>
      <c r="G519" t="str">
        <f>_xlfn.XLOOKUP(E519,menu!$A$2:$A$37,menu!$C$2:$C$37,"")</f>
        <v>col</v>
      </c>
      <c r="H519" t="str">
        <f>_xlfn.LET(_xlpm.x,_xlfn.XLOOKUP(_xlfn.XLOOKUP(D519,beans!$A$2:$A$300,beans!$I$2:$I$300),menu!$E$2:$E$20,menu!$F$2:$F$20),IF(_xlpm.x="","",_xlpm.x))</f>
        <v>Anaerobic Washed</v>
      </c>
      <c r="I519">
        <v>200</v>
      </c>
      <c r="J519">
        <v>80</v>
      </c>
      <c r="K519">
        <v>45</v>
      </c>
      <c r="L519">
        <v>90</v>
      </c>
      <c r="M519" s="68" t="s">
        <v>217</v>
      </c>
      <c r="N519">
        <v>83.4</v>
      </c>
      <c r="P519" s="67" t="s">
        <v>295</v>
      </c>
      <c r="Q519" s="68">
        <v>201.5</v>
      </c>
      <c r="R519" s="67" t="s">
        <v>182</v>
      </c>
      <c r="S519" s="68">
        <v>219</v>
      </c>
      <c r="T519" s="68">
        <f t="shared" si="68"/>
        <v>17.5</v>
      </c>
      <c r="U519">
        <f t="shared" si="64"/>
        <v>109</v>
      </c>
      <c r="V519">
        <f t="shared" si="69"/>
        <v>9.6</v>
      </c>
      <c r="W519">
        <f t="shared" si="65"/>
        <v>15.4</v>
      </c>
      <c r="X519" s="19">
        <v>45676</v>
      </c>
      <c r="Y519" s="26">
        <v>414.9</v>
      </c>
      <c r="Z519" s="61">
        <v>0</v>
      </c>
      <c r="AB519" s="28">
        <f t="shared" si="66"/>
        <v>0.15291955900367504</v>
      </c>
      <c r="AE519" s="61" t="str">
        <f t="shared" si="67"/>
        <v/>
      </c>
      <c r="AF519" s="77" t="str">
        <f>_xlfn.XLOOKUP(AD519,menu!$K$2:$K$9,menu!$J$2:$J$9,"",1)</f>
        <v/>
      </c>
      <c r="AG519" s="80" t="str">
        <f>_xlfn.XLOOKUP(AH519,menu!$O$2:$O$9,menu!$H$2:$H$9,"")</f>
        <v/>
      </c>
      <c r="AI519" t="str">
        <f>_xlfn.LET(_xlpm.x,_xlfn.CONCAT(_xlfn.XLOOKUP(D519,beans!$A$2:$A$300,beans!$J$2:$J$300,"")," / ",_xlfn.XLOOKUP(D519,beans!$A$2:$A$300,beans!$K$2:$K$300,"")," - ",_xlfn.XLOOKUP(D519,beans!$A$2:$A$300,beans!$L$2:$L$300,"")),IF(_xlpm.x=" /  - ","",_xlpm.x))</f>
        <v>Hulia / Bruselas/ La Lumbrera / 薇拉 祕密花園 JAVA 厭氧水洗 - Java</v>
      </c>
      <c r="AJ519" s="23" t="s">
        <v>739</v>
      </c>
    </row>
    <row r="520" spans="1:36" x14ac:dyDescent="0.3">
      <c r="A520">
        <v>503</v>
      </c>
      <c r="B520">
        <v>248</v>
      </c>
      <c r="D520">
        <v>45</v>
      </c>
      <c r="E520" t="str">
        <f>_xlfn.LET(_xlpm.x,_xlfn.XLOOKUP(D520,beans!$A$2:$A$300,beans!$H$2:$H$300,""),IF(_xlpm.x="","",_xlpm.x))</f>
        <v>哥倫比亞</v>
      </c>
      <c r="F520" s="22" t="str">
        <f>_xlfn.XLOOKUP(E520,menu!$A$2:$A$37,menu!$B$2:$B$37,"")</f>
        <v>Colombia</v>
      </c>
      <c r="G520" t="str">
        <f>_xlfn.XLOOKUP(E520,menu!$A$2:$A$37,menu!$C$2:$C$37,"")</f>
        <v>col</v>
      </c>
      <c r="H520" t="str">
        <f>_xlfn.LET(_xlpm.x,_xlfn.XLOOKUP(_xlfn.XLOOKUP(D520,beans!$A$2:$A$300,beans!$I$2:$I$300),menu!$E$2:$E$20,menu!$F$2:$F$20),IF(_xlpm.x="","",_xlpm.x))</f>
        <v>Special</v>
      </c>
      <c r="I520">
        <v>190</v>
      </c>
      <c r="J520">
        <v>80</v>
      </c>
      <c r="K520">
        <v>45</v>
      </c>
      <c r="L520">
        <v>80</v>
      </c>
      <c r="M520" s="68" t="s">
        <v>207</v>
      </c>
      <c r="N520">
        <v>90</v>
      </c>
      <c r="P520" s="67" t="s">
        <v>740</v>
      </c>
      <c r="Q520" s="68">
        <v>202.1</v>
      </c>
      <c r="R520" s="67" t="s">
        <v>640</v>
      </c>
      <c r="S520" s="68">
        <v>222.3</v>
      </c>
      <c r="T520" s="68">
        <f t="shared" si="68"/>
        <v>20.200000000000017</v>
      </c>
      <c r="U520">
        <f t="shared" si="64"/>
        <v>60</v>
      </c>
      <c r="V520">
        <f t="shared" si="69"/>
        <v>20.2</v>
      </c>
      <c r="W520">
        <f t="shared" si="65"/>
        <v>10.83</v>
      </c>
      <c r="X520" s="19">
        <v>45676</v>
      </c>
      <c r="Y520" s="26">
        <v>210</v>
      </c>
      <c r="Z520" s="61">
        <v>0</v>
      </c>
      <c r="AB520" s="28">
        <f t="shared" si="66"/>
        <v>0.15322580645161291</v>
      </c>
      <c r="AE520" s="61" t="str">
        <f t="shared" si="67"/>
        <v/>
      </c>
      <c r="AF520" s="77" t="str">
        <f>_xlfn.XLOOKUP(AD520,menu!$K$2:$K$9,menu!$J$2:$J$9,"",1)</f>
        <v/>
      </c>
      <c r="AG520" s="80" t="str">
        <f>_xlfn.XLOOKUP(AH520,menu!$O$2:$O$9,menu!$H$2:$H$9,"")</f>
        <v/>
      </c>
      <c r="AI520" t="str">
        <f>_xlfn.LET(_xlpm.x,_xlfn.CONCAT(_xlfn.XLOOKUP(D520,beans!$A$2:$A$300,beans!$J$2:$J$300,"")," / ",_xlfn.XLOOKUP(D520,beans!$A$2:$A$300,beans!$K$2:$K$300,"")," - ",_xlfn.XLOOKUP(D520,beans!$A$2:$A$300,beans!$L$2:$L$300,"")),IF(_xlpm.x=" /  - ","",_xlpm.x))</f>
        <v>薇拉省 / 蒙大布蘭蔻莊園 - 紫卡杜拉</v>
      </c>
      <c r="AJ520" s="23" t="s">
        <v>739</v>
      </c>
    </row>
    <row r="521" spans="1:36" x14ac:dyDescent="0.3">
      <c r="A521">
        <v>504</v>
      </c>
      <c r="B521">
        <v>250</v>
      </c>
      <c r="D521">
        <v>63</v>
      </c>
      <c r="E521" t="str">
        <f>_xlfn.LET(_xlpm.x,_xlfn.XLOOKUP(D521,beans!$A$2:$A$300,beans!$H$2:$H$300,""),IF(_xlpm.x="","",_xlpm.x))</f>
        <v>衣索比亞</v>
      </c>
      <c r="F521" s="22" t="str">
        <f>_xlfn.XLOOKUP(E521,menu!$A$2:$A$37,menu!$B$2:$B$37,"")</f>
        <v>Ethiopia</v>
      </c>
      <c r="G521" t="str">
        <f>_xlfn.XLOOKUP(E521,menu!$A$2:$A$37,menu!$C$2:$C$37,"")</f>
        <v>eth</v>
      </c>
      <c r="H521" t="str">
        <f>_xlfn.LET(_xlpm.x,_xlfn.XLOOKUP(_xlfn.XLOOKUP(D521,beans!$A$2:$A$300,beans!$I$2:$I$300),menu!$E$2:$E$20,menu!$F$2:$F$20),IF(_xlpm.x="","",_xlpm.x))</f>
        <v>washed</v>
      </c>
      <c r="I521">
        <v>190</v>
      </c>
      <c r="J521">
        <v>80</v>
      </c>
      <c r="K521">
        <v>45</v>
      </c>
      <c r="L521">
        <v>80</v>
      </c>
      <c r="M521" s="68" t="s">
        <v>67</v>
      </c>
      <c r="N521">
        <v>84.4</v>
      </c>
      <c r="P521" s="67" t="s">
        <v>651</v>
      </c>
      <c r="Q521" s="68">
        <v>202.1</v>
      </c>
      <c r="R521" s="67" t="s">
        <v>77</v>
      </c>
      <c r="S521" s="68">
        <v>223.7</v>
      </c>
      <c r="T521" s="68">
        <f t="shared" si="68"/>
        <v>21.599999999999994</v>
      </c>
      <c r="U521">
        <f t="shared" si="64"/>
        <v>102</v>
      </c>
      <c r="V521">
        <f t="shared" si="69"/>
        <v>12.7</v>
      </c>
      <c r="W521">
        <f t="shared" si="65"/>
        <v>15.81</v>
      </c>
      <c r="X521" s="19">
        <v>45676</v>
      </c>
      <c r="Y521" s="26">
        <v>210.5</v>
      </c>
      <c r="Z521" s="61">
        <v>0</v>
      </c>
      <c r="AB521" s="28">
        <f t="shared" si="66"/>
        <v>0.158</v>
      </c>
      <c r="AE521" s="61" t="str">
        <f t="shared" si="67"/>
        <v/>
      </c>
      <c r="AF521" s="77" t="str">
        <f>_xlfn.XLOOKUP(AD521,menu!$K$2:$K$9,menu!$J$2:$J$9,"",1)</f>
        <v/>
      </c>
      <c r="AG521" s="80" t="str">
        <f>_xlfn.XLOOKUP(AH521,menu!$O$2:$O$9,menu!$H$2:$H$9,"")</f>
        <v/>
      </c>
      <c r="AI521" t="str">
        <f>_xlfn.LET(_xlpm.x,_xlfn.CONCAT(_xlfn.XLOOKUP(D521,beans!$A$2:$A$300,beans!$J$2:$J$300,"")," / ",_xlfn.XLOOKUP(D521,beans!$A$2:$A$300,beans!$K$2:$K$300,"")," - ",_xlfn.XLOOKUP(D521,beans!$A$2:$A$300,beans!$L$2:$L$300,"")),IF(_xlpm.x=" /  - ","",_xlpm.x))</f>
        <v>班奇 馬吉 / 露西 - Geisha</v>
      </c>
      <c r="AJ521" s="23" t="s">
        <v>741</v>
      </c>
    </row>
    <row r="522" spans="1:36" x14ac:dyDescent="0.3">
      <c r="A522">
        <v>505</v>
      </c>
      <c r="B522">
        <v>245</v>
      </c>
      <c r="D522">
        <v>75</v>
      </c>
      <c r="E522" t="str">
        <f>_xlfn.LET(_xlpm.x,_xlfn.XLOOKUP(D522,beans!$A$2:$A$300,beans!$H$2:$H$300,""),IF(_xlpm.x="","",_xlpm.x))</f>
        <v>瓜地馬拉</v>
      </c>
      <c r="F522" s="22" t="str">
        <f>_xlfn.XLOOKUP(E522,menu!$A$2:$A$37,menu!$B$2:$B$37,"")</f>
        <v>Guatemala</v>
      </c>
      <c r="G522" t="str">
        <f>_xlfn.XLOOKUP(E522,menu!$A$2:$A$37,menu!$C$2:$C$37,"")</f>
        <v>gtm</v>
      </c>
      <c r="H522" t="str">
        <f>_xlfn.LET(_xlpm.x,_xlfn.XLOOKUP(_xlfn.XLOOKUP(D522,beans!$A$2:$A$300,beans!$I$2:$I$300),menu!$E$2:$E$20,menu!$F$2:$F$20),IF(_xlpm.x="","",_xlpm.x))</f>
        <v>Anaerobic Natural</v>
      </c>
      <c r="I522">
        <v>190</v>
      </c>
      <c r="J522">
        <v>80</v>
      </c>
      <c r="K522">
        <v>45</v>
      </c>
      <c r="L522">
        <v>80</v>
      </c>
      <c r="M522" s="68" t="s">
        <v>121</v>
      </c>
      <c r="N522">
        <v>85.5</v>
      </c>
      <c r="P522" s="67" t="s">
        <v>277</v>
      </c>
      <c r="Q522" s="68">
        <v>205.5</v>
      </c>
      <c r="R522" s="67" t="s">
        <v>440</v>
      </c>
      <c r="S522" s="68">
        <v>226.3</v>
      </c>
      <c r="T522" s="68">
        <f t="shared" si="68"/>
        <v>20.800000000000011</v>
      </c>
      <c r="U522">
        <f t="shared" si="64"/>
        <v>85</v>
      </c>
      <c r="V522">
        <f t="shared" si="69"/>
        <v>14.7</v>
      </c>
      <c r="W522">
        <f t="shared" si="65"/>
        <v>14.03</v>
      </c>
      <c r="X522" s="19">
        <v>45676</v>
      </c>
      <c r="Y522" s="26">
        <v>209.4</v>
      </c>
      <c r="Z522" s="61">
        <v>0</v>
      </c>
      <c r="AB522" s="28">
        <f t="shared" si="66"/>
        <v>0.14530612244897956</v>
      </c>
      <c r="AE522" s="61" t="str">
        <f t="shared" si="67"/>
        <v/>
      </c>
      <c r="AF522" s="77" t="str">
        <f>_xlfn.XLOOKUP(AD522,menu!$K$2:$K$9,menu!$J$2:$J$9,"",1)</f>
        <v/>
      </c>
      <c r="AG522" s="80" t="str">
        <f>_xlfn.XLOOKUP(AH522,menu!$O$2:$O$9,menu!$H$2:$H$9,"")</f>
        <v/>
      </c>
      <c r="AI522" t="str">
        <f>_xlfn.LET(_xlpm.x,_xlfn.CONCAT(_xlfn.XLOOKUP(D522,beans!$A$2:$A$300,beans!$J$2:$J$300,"")," / ",_xlfn.XLOOKUP(D522,beans!$A$2:$A$300,beans!$K$2:$K$300,"")," - ",_xlfn.XLOOKUP(D522,beans!$A$2:$A$300,beans!$L$2:$L$300,"")),IF(_xlpm.x=" /  - ","",_xlpm.x))</f>
        <v xml:space="preserve">新東方 / 小農批次 - </v>
      </c>
      <c r="AJ522" s="23" t="s">
        <v>741</v>
      </c>
    </row>
    <row r="523" spans="1:36" x14ac:dyDescent="0.3">
      <c r="A523">
        <v>506</v>
      </c>
      <c r="B523">
        <v>248.8</v>
      </c>
      <c r="D523">
        <v>42</v>
      </c>
      <c r="E523" t="str">
        <f>_xlfn.LET(_xlpm.x,_xlfn.XLOOKUP(D523,beans!$A$2:$A$300,beans!$H$2:$H$300,""),IF(_xlpm.x="","",_xlpm.x))</f>
        <v>瓜地馬拉</v>
      </c>
      <c r="F523" s="22" t="str">
        <f>_xlfn.XLOOKUP(E523,menu!$A$2:$A$37,menu!$B$2:$B$37,"")</f>
        <v>Guatemala</v>
      </c>
      <c r="G523" t="str">
        <f>_xlfn.XLOOKUP(E523,menu!$A$2:$A$37,menu!$C$2:$C$37,"")</f>
        <v>gtm</v>
      </c>
      <c r="H523" t="str">
        <f>_xlfn.LET(_xlpm.x,_xlfn.XLOOKUP(_xlfn.XLOOKUP(D523,beans!$A$2:$A$300,beans!$I$2:$I$300),menu!$E$2:$E$20,menu!$F$2:$F$20),IF(_xlpm.x="","",_xlpm.x))</f>
        <v>honey</v>
      </c>
      <c r="I523">
        <v>190</v>
      </c>
      <c r="J523">
        <v>80</v>
      </c>
      <c r="K523">
        <v>45</v>
      </c>
      <c r="L523">
        <v>80</v>
      </c>
      <c r="M523" s="68" t="s">
        <v>121</v>
      </c>
      <c r="N523">
        <v>82.5</v>
      </c>
      <c r="P523" s="67" t="s">
        <v>443</v>
      </c>
      <c r="Q523" s="68">
        <v>208.1</v>
      </c>
      <c r="R523" s="67" t="s">
        <v>367</v>
      </c>
      <c r="S523" s="68">
        <v>224.2</v>
      </c>
      <c r="T523" s="68">
        <f t="shared" si="68"/>
        <v>16.099999999999994</v>
      </c>
      <c r="U523">
        <f t="shared" si="64"/>
        <v>62</v>
      </c>
      <c r="V523">
        <f t="shared" si="69"/>
        <v>15.6</v>
      </c>
      <c r="W523">
        <f t="shared" si="65"/>
        <v>9.4700000000000006</v>
      </c>
      <c r="X523" s="19">
        <v>45676</v>
      </c>
      <c r="Y523" s="26">
        <v>210</v>
      </c>
      <c r="Z523" s="61">
        <v>0</v>
      </c>
      <c r="AB523" s="28">
        <f t="shared" si="66"/>
        <v>0.15594855305466243</v>
      </c>
      <c r="AE523" s="61" t="str">
        <f t="shared" si="67"/>
        <v/>
      </c>
      <c r="AF523" s="77" t="str">
        <f>_xlfn.XLOOKUP(AD523,menu!$K$2:$K$9,menu!$J$2:$J$9,"",1)</f>
        <v/>
      </c>
      <c r="AG523" s="80" t="str">
        <f>_xlfn.XLOOKUP(AH523,menu!$O$2:$O$9,menu!$H$2:$H$9,"")</f>
        <v/>
      </c>
      <c r="AI523" t="str">
        <f>_xlfn.LET(_xlpm.x,_xlfn.CONCAT(_xlfn.XLOOKUP(D523,beans!$A$2:$A$300,beans!$J$2:$J$300,"")," / ",_xlfn.XLOOKUP(D523,beans!$A$2:$A$300,beans!$K$2:$K$300,"")," - ",_xlfn.XLOOKUP(D523,beans!$A$2:$A$300,beans!$L$2:$L$300,"")),IF(_xlpm.x=" /  - ","",_xlpm.x))</f>
        <v>薇微特南果 / 聖安東尼奧莊園 - 波旁,鐵皮卡</v>
      </c>
      <c r="AJ523" s="23" t="s">
        <v>741</v>
      </c>
    </row>
    <row r="524" spans="1:36" x14ac:dyDescent="0.3">
      <c r="A524">
        <v>507</v>
      </c>
      <c r="B524">
        <v>245</v>
      </c>
      <c r="D524">
        <v>83</v>
      </c>
      <c r="E524" t="str">
        <f>_xlfn.LET(_xlpm.x,_xlfn.XLOOKUP(D524,beans!$A$2:$A$300,beans!$H$2:$H$300,""),IF(_xlpm.x="","",_xlpm.x))</f>
        <v>印尼</v>
      </c>
      <c r="F524" s="22" t="str">
        <f>_xlfn.XLOOKUP(E524,menu!$A$2:$A$37,menu!$B$2:$B$37,"")</f>
        <v>Indonisia</v>
      </c>
      <c r="G524" t="str">
        <f>_xlfn.XLOOKUP(E524,menu!$A$2:$A$37,menu!$C$2:$C$37,"")</f>
        <v>idn</v>
      </c>
      <c r="H524" t="str">
        <f>_xlfn.LET(_xlpm.x,_xlfn.XLOOKUP(_xlfn.XLOOKUP(D524,beans!$A$2:$A$300,beans!$I$2:$I$300),menu!$E$2:$E$20,menu!$F$2:$F$20),IF(_xlpm.x="","",_xlpm.x))</f>
        <v>washed</v>
      </c>
      <c r="I524">
        <v>190</v>
      </c>
      <c r="J524">
        <v>80</v>
      </c>
      <c r="K524">
        <v>45</v>
      </c>
      <c r="L524">
        <v>80</v>
      </c>
      <c r="M524" s="68" t="s">
        <v>346</v>
      </c>
      <c r="N524">
        <v>85</v>
      </c>
      <c r="P524" s="67" t="s">
        <v>111</v>
      </c>
      <c r="Q524" s="68">
        <v>204.2</v>
      </c>
      <c r="R524" s="67" t="s">
        <v>301</v>
      </c>
      <c r="S524" s="68">
        <v>223.1</v>
      </c>
      <c r="T524" s="68">
        <f t="shared" si="68"/>
        <v>18.900000000000006</v>
      </c>
      <c r="U524">
        <f t="shared" si="64"/>
        <v>94</v>
      </c>
      <c r="V524">
        <f t="shared" si="69"/>
        <v>12.1</v>
      </c>
      <c r="W524">
        <f t="shared" si="65"/>
        <v>14.42</v>
      </c>
      <c r="X524" s="19">
        <v>45676</v>
      </c>
      <c r="Y524" s="26">
        <v>206.4</v>
      </c>
      <c r="Z524" s="61">
        <v>0</v>
      </c>
      <c r="AB524" s="28">
        <f t="shared" si="66"/>
        <v>0.15755102040816324</v>
      </c>
      <c r="AE524" s="61" t="str">
        <f t="shared" si="67"/>
        <v/>
      </c>
      <c r="AF524" s="77" t="str">
        <f>_xlfn.XLOOKUP(AD524,menu!$K$2:$K$9,menu!$J$2:$J$9,"",1)</f>
        <v/>
      </c>
      <c r="AG524" s="80" t="str">
        <f>_xlfn.XLOOKUP(AH524,menu!$O$2:$O$9,menu!$H$2:$H$9,"")</f>
        <v/>
      </c>
      <c r="AI524" t="str">
        <f>_xlfn.LET(_xlpm.x,_xlfn.CONCAT(_xlfn.XLOOKUP(D524,beans!$A$2:$A$300,beans!$J$2:$J$300,"")," / ",_xlfn.XLOOKUP(D524,beans!$A$2:$A$300,beans!$K$2:$K$300,"")," - ",_xlfn.XLOOKUP(D524,beans!$A$2:$A$300,beans!$L$2:$L$300,"")),IF(_xlpm.x=" /  - ","",_xlpm.x))</f>
        <v xml:space="preserve"> / 曼特寧 - </v>
      </c>
      <c r="AJ524" s="23" t="s">
        <v>741</v>
      </c>
    </row>
    <row r="525" spans="1:36" x14ac:dyDescent="0.3">
      <c r="A525">
        <v>508</v>
      </c>
      <c r="B525">
        <v>237</v>
      </c>
      <c r="D525">
        <v>84</v>
      </c>
      <c r="E525" t="str">
        <f>_xlfn.LET(_xlpm.x,_xlfn.XLOOKUP(D525,beans!$A$2:$A$300,beans!$H$2:$H$300,""),IF(_xlpm.x="","",_xlpm.x))</f>
        <v>哥倫比亞</v>
      </c>
      <c r="F525" s="22" t="str">
        <f>_xlfn.XLOOKUP(E525,menu!$A$2:$A$37,menu!$B$2:$B$37,"")</f>
        <v>Colombia</v>
      </c>
      <c r="G525" t="str">
        <f>_xlfn.XLOOKUP(E525,menu!$A$2:$A$37,menu!$C$2:$C$37,"")</f>
        <v>col</v>
      </c>
      <c r="H525" t="str">
        <f>_xlfn.LET(_xlpm.x,_xlfn.XLOOKUP(_xlfn.XLOOKUP(D525,beans!$A$2:$A$300,beans!$I$2:$I$300),menu!$E$2:$E$20,menu!$F$2:$F$20),IF(_xlpm.x="","",_xlpm.x))</f>
        <v>Anaerobic Washed</v>
      </c>
      <c r="I525">
        <v>200</v>
      </c>
      <c r="J525">
        <v>80</v>
      </c>
      <c r="K525">
        <v>40</v>
      </c>
      <c r="L525">
        <v>80</v>
      </c>
      <c r="M525" s="68" t="s">
        <v>75</v>
      </c>
      <c r="N525">
        <v>92.1</v>
      </c>
      <c r="P525" s="67" t="s">
        <v>197</v>
      </c>
      <c r="Q525" s="68">
        <v>204.2</v>
      </c>
      <c r="R525" s="67" t="s">
        <v>173</v>
      </c>
      <c r="S525" s="68">
        <v>218.4</v>
      </c>
      <c r="T525" s="68">
        <f t="shared" si="68"/>
        <v>14.200000000000017</v>
      </c>
      <c r="U525">
        <f t="shared" si="64"/>
        <v>65</v>
      </c>
      <c r="V525">
        <f t="shared" si="69"/>
        <v>13.1</v>
      </c>
      <c r="W525">
        <f t="shared" si="65"/>
        <v>11.25</v>
      </c>
      <c r="X525" s="19">
        <v>45690</v>
      </c>
      <c r="Y525" s="26">
        <v>204</v>
      </c>
      <c r="Z525" s="61">
        <v>0</v>
      </c>
      <c r="AB525" s="28">
        <f t="shared" si="66"/>
        <v>0.13924050632911392</v>
      </c>
      <c r="AC525" s="110">
        <v>58.3</v>
      </c>
      <c r="AD525" s="26">
        <v>70</v>
      </c>
      <c r="AE525" s="61">
        <f t="shared" si="67"/>
        <v>11.700000000000003</v>
      </c>
      <c r="AF525" s="77" t="str">
        <f>_xlfn.XLOOKUP(AD525,menu!$K$2:$K$9,menu!$J$2:$J$9,"",1)</f>
        <v>中淺</v>
      </c>
      <c r="AG525" s="80" t="str">
        <f>_xlfn.XLOOKUP(AH525,menu!$O$2:$O$9,menu!$H$2:$H$9,"")</f>
        <v/>
      </c>
      <c r="AI525" t="str">
        <f>_xlfn.LET(_xlpm.x,_xlfn.CONCAT(_xlfn.XLOOKUP(D525,beans!$A$2:$A$300,beans!$J$2:$J$300,"")," / ",_xlfn.XLOOKUP(D525,beans!$A$2:$A$300,beans!$K$2:$K$300,"")," - ",_xlfn.XLOOKUP(D525,beans!$A$2:$A$300,beans!$L$2:$L$300,"")),IF(_xlpm.x=" /  - ","",_xlpm.x))</f>
        <v xml:space="preserve">瑪格麗特 / 玉荷包荔枝 - </v>
      </c>
      <c r="AJ525" s="23" t="s">
        <v>742</v>
      </c>
    </row>
    <row r="526" spans="1:36" x14ac:dyDescent="0.3">
      <c r="A526">
        <v>509</v>
      </c>
      <c r="B526">
        <v>254.8</v>
      </c>
      <c r="D526">
        <v>42</v>
      </c>
      <c r="E526" t="str">
        <f>_xlfn.LET(_xlpm.x,_xlfn.XLOOKUP(D526,beans!$A$2:$A$300,beans!$H$2:$H$300,""),IF(_xlpm.x="","",_xlpm.x))</f>
        <v>瓜地馬拉</v>
      </c>
      <c r="F526" s="22" t="str">
        <f>_xlfn.XLOOKUP(E526,menu!$A$2:$A$37,menu!$B$2:$B$37,"")</f>
        <v>Guatemala</v>
      </c>
      <c r="G526" t="str">
        <f>_xlfn.XLOOKUP(E526,menu!$A$2:$A$37,menu!$C$2:$C$37,"")</f>
        <v>gtm</v>
      </c>
      <c r="H526" t="str">
        <f>_xlfn.LET(_xlpm.x,_xlfn.XLOOKUP(_xlfn.XLOOKUP(D526,beans!$A$2:$A$300,beans!$I$2:$I$300),menu!$E$2:$E$20,menu!$F$2:$F$20),IF(_xlpm.x="","",_xlpm.x))</f>
        <v>honey</v>
      </c>
      <c r="I526">
        <v>200</v>
      </c>
      <c r="J526">
        <v>80</v>
      </c>
      <c r="K526">
        <v>40</v>
      </c>
      <c r="L526">
        <v>80</v>
      </c>
      <c r="M526" s="68" t="s">
        <v>67</v>
      </c>
      <c r="N526">
        <v>92</v>
      </c>
      <c r="P526" s="67" t="s">
        <v>737</v>
      </c>
      <c r="Q526" s="68">
        <v>205.6</v>
      </c>
      <c r="R526" s="67" t="s">
        <v>177</v>
      </c>
      <c r="S526" s="68">
        <v>219.9</v>
      </c>
      <c r="T526" s="68">
        <f t="shared" si="68"/>
        <v>14.300000000000011</v>
      </c>
      <c r="U526">
        <f t="shared" si="64"/>
        <v>64</v>
      </c>
      <c r="V526">
        <f t="shared" si="69"/>
        <v>13.4</v>
      </c>
      <c r="W526">
        <f t="shared" si="65"/>
        <v>11.13</v>
      </c>
      <c r="X526" s="19">
        <v>45690</v>
      </c>
      <c r="Y526" s="26">
        <v>217.8</v>
      </c>
      <c r="Z526" s="61">
        <v>0</v>
      </c>
      <c r="AB526" s="28">
        <f t="shared" si="66"/>
        <v>0.14521193092621662</v>
      </c>
      <c r="AE526" s="61" t="str">
        <f t="shared" si="67"/>
        <v/>
      </c>
      <c r="AF526" s="77" t="str">
        <f>_xlfn.XLOOKUP(AD526,menu!$K$2:$K$9,menu!$J$2:$J$9,"",1)</f>
        <v/>
      </c>
      <c r="AG526" s="80" t="str">
        <f>_xlfn.XLOOKUP(AH526,menu!$O$2:$O$9,menu!$H$2:$H$9,"")</f>
        <v/>
      </c>
      <c r="AI526" t="str">
        <f>_xlfn.LET(_xlpm.x,_xlfn.CONCAT(_xlfn.XLOOKUP(D526,beans!$A$2:$A$300,beans!$J$2:$J$300,"")," / ",_xlfn.XLOOKUP(D526,beans!$A$2:$A$300,beans!$K$2:$K$300,"")," - ",_xlfn.XLOOKUP(D526,beans!$A$2:$A$300,beans!$L$2:$L$300,"")),IF(_xlpm.x=" /  - ","",_xlpm.x))</f>
        <v>薇微特南果 / 聖安東尼奧莊園 - 波旁,鐵皮卡</v>
      </c>
      <c r="AJ526" s="23" t="s">
        <v>743</v>
      </c>
    </row>
    <row r="527" spans="1:36" x14ac:dyDescent="0.3">
      <c r="A527">
        <v>510</v>
      </c>
      <c r="B527">
        <v>494.6</v>
      </c>
      <c r="D527">
        <v>88</v>
      </c>
      <c r="E527" t="str">
        <f>_xlfn.LET(_xlpm.x,_xlfn.XLOOKUP(D527,beans!$A$2:$A$300,beans!$H$2:$H$300,""),IF(_xlpm.x="","",_xlpm.x))</f>
        <v>衣索比亞</v>
      </c>
      <c r="F527" s="22" t="str">
        <f>_xlfn.XLOOKUP(E527,menu!$A$2:$A$37,menu!$B$2:$B$37,"")</f>
        <v>Ethiopia</v>
      </c>
      <c r="G527" t="str">
        <f>_xlfn.XLOOKUP(E527,menu!$A$2:$A$37,menu!$C$2:$C$37,"")</f>
        <v>eth</v>
      </c>
      <c r="H527" t="str">
        <f>_xlfn.LET(_xlpm.x,_xlfn.XLOOKUP(_xlfn.XLOOKUP(D527,beans!$A$2:$A$300,beans!$I$2:$I$300),menu!$E$2:$E$20,menu!$F$2:$F$20),IF(_xlpm.x="","",_xlpm.x))</f>
        <v>washed</v>
      </c>
      <c r="I527">
        <v>200</v>
      </c>
      <c r="J527">
        <v>80</v>
      </c>
      <c r="K527">
        <v>40</v>
      </c>
      <c r="L527">
        <v>90</v>
      </c>
      <c r="M527" s="68" t="s">
        <v>207</v>
      </c>
      <c r="N527">
        <v>87.6</v>
      </c>
      <c r="P527" s="67" t="s">
        <v>111</v>
      </c>
      <c r="Q527" s="68">
        <v>200.3</v>
      </c>
      <c r="R527" s="67" t="s">
        <v>150</v>
      </c>
      <c r="S527" s="68">
        <v>218.5</v>
      </c>
      <c r="T527" s="68">
        <f t="shared" si="68"/>
        <v>18.199999999999989</v>
      </c>
      <c r="U527">
        <f t="shared" si="64"/>
        <v>92</v>
      </c>
      <c r="V527">
        <f t="shared" si="69"/>
        <v>11.9</v>
      </c>
      <c r="W527">
        <f t="shared" si="65"/>
        <v>14.15</v>
      </c>
      <c r="X527" s="19">
        <v>45690</v>
      </c>
      <c r="Y527" s="26">
        <v>421.7</v>
      </c>
      <c r="Z527" s="61">
        <v>0</v>
      </c>
      <c r="AB527" s="28">
        <f t="shared" si="66"/>
        <v>0.14739183178325926</v>
      </c>
      <c r="AE527" s="61" t="str">
        <f t="shared" si="67"/>
        <v/>
      </c>
      <c r="AF527" s="77" t="str">
        <f>_xlfn.XLOOKUP(AD527,menu!$K$2:$K$9,menu!$J$2:$J$9,"",1)</f>
        <v/>
      </c>
      <c r="AG527" s="80" t="str">
        <f>_xlfn.XLOOKUP(AH527,menu!$O$2:$O$9,menu!$H$2:$H$9,"")</f>
        <v/>
      </c>
      <c r="AI527" t="str">
        <f>_xlfn.LET(_xlpm.x,_xlfn.CONCAT(_xlfn.XLOOKUP(D527,beans!$A$2:$A$300,beans!$J$2:$J$300,"")," / ",_xlfn.XLOOKUP(D527,beans!$A$2:$A$300,beans!$K$2:$K$300,"")," - ",_xlfn.XLOOKUP(D527,beans!$A$2:$A$300,beans!$L$2:$L$300,"")),IF(_xlpm.x=" /  - ","",_xlpm.x))</f>
        <v xml:space="preserve">耶加雪菲 / 柯契爾 畢洛雅 - </v>
      </c>
      <c r="AJ527" s="23" t="s">
        <v>743</v>
      </c>
    </row>
    <row r="528" spans="1:36" x14ac:dyDescent="0.3">
      <c r="A528">
        <v>511</v>
      </c>
      <c r="B528">
        <v>250</v>
      </c>
      <c r="D528">
        <v>86</v>
      </c>
      <c r="E528" t="str">
        <f>_xlfn.LET(_xlpm.x,_xlfn.XLOOKUP(D528,beans!$A$2:$A$300,beans!$H$2:$H$300,""),IF(_xlpm.x="","",_xlpm.x))</f>
        <v>衣索比亞</v>
      </c>
      <c r="F528" s="22" t="str">
        <f>_xlfn.XLOOKUP(E528,menu!$A$2:$A$37,menu!$B$2:$B$37,"")</f>
        <v>Ethiopia</v>
      </c>
      <c r="G528" t="str">
        <f>_xlfn.XLOOKUP(E528,menu!$A$2:$A$37,menu!$C$2:$C$37,"")</f>
        <v>eth</v>
      </c>
      <c r="H528" t="str">
        <f>_xlfn.LET(_xlpm.x,_xlfn.XLOOKUP(_xlfn.XLOOKUP(D528,beans!$A$2:$A$300,beans!$I$2:$I$300),menu!$E$2:$E$20,menu!$F$2:$F$20),IF(_xlpm.x="","",_xlpm.x))</f>
        <v>natural</v>
      </c>
      <c r="I528">
        <v>190</v>
      </c>
      <c r="J528">
        <v>80</v>
      </c>
      <c r="K528">
        <v>40</v>
      </c>
      <c r="L528">
        <v>80</v>
      </c>
      <c r="M528" s="68" t="s">
        <v>75</v>
      </c>
      <c r="N528">
        <v>87.3</v>
      </c>
      <c r="P528" s="67" t="s">
        <v>590</v>
      </c>
      <c r="Q528" s="68">
        <v>201.5</v>
      </c>
      <c r="R528" s="67" t="s">
        <v>443</v>
      </c>
      <c r="S528" s="68">
        <v>219.2</v>
      </c>
      <c r="T528" s="68">
        <f t="shared" si="68"/>
        <v>17.699999999999989</v>
      </c>
      <c r="U528">
        <f t="shared" si="64"/>
        <v>71</v>
      </c>
      <c r="V528">
        <f t="shared" si="69"/>
        <v>15</v>
      </c>
      <c r="W528">
        <f t="shared" si="65"/>
        <v>11.97</v>
      </c>
      <c r="X528" s="19">
        <v>45690</v>
      </c>
      <c r="Y528" s="26">
        <v>214.6</v>
      </c>
      <c r="Z528" s="61">
        <v>0</v>
      </c>
      <c r="AB528" s="28">
        <f t="shared" si="66"/>
        <v>0.14160000000000003</v>
      </c>
      <c r="AE528" s="61" t="str">
        <f t="shared" si="67"/>
        <v/>
      </c>
      <c r="AF528" s="77" t="str">
        <f>_xlfn.XLOOKUP(AD528,menu!$K$2:$K$9,menu!$J$2:$J$9,"",1)</f>
        <v/>
      </c>
      <c r="AG528" s="80" t="str">
        <f>_xlfn.XLOOKUP(AH528,menu!$O$2:$O$9,menu!$H$2:$H$9,"")</f>
        <v/>
      </c>
      <c r="AI528" t="str">
        <f>_xlfn.LET(_xlpm.x,_xlfn.CONCAT(_xlfn.XLOOKUP(D528,beans!$A$2:$A$300,beans!$J$2:$J$300,"")," / ",_xlfn.XLOOKUP(D528,beans!$A$2:$A$300,beans!$K$2:$K$300,"")," - ",_xlfn.XLOOKUP(D528,beans!$A$2:$A$300,beans!$L$2:$L$300,"")),IF(_xlpm.x=" /  - ","",_xlpm.x))</f>
        <v xml:space="preserve">耶加雪菲 / (沃卡)凱菲亞歐蓓絲  Kefeyalew Obese - </v>
      </c>
      <c r="AJ528" s="23" t="s">
        <v>744</v>
      </c>
    </row>
    <row r="529" spans="1:36" x14ac:dyDescent="0.3">
      <c r="A529">
        <v>512</v>
      </c>
      <c r="B529">
        <v>246.7</v>
      </c>
      <c r="D529">
        <v>78</v>
      </c>
      <c r="E529" t="str">
        <f>_xlfn.LET(_xlpm.x,_xlfn.XLOOKUP(D529,beans!$A$2:$A$300,beans!$H$2:$H$300,""),IF(_xlpm.x="","",_xlpm.x))</f>
        <v>衣索比亞</v>
      </c>
      <c r="F529" s="22" t="str">
        <f>_xlfn.XLOOKUP(E529,menu!$A$2:$A$37,menu!$B$2:$B$37,"")</f>
        <v>Ethiopia</v>
      </c>
      <c r="G529" t="str">
        <f>_xlfn.XLOOKUP(E529,menu!$A$2:$A$37,menu!$C$2:$C$37,"")</f>
        <v>eth</v>
      </c>
      <c r="H529" t="str">
        <f>_xlfn.LET(_xlpm.x,_xlfn.XLOOKUP(_xlfn.XLOOKUP(D529,beans!$A$2:$A$300,beans!$I$2:$I$300),menu!$E$2:$E$20,menu!$F$2:$F$20),IF(_xlpm.x="","",_xlpm.x))</f>
        <v>honey</v>
      </c>
      <c r="I529">
        <v>190</v>
      </c>
      <c r="J529">
        <v>80</v>
      </c>
      <c r="K529">
        <v>40</v>
      </c>
      <c r="L529">
        <v>80</v>
      </c>
      <c r="P529" s="67" t="s">
        <v>569</v>
      </c>
      <c r="Q529" s="68">
        <v>208.7</v>
      </c>
      <c r="R529" s="67" t="s">
        <v>613</v>
      </c>
      <c r="S529" s="68">
        <v>219.7</v>
      </c>
      <c r="T529" s="68">
        <f t="shared" si="68"/>
        <v>11</v>
      </c>
      <c r="U529">
        <f t="shared" si="64"/>
        <v>52</v>
      </c>
      <c r="V529">
        <f t="shared" si="69"/>
        <v>12.7</v>
      </c>
      <c r="W529">
        <f t="shared" si="65"/>
        <v>8.61</v>
      </c>
      <c r="X529" s="19">
        <v>45690</v>
      </c>
      <c r="Y529" s="26">
        <v>210.6</v>
      </c>
      <c r="Z529" s="61">
        <v>0</v>
      </c>
      <c r="AB529" s="28">
        <f t="shared" si="66"/>
        <v>0.14633157681394404</v>
      </c>
      <c r="AE529" s="61" t="str">
        <f t="shared" si="67"/>
        <v/>
      </c>
      <c r="AF529" s="77" t="str">
        <f>_xlfn.XLOOKUP(AD529,menu!$K$2:$K$9,menu!$J$2:$J$9,"",1)</f>
        <v/>
      </c>
      <c r="AG529" s="80" t="str">
        <f>_xlfn.XLOOKUP(AH529,menu!$O$2:$O$9,menu!$H$2:$H$9,"")</f>
        <v/>
      </c>
      <c r="AI529" t="str">
        <f>_xlfn.LET(_xlpm.x,_xlfn.CONCAT(_xlfn.XLOOKUP(D529,beans!$A$2:$A$300,beans!$J$2:$J$300,"")," / ",_xlfn.XLOOKUP(D529,beans!$A$2:$A$300,beans!$K$2:$K$300,"")," - ",_xlfn.XLOOKUP(D529,beans!$A$2:$A$300,beans!$L$2:$L$300,"")),IF(_xlpm.x=" /  - ","",_xlpm.x))</f>
        <v xml:space="preserve">耶加雪菲 / 科克 - </v>
      </c>
      <c r="AJ529" s="23" t="s">
        <v>744</v>
      </c>
    </row>
    <row r="530" spans="1:36" x14ac:dyDescent="0.3">
      <c r="A530">
        <v>513</v>
      </c>
      <c r="B530">
        <v>248.8</v>
      </c>
      <c r="D530">
        <v>79</v>
      </c>
      <c r="E530" t="str">
        <f>_xlfn.LET(_xlpm.x,_xlfn.XLOOKUP(D530,beans!$A$2:$A$300,beans!$H$2:$H$300,""),IF(_xlpm.x="","",_xlpm.x))</f>
        <v>衣索比亞</v>
      </c>
      <c r="F530" s="22" t="str">
        <f>_xlfn.XLOOKUP(E530,menu!$A$2:$A$37,menu!$B$2:$B$37,"")</f>
        <v>Ethiopia</v>
      </c>
      <c r="G530" t="str">
        <f>_xlfn.XLOOKUP(E530,menu!$A$2:$A$37,menu!$C$2:$C$37,"")</f>
        <v>eth</v>
      </c>
      <c r="H530" t="str">
        <f>_xlfn.LET(_xlpm.x,_xlfn.XLOOKUP(_xlfn.XLOOKUP(D530,beans!$A$2:$A$300,beans!$I$2:$I$300),menu!$E$2:$E$20,menu!$F$2:$F$20),IF(_xlpm.x="","",_xlpm.x))</f>
        <v>natural</v>
      </c>
      <c r="I530">
        <v>190</v>
      </c>
      <c r="J530">
        <v>80</v>
      </c>
      <c r="K530">
        <v>40</v>
      </c>
      <c r="L530">
        <v>80</v>
      </c>
      <c r="M530" s="68" t="s">
        <v>87</v>
      </c>
      <c r="N530">
        <v>91</v>
      </c>
      <c r="P530" s="67" t="s">
        <v>615</v>
      </c>
      <c r="Q530" s="68">
        <v>206.3</v>
      </c>
      <c r="R530" s="67" t="s">
        <v>479</v>
      </c>
      <c r="S530" s="68">
        <v>220.2</v>
      </c>
      <c r="T530" s="68">
        <f t="shared" si="68"/>
        <v>13.899999999999977</v>
      </c>
      <c r="U530">
        <f t="shared" si="64"/>
        <v>60</v>
      </c>
      <c r="V530">
        <f t="shared" si="69"/>
        <v>13.9</v>
      </c>
      <c r="W530">
        <f t="shared" si="65"/>
        <v>9.7899999999999991</v>
      </c>
      <c r="X530" s="19">
        <v>45690</v>
      </c>
      <c r="Y530" s="26">
        <v>211.8</v>
      </c>
      <c r="Z530" s="61">
        <v>0</v>
      </c>
      <c r="AB530" s="28">
        <f t="shared" si="66"/>
        <v>0.14871382636655947</v>
      </c>
      <c r="AE530" s="61" t="str">
        <f t="shared" si="67"/>
        <v/>
      </c>
      <c r="AF530" s="77" t="str">
        <f>_xlfn.XLOOKUP(AD530,menu!$K$2:$K$9,menu!$J$2:$J$9,"",1)</f>
        <v/>
      </c>
      <c r="AG530" s="80" t="str">
        <f>_xlfn.XLOOKUP(AH530,menu!$O$2:$O$9,menu!$H$2:$H$9,"")</f>
        <v/>
      </c>
      <c r="AI530" t="str">
        <f>_xlfn.LET(_xlpm.x,_xlfn.CONCAT(_xlfn.XLOOKUP(D530,beans!$A$2:$A$300,beans!$J$2:$J$300,"")," / ",_xlfn.XLOOKUP(D530,beans!$A$2:$A$300,beans!$K$2:$K$300,"")," - ",_xlfn.XLOOKUP(D530,beans!$A$2:$A$300,beans!$L$2:$L$300,"")),IF(_xlpm.x=" /  - ","",_xlpm.x))</f>
        <v xml:space="preserve">古吉 烏拉嘎 / 所羅門 - </v>
      </c>
      <c r="AJ530" s="23" t="s">
        <v>744</v>
      </c>
    </row>
    <row r="531" spans="1:36" x14ac:dyDescent="0.3">
      <c r="A531">
        <v>514</v>
      </c>
      <c r="B531">
        <v>247</v>
      </c>
      <c r="D531">
        <v>85</v>
      </c>
      <c r="E531" t="str">
        <f>_xlfn.LET(_xlpm.x,_xlfn.XLOOKUP(D531,beans!$A$2:$A$300,beans!$H$2:$H$300,""),IF(_xlpm.x="","",_xlpm.x))</f>
        <v>衣索比亞</v>
      </c>
      <c r="F531" s="22" t="str">
        <f>_xlfn.XLOOKUP(E531,menu!$A$2:$A$37,menu!$B$2:$B$37,"")</f>
        <v>Ethiopia</v>
      </c>
      <c r="G531" t="str">
        <f>_xlfn.XLOOKUP(E531,menu!$A$2:$A$37,menu!$C$2:$C$37,"")</f>
        <v>eth</v>
      </c>
      <c r="H531" t="str">
        <f>_xlfn.LET(_xlpm.x,_xlfn.XLOOKUP(_xlfn.XLOOKUP(D531,beans!$A$2:$A$300,beans!$I$2:$I$300),menu!$E$2:$E$20,menu!$F$2:$F$20),IF(_xlpm.x="","",_xlpm.x))</f>
        <v>natural</v>
      </c>
      <c r="I531">
        <v>190</v>
      </c>
      <c r="J531">
        <v>80</v>
      </c>
      <c r="K531">
        <v>40</v>
      </c>
      <c r="L531">
        <v>80</v>
      </c>
      <c r="M531" s="68" t="s">
        <v>67</v>
      </c>
      <c r="N531">
        <v>87.1</v>
      </c>
      <c r="P531" s="67" t="s">
        <v>452</v>
      </c>
      <c r="Q531" s="68">
        <v>200.6</v>
      </c>
      <c r="R531" s="67" t="s">
        <v>289</v>
      </c>
      <c r="S531" s="68">
        <v>220.1</v>
      </c>
      <c r="T531" s="68">
        <f t="shared" si="68"/>
        <v>19.5</v>
      </c>
      <c r="U531">
        <f t="shared" si="64"/>
        <v>69</v>
      </c>
      <c r="V531">
        <f t="shared" si="69"/>
        <v>17</v>
      </c>
      <c r="W531">
        <f t="shared" si="65"/>
        <v>11.96</v>
      </c>
      <c r="X531" s="19">
        <v>45690</v>
      </c>
      <c r="Y531" s="26">
        <v>211.2</v>
      </c>
      <c r="Z531" s="61">
        <v>0</v>
      </c>
      <c r="AB531" s="28">
        <f t="shared" si="66"/>
        <v>0.14493927125506079</v>
      </c>
      <c r="AE531" s="61" t="str">
        <f t="shared" si="67"/>
        <v/>
      </c>
      <c r="AF531" s="77" t="str">
        <f>_xlfn.XLOOKUP(AD531,menu!$K$2:$K$9,menu!$J$2:$J$9,"",1)</f>
        <v/>
      </c>
      <c r="AG531" s="80" t="str">
        <f>_xlfn.XLOOKUP(AH531,menu!$O$2:$O$9,menu!$H$2:$H$9,"")</f>
        <v/>
      </c>
      <c r="AI531" t="str">
        <f>_xlfn.LET(_xlpm.x,_xlfn.CONCAT(_xlfn.XLOOKUP(D531,beans!$A$2:$A$300,beans!$J$2:$J$300,"")," / ",_xlfn.XLOOKUP(D531,beans!$A$2:$A$300,beans!$K$2:$K$300,"")," - ",_xlfn.XLOOKUP(D531,beans!$A$2:$A$300,beans!$L$2:$L$300,"")),IF(_xlpm.x=" /  - ","",_xlpm.x))</f>
        <v xml:space="preserve">古吉 烏拉嘎 / 寇巴 - </v>
      </c>
      <c r="AJ531" s="23" t="s">
        <v>744</v>
      </c>
    </row>
    <row r="532" spans="1:36" x14ac:dyDescent="0.3">
      <c r="A532">
        <v>515</v>
      </c>
      <c r="B532">
        <v>247</v>
      </c>
      <c r="D532">
        <v>90</v>
      </c>
      <c r="E532" t="str">
        <f>_xlfn.LET(_xlpm.x,_xlfn.XLOOKUP(D532,beans!$A$2:$A$300,beans!$H$2:$H$300,""),IF(_xlpm.x="","",_xlpm.x))</f>
        <v>衣索比亞</v>
      </c>
      <c r="F532" s="22" t="str">
        <f>_xlfn.XLOOKUP(E532,menu!$A$2:$A$37,menu!$B$2:$B$37,"")</f>
        <v>Ethiopia</v>
      </c>
      <c r="G532" t="str">
        <f>_xlfn.XLOOKUP(E532,menu!$A$2:$A$37,menu!$C$2:$C$37,"")</f>
        <v>eth</v>
      </c>
      <c r="H532" t="str">
        <f>_xlfn.LET(_xlpm.x,_xlfn.XLOOKUP(_xlfn.XLOOKUP(D532,beans!$A$2:$A$300,beans!$I$2:$I$300),menu!$E$2:$E$20,menu!$F$2:$F$20),IF(_xlpm.x="","",_xlpm.x))</f>
        <v>natural</v>
      </c>
      <c r="I532">
        <v>190</v>
      </c>
      <c r="J532">
        <v>80</v>
      </c>
      <c r="K532">
        <v>40</v>
      </c>
      <c r="L532">
        <v>80</v>
      </c>
      <c r="M532" s="68" t="s">
        <v>160</v>
      </c>
      <c r="N532">
        <v>90.6</v>
      </c>
      <c r="P532" s="67" t="s">
        <v>745</v>
      </c>
      <c r="Q532" s="68">
        <v>208.6</v>
      </c>
      <c r="R532" s="67" t="s">
        <v>46</v>
      </c>
      <c r="S532" s="68">
        <v>221.7</v>
      </c>
      <c r="T532" s="68">
        <f t="shared" si="68"/>
        <v>13.099999999999994</v>
      </c>
      <c r="U532">
        <f t="shared" si="64"/>
        <v>50</v>
      </c>
      <c r="V532">
        <f t="shared" si="69"/>
        <v>15.7</v>
      </c>
      <c r="W532">
        <f t="shared" si="65"/>
        <v>8.7100000000000009</v>
      </c>
      <c r="X532" s="19">
        <v>45690</v>
      </c>
      <c r="Y532" s="26">
        <v>210.2</v>
      </c>
      <c r="Z532" s="61">
        <v>0</v>
      </c>
      <c r="AB532" s="28">
        <f t="shared" si="66"/>
        <v>0.14898785425101219</v>
      </c>
      <c r="AE532" s="61" t="str">
        <f t="shared" si="67"/>
        <v/>
      </c>
      <c r="AF532" s="77" t="str">
        <f>_xlfn.XLOOKUP(AD532,menu!$K$2:$K$9,menu!$J$2:$J$9,"",1)</f>
        <v/>
      </c>
      <c r="AG532" s="80" t="str">
        <f>_xlfn.XLOOKUP(AH532,menu!$O$2:$O$9,menu!$H$2:$H$9,"")</f>
        <v/>
      </c>
      <c r="AI532" t="str">
        <f>_xlfn.LET(_xlpm.x,_xlfn.CONCAT(_xlfn.XLOOKUP(D532,beans!$A$2:$A$300,beans!$J$2:$J$300,"")," / ",_xlfn.XLOOKUP(D532,beans!$A$2:$A$300,beans!$K$2:$K$300,"")," - ",_xlfn.XLOOKUP(D532,beans!$A$2:$A$300,beans!$L$2:$L$300,"")),IF(_xlpm.x=" /  - ","",_xlpm.x))</f>
        <v xml:space="preserve">利姆 / 格拉莊園 - </v>
      </c>
      <c r="AJ532" s="23" t="s">
        <v>744</v>
      </c>
    </row>
    <row r="533" spans="1:36" x14ac:dyDescent="0.3">
      <c r="A533">
        <v>516</v>
      </c>
      <c r="B533">
        <v>247</v>
      </c>
      <c r="D533">
        <v>69</v>
      </c>
      <c r="E533" t="str">
        <f>_xlfn.LET(_xlpm.x,_xlfn.XLOOKUP(D533,beans!$A$2:$A$300,beans!$H$2:$H$300,""),IF(_xlpm.x="","",_xlpm.x))</f>
        <v>衣索比亞</v>
      </c>
      <c r="F533" s="22" t="str">
        <f>_xlfn.XLOOKUP(E533,menu!$A$2:$A$37,menu!$B$2:$B$37,"")</f>
        <v>Ethiopia</v>
      </c>
      <c r="G533" t="str">
        <f>_xlfn.XLOOKUP(E533,menu!$A$2:$A$37,menu!$C$2:$C$37,"")</f>
        <v>eth</v>
      </c>
      <c r="H533" t="str">
        <f>_xlfn.LET(_xlpm.x,_xlfn.XLOOKUP(_xlfn.XLOOKUP(D533,beans!$A$2:$A$300,beans!$I$2:$I$300),menu!$E$2:$E$20,menu!$F$2:$F$20),IF(_xlpm.x="","",_xlpm.x))</f>
        <v>Anaerobic Natural</v>
      </c>
      <c r="I533">
        <v>200</v>
      </c>
      <c r="J533">
        <v>80</v>
      </c>
      <c r="K533">
        <v>40</v>
      </c>
      <c r="L533">
        <v>80</v>
      </c>
      <c r="P533" s="67" t="s">
        <v>578</v>
      </c>
      <c r="Q533" s="68">
        <v>202.4</v>
      </c>
      <c r="R533" s="67" t="s">
        <v>131</v>
      </c>
      <c r="S533" s="68">
        <v>218.2</v>
      </c>
      <c r="T533" s="68">
        <f t="shared" si="68"/>
        <v>15.799999999999983</v>
      </c>
      <c r="U533">
        <f t="shared" si="64"/>
        <v>71</v>
      </c>
      <c r="V533">
        <f t="shared" si="69"/>
        <v>13.4</v>
      </c>
      <c r="W533">
        <f t="shared" si="65"/>
        <v>11.91</v>
      </c>
      <c r="X533" s="19">
        <v>45690</v>
      </c>
      <c r="Y533" s="26">
        <v>208</v>
      </c>
      <c r="Z533" s="61">
        <v>0</v>
      </c>
      <c r="AB533" s="28">
        <f t="shared" si="66"/>
        <v>0.15789473684210525</v>
      </c>
      <c r="AE533" s="61" t="str">
        <f t="shared" si="67"/>
        <v/>
      </c>
      <c r="AF533" s="77" t="str">
        <f>_xlfn.XLOOKUP(AD533,menu!$K$2:$K$9,menu!$J$2:$J$9,"",1)</f>
        <v/>
      </c>
      <c r="AG533" s="80" t="str">
        <f>_xlfn.XLOOKUP(AH533,menu!$O$2:$O$9,menu!$H$2:$H$9,"")</f>
        <v/>
      </c>
      <c r="AI533" t="str">
        <f>_xlfn.LET(_xlpm.x,_xlfn.CONCAT(_xlfn.XLOOKUP(D533,beans!$A$2:$A$300,beans!$J$2:$J$300,"")," / ",_xlfn.XLOOKUP(D533,beans!$A$2:$A$300,beans!$K$2:$K$300,"")," - ",_xlfn.XLOOKUP(D533,beans!$A$2:$A$300,beans!$L$2:$L$300,"")),IF(_xlpm.x=" /  - ","",_xlpm.x))</f>
        <v>古吉烏拉嘎 / 月光酒釀 - 74110/74112</v>
      </c>
      <c r="AJ533" s="23" t="s">
        <v>744</v>
      </c>
    </row>
    <row r="534" spans="1:36" x14ac:dyDescent="0.3">
      <c r="A534">
        <v>517</v>
      </c>
      <c r="B534">
        <v>247</v>
      </c>
      <c r="D534">
        <v>68</v>
      </c>
      <c r="E534" t="str">
        <f>_xlfn.LET(_xlpm.x,_xlfn.XLOOKUP(D534,beans!$A$2:$A$300,beans!$H$2:$H$300,""),IF(_xlpm.x="","",_xlpm.x))</f>
        <v>哥倫比亞</v>
      </c>
      <c r="F534" s="22" t="str">
        <f>_xlfn.XLOOKUP(E534,menu!$A$2:$A$37,menu!$B$2:$B$37,"")</f>
        <v>Colombia</v>
      </c>
      <c r="G534" t="str">
        <f>_xlfn.XLOOKUP(E534,menu!$A$2:$A$37,menu!$C$2:$C$37,"")</f>
        <v>col</v>
      </c>
      <c r="H534" t="str">
        <f>_xlfn.LET(_xlpm.x,_xlfn.XLOOKUP(_xlfn.XLOOKUP(D534,beans!$A$2:$A$300,beans!$I$2:$I$300),menu!$E$2:$E$20,menu!$F$2:$F$20),IF(_xlpm.x="","",_xlpm.x))</f>
        <v>Anaerobic Natural</v>
      </c>
      <c r="I534">
        <v>200</v>
      </c>
      <c r="J534">
        <v>80</v>
      </c>
      <c r="K534">
        <v>45</v>
      </c>
      <c r="L534">
        <v>70</v>
      </c>
      <c r="M534" s="68" t="s">
        <v>207</v>
      </c>
      <c r="N534">
        <v>90.6</v>
      </c>
      <c r="P534" s="67" t="s">
        <v>560</v>
      </c>
      <c r="Q534" s="68">
        <v>202.6</v>
      </c>
      <c r="R534" s="67" t="s">
        <v>89</v>
      </c>
      <c r="S534" s="68">
        <v>213.7</v>
      </c>
      <c r="T534" s="68">
        <f t="shared" si="68"/>
        <v>11.099999999999994</v>
      </c>
      <c r="U534">
        <f t="shared" si="64"/>
        <v>47</v>
      </c>
      <c r="V534">
        <f t="shared" si="69"/>
        <v>14.2</v>
      </c>
      <c r="W534">
        <f t="shared" si="65"/>
        <v>7.87</v>
      </c>
      <c r="X534" s="19">
        <v>45690</v>
      </c>
      <c r="Y534" s="26">
        <v>213.2</v>
      </c>
      <c r="Z534" s="61">
        <v>0</v>
      </c>
      <c r="AB534" s="28">
        <f t="shared" si="66"/>
        <v>0.13684210526315793</v>
      </c>
      <c r="AE534" s="61" t="str">
        <f t="shared" si="67"/>
        <v/>
      </c>
      <c r="AF534" s="77" t="str">
        <f>_xlfn.XLOOKUP(AD534,menu!$K$2:$K$9,menu!$J$2:$J$9,"",1)</f>
        <v/>
      </c>
      <c r="AG534" s="80" t="str">
        <f>_xlfn.XLOOKUP(AH534,menu!$O$2:$O$9,menu!$H$2:$H$9,"")</f>
        <v/>
      </c>
      <c r="AI534" t="str">
        <f>_xlfn.LET(_xlpm.x,_xlfn.CONCAT(_xlfn.XLOOKUP(D534,beans!$A$2:$A$300,beans!$J$2:$J$300,"")," / ",_xlfn.XLOOKUP(D534,beans!$A$2:$A$300,beans!$K$2:$K$300,"")," - ",_xlfn.XLOOKUP(D534,beans!$A$2:$A$300,beans!$L$2:$L$300,"")),IF(_xlpm.x=" /  - ","",_xlpm.x))</f>
        <v xml:space="preserve"> / 天堂莊園-日出桂花香 - </v>
      </c>
      <c r="AJ534" s="23" t="s">
        <v>746</v>
      </c>
    </row>
    <row r="535" spans="1:36" x14ac:dyDescent="0.3">
      <c r="A535">
        <v>518</v>
      </c>
      <c r="B535">
        <v>494.8</v>
      </c>
      <c r="D535">
        <v>79</v>
      </c>
      <c r="E535" t="str">
        <f>_xlfn.LET(_xlpm.x,_xlfn.XLOOKUP(D535,beans!$A$2:$A$300,beans!$H$2:$H$300,""),IF(_xlpm.x="","",_xlpm.x))</f>
        <v>衣索比亞</v>
      </c>
      <c r="F535" s="22" t="str">
        <f>_xlfn.XLOOKUP(E535,menu!$A$2:$A$37,menu!$B$2:$B$37,"")</f>
        <v>Ethiopia</v>
      </c>
      <c r="G535" t="str">
        <f>_xlfn.XLOOKUP(E535,menu!$A$2:$A$37,menu!$C$2:$C$37,"")</f>
        <v>eth</v>
      </c>
      <c r="H535" t="str">
        <f>_xlfn.LET(_xlpm.x,_xlfn.XLOOKUP(_xlfn.XLOOKUP(D535,beans!$A$2:$A$300,beans!$I$2:$I$300),menu!$E$2:$E$20,menu!$F$2:$F$20),IF(_xlpm.x="","",_xlpm.x))</f>
        <v>natural</v>
      </c>
      <c r="I535">
        <v>200</v>
      </c>
      <c r="J535">
        <v>88</v>
      </c>
      <c r="K535">
        <v>40</v>
      </c>
      <c r="L535">
        <v>90</v>
      </c>
      <c r="M535" s="68" t="s">
        <v>109</v>
      </c>
      <c r="N535">
        <v>84.2</v>
      </c>
      <c r="P535" s="67" t="s">
        <v>586</v>
      </c>
      <c r="Q535" s="68">
        <v>205.8</v>
      </c>
      <c r="R535" s="67" t="s">
        <v>344</v>
      </c>
      <c r="S535" s="68">
        <v>218.5</v>
      </c>
      <c r="T535" s="68">
        <f t="shared" si="68"/>
        <v>12.699999999999989</v>
      </c>
      <c r="U535">
        <f t="shared" si="64"/>
        <v>89</v>
      </c>
      <c r="V535">
        <f t="shared" si="69"/>
        <v>8.6</v>
      </c>
      <c r="W535">
        <f t="shared" si="65"/>
        <v>13.17</v>
      </c>
      <c r="X535" s="19">
        <v>45699</v>
      </c>
      <c r="Y535" s="26">
        <v>420</v>
      </c>
      <c r="Z535" s="61">
        <v>0</v>
      </c>
      <c r="AB535" s="28">
        <f t="shared" si="66"/>
        <v>0.15117219078415522</v>
      </c>
      <c r="AE535" s="61" t="str">
        <f t="shared" si="67"/>
        <v/>
      </c>
      <c r="AF535" s="77" t="str">
        <f>_xlfn.XLOOKUP(AD535,menu!$K$2:$K$9,menu!$J$2:$J$9,"",1)</f>
        <v/>
      </c>
      <c r="AG535" s="80" t="str">
        <f>_xlfn.XLOOKUP(AH535,menu!$O$2:$O$9,menu!$H$2:$H$9,"")</f>
        <v/>
      </c>
      <c r="AI535" t="str">
        <f>_xlfn.LET(_xlpm.x,_xlfn.CONCAT(_xlfn.XLOOKUP(D535,beans!$A$2:$A$300,beans!$J$2:$J$300,"")," / ",_xlfn.XLOOKUP(D535,beans!$A$2:$A$300,beans!$K$2:$K$300,"")," - ",_xlfn.XLOOKUP(D535,beans!$A$2:$A$300,beans!$L$2:$L$300,"")),IF(_xlpm.x=" /  - ","",_xlpm.x))</f>
        <v xml:space="preserve">古吉 烏拉嘎 / 所羅門 - </v>
      </c>
      <c r="AJ535" s="23" t="s">
        <v>747</v>
      </c>
    </row>
    <row r="536" spans="1:36" x14ac:dyDescent="0.3">
      <c r="A536">
        <v>519</v>
      </c>
      <c r="B536">
        <v>493.8</v>
      </c>
      <c r="D536">
        <v>78</v>
      </c>
      <c r="E536" t="str">
        <f>_xlfn.LET(_xlpm.x,_xlfn.XLOOKUP(D536,beans!$A$2:$A$300,beans!$H$2:$H$300,""),IF(_xlpm.x="","",_xlpm.x))</f>
        <v>衣索比亞</v>
      </c>
      <c r="F536" s="22" t="str">
        <f>_xlfn.XLOOKUP(E536,menu!$A$2:$A$37,menu!$B$2:$B$37,"")</f>
        <v>Ethiopia</v>
      </c>
      <c r="G536" t="str">
        <f>_xlfn.XLOOKUP(E536,menu!$A$2:$A$37,menu!$C$2:$C$37,"")</f>
        <v>eth</v>
      </c>
      <c r="H536" t="str">
        <f>_xlfn.LET(_xlpm.x,_xlfn.XLOOKUP(_xlfn.XLOOKUP(D536,beans!$A$2:$A$300,beans!$I$2:$I$300),menu!$E$2:$E$20,menu!$F$2:$F$20),IF(_xlpm.x="","",_xlpm.x))</f>
        <v>honey</v>
      </c>
      <c r="I536">
        <v>200</v>
      </c>
      <c r="J536">
        <v>88</v>
      </c>
      <c r="K536">
        <v>30</v>
      </c>
      <c r="L536">
        <v>90</v>
      </c>
      <c r="M536" s="68" t="s">
        <v>87</v>
      </c>
      <c r="N536">
        <v>84.2</v>
      </c>
      <c r="P536" s="67" t="s">
        <v>46</v>
      </c>
      <c r="Q536" s="68">
        <v>205.9</v>
      </c>
      <c r="R536" s="67" t="s">
        <v>748</v>
      </c>
      <c r="S536" s="68">
        <v>219.5</v>
      </c>
      <c r="T536" s="68">
        <f t="shared" si="68"/>
        <v>13.599999999999994</v>
      </c>
      <c r="U536">
        <f t="shared" si="64"/>
        <v>85</v>
      </c>
      <c r="V536">
        <f t="shared" si="69"/>
        <v>9.6</v>
      </c>
      <c r="W536">
        <f t="shared" si="65"/>
        <v>12.9</v>
      </c>
      <c r="X536" s="19">
        <v>45699</v>
      </c>
      <c r="Y536" s="26">
        <v>419.3</v>
      </c>
      <c r="Z536" s="61">
        <v>0</v>
      </c>
      <c r="AB536" s="28">
        <f t="shared" si="66"/>
        <v>0.15087079789388416</v>
      </c>
      <c r="AE536" s="61" t="str">
        <f t="shared" si="67"/>
        <v/>
      </c>
      <c r="AF536" s="77" t="str">
        <f>_xlfn.XLOOKUP(AD536,menu!$K$2:$K$9,menu!$J$2:$J$9,"",1)</f>
        <v/>
      </c>
      <c r="AG536" s="80" t="str">
        <f>_xlfn.XLOOKUP(AH536,menu!$O$2:$O$9,menu!$H$2:$H$9,"")</f>
        <v/>
      </c>
      <c r="AI536" t="str">
        <f>_xlfn.LET(_xlpm.x,_xlfn.CONCAT(_xlfn.XLOOKUP(D536,beans!$A$2:$A$300,beans!$J$2:$J$300,"")," / ",_xlfn.XLOOKUP(D536,beans!$A$2:$A$300,beans!$K$2:$K$300,"")," - ",_xlfn.XLOOKUP(D536,beans!$A$2:$A$300,beans!$L$2:$L$300,"")),IF(_xlpm.x=" /  - ","",_xlpm.x))</f>
        <v xml:space="preserve">耶加雪菲 / 科克 - </v>
      </c>
      <c r="AJ536" s="23" t="s">
        <v>749</v>
      </c>
    </row>
    <row r="537" spans="1:36" x14ac:dyDescent="0.3">
      <c r="A537">
        <v>520</v>
      </c>
      <c r="B537">
        <v>497</v>
      </c>
      <c r="D537">
        <v>59</v>
      </c>
      <c r="E537" t="str">
        <f>_xlfn.LET(_xlpm.x,_xlfn.XLOOKUP(D537,beans!$A$2:$A$300,beans!$H$2:$H$300,""),IF(_xlpm.x="","",_xlpm.x))</f>
        <v>哥倫比亞</v>
      </c>
      <c r="F537" s="22" t="str">
        <f>_xlfn.XLOOKUP(E537,menu!$A$2:$A$37,menu!$B$2:$B$37,"")</f>
        <v>Colombia</v>
      </c>
      <c r="G537" t="str">
        <f>_xlfn.XLOOKUP(E537,menu!$A$2:$A$37,menu!$C$2:$C$37,"")</f>
        <v>col</v>
      </c>
      <c r="H537" t="str">
        <f>_xlfn.LET(_xlpm.x,_xlfn.XLOOKUP(_xlfn.XLOOKUP(D537,beans!$A$2:$A$300,beans!$I$2:$I$300),menu!$E$2:$E$20,menu!$F$2:$F$20),IF(_xlpm.x="","",_xlpm.x))</f>
        <v>Anaerobic Natural</v>
      </c>
      <c r="I537">
        <v>200</v>
      </c>
      <c r="J537">
        <v>88</v>
      </c>
      <c r="K537">
        <v>30</v>
      </c>
      <c r="L537">
        <v>90</v>
      </c>
      <c r="M537" s="68" t="s">
        <v>125</v>
      </c>
      <c r="N537">
        <v>86.1</v>
      </c>
      <c r="P537" s="67" t="s">
        <v>610</v>
      </c>
      <c r="Q537" s="68">
        <v>201.9</v>
      </c>
      <c r="R537" s="67" t="s">
        <v>621</v>
      </c>
      <c r="S537" s="68">
        <v>211</v>
      </c>
      <c r="T537" s="68">
        <f t="shared" si="68"/>
        <v>9.0999999999999943</v>
      </c>
      <c r="U537">
        <f t="shared" si="64"/>
        <v>59</v>
      </c>
      <c r="V537">
        <f t="shared" si="69"/>
        <v>9.3000000000000007</v>
      </c>
      <c r="W537">
        <f t="shared" si="65"/>
        <v>9.98</v>
      </c>
      <c r="X537" s="19">
        <v>45699</v>
      </c>
      <c r="Y537" s="26">
        <v>429.9</v>
      </c>
      <c r="Z537" s="61">
        <v>0</v>
      </c>
      <c r="AB537" s="28">
        <f t="shared" si="66"/>
        <v>0.13501006036217308</v>
      </c>
      <c r="AE537" s="61" t="str">
        <f t="shared" si="67"/>
        <v/>
      </c>
      <c r="AF537" s="77" t="str">
        <f>_xlfn.XLOOKUP(AD537,menu!$K$2:$K$9,menu!$J$2:$J$9,"",1)</f>
        <v/>
      </c>
      <c r="AG537" s="80" t="str">
        <f>_xlfn.XLOOKUP(AH537,menu!$O$2:$O$9,menu!$H$2:$H$9,"")</f>
        <v/>
      </c>
      <c r="AI537" t="str">
        <f>_xlfn.LET(_xlpm.x,_xlfn.CONCAT(_xlfn.XLOOKUP(D537,beans!$A$2:$A$300,beans!$J$2:$J$300,"")," / ",_xlfn.XLOOKUP(D537,beans!$A$2:$A$300,beans!$K$2:$K$300,"")," - ",_xlfn.XLOOKUP(D537,beans!$A$2:$A$300,beans!$L$2:$L$300,"")),IF(_xlpm.x=" /  - ","",_xlpm.x))</f>
        <v>金巴亞 金迪奧 / El Danubio Estate 粉桃甜心 - 卡杜拉</v>
      </c>
      <c r="AJ537" s="23" t="s">
        <v>750</v>
      </c>
    </row>
    <row r="538" spans="1:36" x14ac:dyDescent="0.3">
      <c r="A538">
        <v>521</v>
      </c>
      <c r="B538">
        <v>247.5</v>
      </c>
      <c r="D538">
        <v>90</v>
      </c>
      <c r="E538" t="str">
        <f>_xlfn.LET(_xlpm.x,_xlfn.XLOOKUP(D538,beans!$A$2:$A$300,beans!$H$2:$H$300,""),IF(_xlpm.x="","",_xlpm.x))</f>
        <v>衣索比亞</v>
      </c>
      <c r="F538" s="22" t="str">
        <f>_xlfn.XLOOKUP(E538,menu!$A$2:$A$37,menu!$B$2:$B$37,"")</f>
        <v>Ethiopia</v>
      </c>
      <c r="G538" t="str">
        <f>_xlfn.XLOOKUP(E538,menu!$A$2:$A$37,menu!$C$2:$C$37,"")</f>
        <v>eth</v>
      </c>
      <c r="H538" t="str">
        <f>_xlfn.LET(_xlpm.x,_xlfn.XLOOKUP(_xlfn.XLOOKUP(D538,beans!$A$2:$A$300,beans!$I$2:$I$300),menu!$E$2:$E$20,menu!$F$2:$F$20),IF(_xlpm.x="","",_xlpm.x))</f>
        <v>natural</v>
      </c>
      <c r="I538">
        <v>200</v>
      </c>
      <c r="J538">
        <v>80</v>
      </c>
      <c r="K538">
        <v>30</v>
      </c>
      <c r="L538">
        <v>70</v>
      </c>
      <c r="M538" s="68" t="s">
        <v>87</v>
      </c>
      <c r="N538">
        <v>88.6</v>
      </c>
      <c r="P538" s="67" t="s">
        <v>547</v>
      </c>
      <c r="Q538" s="68">
        <v>207.3</v>
      </c>
      <c r="R538" s="67" t="s">
        <v>243</v>
      </c>
      <c r="S538" s="68">
        <v>221.3</v>
      </c>
      <c r="T538" s="68">
        <f t="shared" si="68"/>
        <v>14</v>
      </c>
      <c r="U538">
        <f t="shared" si="64"/>
        <v>69</v>
      </c>
      <c r="V538">
        <f t="shared" si="69"/>
        <v>12.2</v>
      </c>
      <c r="W538">
        <f t="shared" si="65"/>
        <v>11.35</v>
      </c>
      <c r="X538" s="19">
        <v>45699</v>
      </c>
      <c r="Y538" s="26">
        <v>210.9</v>
      </c>
      <c r="Z538" s="61">
        <v>0</v>
      </c>
      <c r="AB538" s="28">
        <f t="shared" si="66"/>
        <v>0.14787878787878786</v>
      </c>
      <c r="AE538" s="61" t="str">
        <f t="shared" si="67"/>
        <v/>
      </c>
      <c r="AF538" s="77" t="str">
        <f>_xlfn.XLOOKUP(AD538,menu!$K$2:$K$9,menu!$J$2:$J$9,"",1)</f>
        <v/>
      </c>
      <c r="AG538" s="80" t="str">
        <f>_xlfn.XLOOKUP(AH538,menu!$O$2:$O$9,menu!$H$2:$H$9,"")</f>
        <v/>
      </c>
      <c r="AI538" t="str">
        <f>_xlfn.LET(_xlpm.x,_xlfn.CONCAT(_xlfn.XLOOKUP(D538,beans!$A$2:$A$300,beans!$J$2:$J$300,"")," / ",_xlfn.XLOOKUP(D538,beans!$A$2:$A$300,beans!$K$2:$K$300,"")," - ",_xlfn.XLOOKUP(D538,beans!$A$2:$A$300,beans!$L$2:$L$300,"")),IF(_xlpm.x=" /  - ","",_xlpm.x))</f>
        <v xml:space="preserve">利姆 / 格拉莊園 - </v>
      </c>
      <c r="AJ538" s="23" t="s">
        <v>751</v>
      </c>
    </row>
    <row r="539" spans="1:36" x14ac:dyDescent="0.3">
      <c r="A539">
        <v>522</v>
      </c>
      <c r="B539">
        <v>248.5</v>
      </c>
      <c r="D539">
        <v>75</v>
      </c>
      <c r="E539" t="str">
        <f>_xlfn.LET(_xlpm.x,_xlfn.XLOOKUP(D539,beans!$A$2:$A$300,beans!$H$2:$H$300,""),IF(_xlpm.x="","",_xlpm.x))</f>
        <v>瓜地馬拉</v>
      </c>
      <c r="F539" s="22" t="str">
        <f>_xlfn.XLOOKUP(E539,menu!$A$2:$A$37,menu!$B$2:$B$37,"")</f>
        <v>Guatemala</v>
      </c>
      <c r="G539" t="str">
        <f>_xlfn.XLOOKUP(E539,menu!$A$2:$A$37,menu!$C$2:$C$37,"")</f>
        <v>gtm</v>
      </c>
      <c r="H539" t="str">
        <f>_xlfn.LET(_xlpm.x,_xlfn.XLOOKUP(_xlfn.XLOOKUP(D539,beans!$A$2:$A$300,beans!$I$2:$I$300),menu!$E$2:$E$20,menu!$F$2:$F$20),IF(_xlpm.x="","",_xlpm.x))</f>
        <v>Anaerobic Natural</v>
      </c>
      <c r="I539">
        <v>200</v>
      </c>
      <c r="J539">
        <v>80</v>
      </c>
      <c r="K539">
        <v>30</v>
      </c>
      <c r="L539">
        <v>70</v>
      </c>
      <c r="M539" s="68" t="s">
        <v>87</v>
      </c>
      <c r="N539">
        <v>89.6</v>
      </c>
      <c r="P539" s="67" t="s">
        <v>201</v>
      </c>
      <c r="Q539" s="68">
        <v>209.2</v>
      </c>
      <c r="R539" s="67" t="s">
        <v>236</v>
      </c>
      <c r="S539" s="68">
        <v>220</v>
      </c>
      <c r="T539" s="68">
        <f t="shared" si="68"/>
        <v>10.800000000000011</v>
      </c>
      <c r="U539">
        <f t="shared" si="64"/>
        <v>51</v>
      </c>
      <c r="V539">
        <f t="shared" si="69"/>
        <v>12.7</v>
      </c>
      <c r="W539">
        <f t="shared" si="65"/>
        <v>8.7899999999999991</v>
      </c>
      <c r="X539" s="19">
        <v>45699</v>
      </c>
      <c r="Y539" s="26">
        <v>214.4</v>
      </c>
      <c r="Z539" s="61">
        <v>0</v>
      </c>
      <c r="AB539" s="28">
        <f t="shared" si="66"/>
        <v>0.13722334004024142</v>
      </c>
      <c r="AE539" s="61" t="str">
        <f t="shared" si="67"/>
        <v/>
      </c>
      <c r="AF539" s="77" t="str">
        <f>_xlfn.XLOOKUP(AD539,menu!$K$2:$K$9,menu!$J$2:$J$9,"",1)</f>
        <v/>
      </c>
      <c r="AG539" s="80" t="str">
        <f>_xlfn.XLOOKUP(AH539,menu!$O$2:$O$9,menu!$H$2:$H$9,"")</f>
        <v/>
      </c>
      <c r="AI539" t="str">
        <f>_xlfn.LET(_xlpm.x,_xlfn.CONCAT(_xlfn.XLOOKUP(D539,beans!$A$2:$A$300,beans!$J$2:$J$300,"")," / ",_xlfn.XLOOKUP(D539,beans!$A$2:$A$300,beans!$K$2:$K$300,"")," - ",_xlfn.XLOOKUP(D539,beans!$A$2:$A$300,beans!$L$2:$L$300,"")),IF(_xlpm.x=" /  - ","",_xlpm.x))</f>
        <v xml:space="preserve">新東方 / 小農批次 - </v>
      </c>
      <c r="AJ539" s="23" t="s">
        <v>752</v>
      </c>
    </row>
    <row r="540" spans="1:36" x14ac:dyDescent="0.3">
      <c r="A540">
        <v>523</v>
      </c>
      <c r="B540">
        <v>247.8</v>
      </c>
      <c r="D540">
        <v>69</v>
      </c>
      <c r="E540" t="str">
        <f>_xlfn.LET(_xlpm.x,_xlfn.XLOOKUP(D540,beans!$A$2:$A$300,beans!$H$2:$H$300,""),IF(_xlpm.x="","",_xlpm.x))</f>
        <v>衣索比亞</v>
      </c>
      <c r="F540" s="22" t="str">
        <f>_xlfn.XLOOKUP(E540,menu!$A$2:$A$37,menu!$B$2:$B$37,"")</f>
        <v>Ethiopia</v>
      </c>
      <c r="G540" t="str">
        <f>_xlfn.XLOOKUP(E540,menu!$A$2:$A$37,menu!$C$2:$C$37,"")</f>
        <v>eth</v>
      </c>
      <c r="H540" t="str">
        <f>_xlfn.LET(_xlpm.x,_xlfn.XLOOKUP(_xlfn.XLOOKUP(D540,beans!$A$2:$A$300,beans!$I$2:$I$300),menu!$E$2:$E$20,menu!$F$2:$F$20),IF(_xlpm.x="","",_xlpm.x))</f>
        <v>Anaerobic Natural</v>
      </c>
      <c r="I540">
        <v>200</v>
      </c>
      <c r="J540">
        <v>80</v>
      </c>
      <c r="K540">
        <v>30</v>
      </c>
      <c r="L540">
        <v>70</v>
      </c>
      <c r="M540" s="68" t="s">
        <v>160</v>
      </c>
      <c r="N540">
        <v>90.3</v>
      </c>
      <c r="P540" s="67" t="s">
        <v>435</v>
      </c>
      <c r="Q540" s="68">
        <v>209.1</v>
      </c>
      <c r="R540" s="67" t="s">
        <v>202</v>
      </c>
      <c r="S540" s="68">
        <v>218.3</v>
      </c>
      <c r="T540" s="68">
        <f t="shared" si="68"/>
        <v>9.2000000000000171</v>
      </c>
      <c r="U540">
        <f t="shared" si="64"/>
        <v>52</v>
      </c>
      <c r="V540">
        <f t="shared" si="69"/>
        <v>10.6</v>
      </c>
      <c r="W540">
        <f t="shared" si="65"/>
        <v>8.36</v>
      </c>
      <c r="X540" s="19">
        <v>45699</v>
      </c>
      <c r="Y540" s="26">
        <v>208</v>
      </c>
      <c r="Z540" s="61">
        <v>0</v>
      </c>
      <c r="AB540" s="28">
        <f t="shared" si="66"/>
        <v>0.16061339790153353</v>
      </c>
      <c r="AE540" s="61" t="str">
        <f t="shared" si="67"/>
        <v/>
      </c>
      <c r="AF540" s="77" t="str">
        <f>_xlfn.XLOOKUP(AD540,menu!$K$2:$K$9,menu!$J$2:$J$9,"",1)</f>
        <v/>
      </c>
      <c r="AG540" s="80" t="str">
        <f>_xlfn.XLOOKUP(AH540,menu!$O$2:$O$9,menu!$H$2:$H$9,"")</f>
        <v/>
      </c>
      <c r="AI540" t="str">
        <f>_xlfn.LET(_xlpm.x,_xlfn.CONCAT(_xlfn.XLOOKUP(D540,beans!$A$2:$A$300,beans!$J$2:$J$300,"")," / ",_xlfn.XLOOKUP(D540,beans!$A$2:$A$300,beans!$K$2:$K$300,"")," - ",_xlfn.XLOOKUP(D540,beans!$A$2:$A$300,beans!$L$2:$L$300,"")),IF(_xlpm.x=" /  - ","",_xlpm.x))</f>
        <v>古吉烏拉嘎 / 月光酒釀 - 74110/74112</v>
      </c>
      <c r="AJ540" s="23" t="s">
        <v>753</v>
      </c>
    </row>
    <row r="541" spans="1:36" x14ac:dyDescent="0.3">
      <c r="A541">
        <v>524</v>
      </c>
      <c r="B541">
        <v>492.7</v>
      </c>
      <c r="D541">
        <v>68</v>
      </c>
      <c r="E541" t="str">
        <f>_xlfn.LET(_xlpm.x,_xlfn.XLOOKUP(D541,beans!$A$2:$A$300,beans!$H$2:$H$300,""),IF(_xlpm.x="","",_xlpm.x))</f>
        <v>哥倫比亞</v>
      </c>
      <c r="F541" s="22" t="str">
        <f>_xlfn.XLOOKUP(E541,menu!$A$2:$A$37,menu!$B$2:$B$37,"")</f>
        <v>Colombia</v>
      </c>
      <c r="G541" t="str">
        <f>_xlfn.XLOOKUP(E541,menu!$A$2:$A$37,menu!$C$2:$C$37,"")</f>
        <v>col</v>
      </c>
      <c r="H541" t="str">
        <f>_xlfn.LET(_xlpm.x,_xlfn.XLOOKUP(_xlfn.XLOOKUP(D541,beans!$A$2:$A$300,beans!$I$2:$I$300),menu!$E$2:$E$20,menu!$F$2:$F$20),IF(_xlpm.x="","",_xlpm.x))</f>
        <v>Anaerobic Natural</v>
      </c>
      <c r="I541">
        <v>200</v>
      </c>
      <c r="J541">
        <v>88</v>
      </c>
      <c r="K541">
        <v>30</v>
      </c>
      <c r="L541">
        <v>90</v>
      </c>
      <c r="T541" s="68" t="str">
        <f t="shared" si="68"/>
        <v/>
      </c>
      <c r="U541" t="str">
        <f t="shared" si="64"/>
        <v/>
      </c>
      <c r="V541">
        <f t="shared" si="69"/>
        <v>0</v>
      </c>
      <c r="W541" t="str">
        <f t="shared" si="65"/>
        <v/>
      </c>
      <c r="X541" s="19">
        <v>45699</v>
      </c>
      <c r="Y541" s="26">
        <v>400</v>
      </c>
      <c r="Z541" s="61">
        <v>0</v>
      </c>
      <c r="AB541" s="28">
        <f t="shared" si="66"/>
        <v>0.18814694540288207</v>
      </c>
      <c r="AE541" s="61" t="str">
        <f t="shared" si="67"/>
        <v/>
      </c>
      <c r="AF541" s="77" t="str">
        <f>_xlfn.XLOOKUP(AD541,menu!$K$2:$K$9,menu!$J$2:$J$9,"",1)</f>
        <v/>
      </c>
      <c r="AG541" s="80" t="str">
        <f>_xlfn.XLOOKUP(AH541,menu!$O$2:$O$9,menu!$H$2:$H$9,"")</f>
        <v/>
      </c>
      <c r="AI541" t="str">
        <f>_xlfn.LET(_xlpm.x,_xlfn.CONCAT(_xlfn.XLOOKUP(D541,beans!$A$2:$A$300,beans!$J$2:$J$300,"")," / ",_xlfn.XLOOKUP(D541,beans!$A$2:$A$300,beans!$K$2:$K$300,"")," - ",_xlfn.XLOOKUP(D541,beans!$A$2:$A$300,beans!$L$2:$L$300,"")),IF(_xlpm.x=" /  - ","",_xlpm.x))</f>
        <v xml:space="preserve"> / 天堂莊園-日出桂花香 - </v>
      </c>
      <c r="AJ541" s="23" t="s">
        <v>754</v>
      </c>
    </row>
    <row r="542" spans="1:36" x14ac:dyDescent="0.3">
      <c r="A542">
        <v>525</v>
      </c>
      <c r="B542">
        <v>250</v>
      </c>
      <c r="D542">
        <v>63</v>
      </c>
      <c r="E542" t="str">
        <f>_xlfn.LET(_xlpm.x,_xlfn.XLOOKUP(D542,beans!$A$2:$A$300,beans!$H$2:$H$300,""),IF(_xlpm.x="","",_xlpm.x))</f>
        <v>衣索比亞</v>
      </c>
      <c r="F542" s="22" t="str">
        <f>_xlfn.XLOOKUP(E542,menu!$A$2:$A$37,menu!$B$2:$B$37,"")</f>
        <v>Ethiopia</v>
      </c>
      <c r="G542" t="str">
        <f>_xlfn.XLOOKUP(E542,menu!$A$2:$A$37,menu!$C$2:$C$37,"")</f>
        <v>eth</v>
      </c>
      <c r="H542" t="str">
        <f>_xlfn.LET(_xlpm.x,_xlfn.XLOOKUP(_xlfn.XLOOKUP(D542,beans!$A$2:$A$300,beans!$I$2:$I$300),menu!$E$2:$E$20,menu!$F$2:$F$20),IF(_xlpm.x="","",_xlpm.x))</f>
        <v>washed</v>
      </c>
      <c r="I542">
        <v>200</v>
      </c>
      <c r="J542">
        <v>80</v>
      </c>
      <c r="K542">
        <v>35</v>
      </c>
      <c r="L542">
        <v>80</v>
      </c>
      <c r="M542" s="68" t="s">
        <v>125</v>
      </c>
      <c r="N542">
        <v>83.8</v>
      </c>
      <c r="P542" s="67" t="s">
        <v>687</v>
      </c>
      <c r="Q542" s="68">
        <v>201.6</v>
      </c>
      <c r="R542" s="67" t="s">
        <v>259</v>
      </c>
      <c r="S542" s="68">
        <v>219.5</v>
      </c>
      <c r="T542" s="68">
        <f t="shared" si="68"/>
        <v>17.900000000000006</v>
      </c>
      <c r="U542">
        <f t="shared" si="64"/>
        <v>86</v>
      </c>
      <c r="V542">
        <f t="shared" si="69"/>
        <v>12.5</v>
      </c>
      <c r="W542">
        <f t="shared" si="65"/>
        <v>13.74</v>
      </c>
      <c r="X542" s="19">
        <v>45704</v>
      </c>
      <c r="Y542" s="26">
        <v>213</v>
      </c>
      <c r="Z542" s="61">
        <v>0</v>
      </c>
      <c r="AB542" s="28">
        <f t="shared" si="66"/>
        <v>0.14799999999999999</v>
      </c>
      <c r="AE542" s="61" t="str">
        <f t="shared" si="67"/>
        <v/>
      </c>
      <c r="AF542" s="77" t="str">
        <f>_xlfn.XLOOKUP(AD542,menu!$K$2:$K$9,menu!$J$2:$J$9,"",1)</f>
        <v/>
      </c>
      <c r="AG542" s="80" t="str">
        <f>_xlfn.XLOOKUP(AH542,menu!$O$2:$O$9,menu!$H$2:$H$9,"")</f>
        <v/>
      </c>
      <c r="AI542" t="str">
        <f>_xlfn.LET(_xlpm.x,_xlfn.CONCAT(_xlfn.XLOOKUP(D542,beans!$A$2:$A$300,beans!$J$2:$J$300,"")," / ",_xlfn.XLOOKUP(D542,beans!$A$2:$A$300,beans!$K$2:$K$300,"")," - ",_xlfn.XLOOKUP(D542,beans!$A$2:$A$300,beans!$L$2:$L$300,"")),IF(_xlpm.x=" /  - ","",_xlpm.x))</f>
        <v>班奇 馬吉 / 露西 - Geisha</v>
      </c>
      <c r="AJ542" s="23" t="s">
        <v>755</v>
      </c>
    </row>
    <row r="543" spans="1:36" x14ac:dyDescent="0.3">
      <c r="A543">
        <v>526</v>
      </c>
      <c r="B543">
        <v>245.3</v>
      </c>
      <c r="D543">
        <v>85</v>
      </c>
      <c r="E543" t="str">
        <f>_xlfn.LET(_xlpm.x,_xlfn.XLOOKUP(D543,beans!$A$2:$A$300,beans!$H$2:$H$300,""),IF(_xlpm.x="","",_xlpm.x))</f>
        <v>衣索比亞</v>
      </c>
      <c r="F543" s="22" t="str">
        <f>_xlfn.XLOOKUP(E543,menu!$A$2:$A$37,menu!$B$2:$B$37,"")</f>
        <v>Ethiopia</v>
      </c>
      <c r="G543" t="str">
        <f>_xlfn.XLOOKUP(E543,menu!$A$2:$A$37,menu!$C$2:$C$37,"")</f>
        <v>eth</v>
      </c>
      <c r="H543" t="str">
        <f>_xlfn.LET(_xlpm.x,_xlfn.XLOOKUP(_xlfn.XLOOKUP(D543,beans!$A$2:$A$300,beans!$I$2:$I$300),menu!$E$2:$E$20,menu!$F$2:$F$20),IF(_xlpm.x="","",_xlpm.x))</f>
        <v>natural</v>
      </c>
      <c r="I543">
        <v>200</v>
      </c>
      <c r="J543">
        <v>80</v>
      </c>
      <c r="K543">
        <v>35</v>
      </c>
      <c r="L543">
        <v>80</v>
      </c>
      <c r="M543" s="68" t="s">
        <v>160</v>
      </c>
      <c r="N543">
        <v>90.9</v>
      </c>
      <c r="P543" s="67" t="s">
        <v>455</v>
      </c>
      <c r="Q543" s="68">
        <v>202.8</v>
      </c>
      <c r="R543" s="67" t="s">
        <v>640</v>
      </c>
      <c r="S543" s="68">
        <v>218.6</v>
      </c>
      <c r="T543" s="68">
        <f t="shared" si="68"/>
        <v>15.799999999999983</v>
      </c>
      <c r="U543">
        <f t="shared" si="64"/>
        <v>59</v>
      </c>
      <c r="V543">
        <f t="shared" si="69"/>
        <v>16.100000000000001</v>
      </c>
      <c r="W543">
        <f t="shared" si="65"/>
        <v>10.65</v>
      </c>
      <c r="X543" s="19">
        <v>45704</v>
      </c>
      <c r="Y543" s="26">
        <v>210.5</v>
      </c>
      <c r="Z543" s="61">
        <v>0</v>
      </c>
      <c r="AB543" s="28">
        <f t="shared" si="66"/>
        <v>0.14186710150835716</v>
      </c>
      <c r="AE543" s="61" t="str">
        <f t="shared" si="67"/>
        <v/>
      </c>
      <c r="AF543" s="77" t="str">
        <f>_xlfn.XLOOKUP(AD543,menu!$K$2:$K$9,menu!$J$2:$J$9,"",1)</f>
        <v/>
      </c>
      <c r="AG543" s="80" t="str">
        <f>_xlfn.XLOOKUP(AH543,menu!$O$2:$O$9,menu!$H$2:$H$9,"")</f>
        <v/>
      </c>
      <c r="AI543" t="str">
        <f>_xlfn.LET(_xlpm.x,_xlfn.CONCAT(_xlfn.XLOOKUP(D543,beans!$A$2:$A$300,beans!$J$2:$J$300,"")," / ",_xlfn.XLOOKUP(D543,beans!$A$2:$A$300,beans!$K$2:$K$300,"")," - ",_xlfn.XLOOKUP(D543,beans!$A$2:$A$300,beans!$L$2:$L$300,"")),IF(_xlpm.x=" /  - ","",_xlpm.x))</f>
        <v xml:space="preserve">古吉 烏拉嘎 / 寇巴 - </v>
      </c>
      <c r="AJ543" s="23" t="s">
        <v>755</v>
      </c>
    </row>
    <row r="544" spans="1:36" x14ac:dyDescent="0.3">
      <c r="A544">
        <v>527</v>
      </c>
      <c r="B544">
        <v>247</v>
      </c>
      <c r="D544">
        <v>66</v>
      </c>
      <c r="E544" t="str">
        <f>_xlfn.LET(_xlpm.x,_xlfn.XLOOKUP(D544,beans!$A$2:$A$300,beans!$H$2:$H$300,""),IF(_xlpm.x="","",_xlpm.x))</f>
        <v>哥斯大黎加</v>
      </c>
      <c r="F544" s="22" t="str">
        <f>_xlfn.XLOOKUP(E544,menu!$A$2:$A$37,menu!$B$2:$B$37,"")</f>
        <v>Costa Rica</v>
      </c>
      <c r="G544" t="str">
        <f>_xlfn.XLOOKUP(E544,menu!$A$2:$A$37,menu!$C$2:$C$37,"")</f>
        <v>cri</v>
      </c>
      <c r="H544" t="str">
        <f>_xlfn.LET(_xlpm.x,_xlfn.XLOOKUP(_xlfn.XLOOKUP(D544,beans!$A$2:$A$300,beans!$I$2:$I$300),menu!$E$2:$E$20,menu!$F$2:$F$20),IF(_xlpm.x="","",_xlpm.x))</f>
        <v>raisin-honey</v>
      </c>
      <c r="I544">
        <v>200</v>
      </c>
      <c r="J544">
        <v>80</v>
      </c>
      <c r="K544">
        <v>45</v>
      </c>
      <c r="L544">
        <v>80</v>
      </c>
      <c r="M544" s="68" t="s">
        <v>87</v>
      </c>
      <c r="N544">
        <v>90.4</v>
      </c>
      <c r="P544" s="67" t="s">
        <v>256</v>
      </c>
      <c r="Q544" s="68">
        <v>202.6</v>
      </c>
      <c r="R544" s="67" t="s">
        <v>554</v>
      </c>
      <c r="S544" s="68">
        <v>220.4</v>
      </c>
      <c r="T544" s="68">
        <f t="shared" si="68"/>
        <v>17.800000000000011</v>
      </c>
      <c r="U544">
        <f t="shared" si="64"/>
        <v>80</v>
      </c>
      <c r="V544">
        <f t="shared" si="69"/>
        <v>13.4</v>
      </c>
      <c r="W544">
        <f t="shared" si="65"/>
        <v>13.33</v>
      </c>
      <c r="X544" s="19">
        <v>45704</v>
      </c>
      <c r="Y544" s="26">
        <v>209.7</v>
      </c>
      <c r="Z544" s="61">
        <v>0</v>
      </c>
      <c r="AB544" s="28">
        <f t="shared" si="66"/>
        <v>0.15101214574898791</v>
      </c>
      <c r="AE544" s="61" t="str">
        <f t="shared" si="67"/>
        <v/>
      </c>
      <c r="AF544" s="77" t="str">
        <f>_xlfn.XLOOKUP(AD544,menu!$K$2:$K$9,menu!$J$2:$J$9,"",1)</f>
        <v/>
      </c>
      <c r="AG544" s="80" t="str">
        <f>_xlfn.XLOOKUP(AH544,menu!$O$2:$O$9,menu!$H$2:$H$9,"")</f>
        <v/>
      </c>
      <c r="AI544" t="str">
        <f>_xlfn.LET(_xlpm.x,_xlfn.CONCAT(_xlfn.XLOOKUP(D544,beans!$A$2:$A$300,beans!$J$2:$J$300,"")," / ",_xlfn.XLOOKUP(D544,beans!$A$2:$A$300,beans!$K$2:$K$300,"")," - ",_xlfn.XLOOKUP(D544,beans!$A$2:$A$300,beans!$L$2:$L$300,"")),IF(_xlpm.x=" /  - ","",_xlpm.x))</f>
        <v>La Isla / 小島極緻 - 維拉莎奇</v>
      </c>
      <c r="AJ544" s="23" t="s">
        <v>755</v>
      </c>
    </row>
    <row r="545" spans="1:36" x14ac:dyDescent="0.3">
      <c r="A545">
        <v>528</v>
      </c>
      <c r="B545">
        <v>500</v>
      </c>
      <c r="D545">
        <v>66</v>
      </c>
      <c r="E545" t="str">
        <f>_xlfn.LET(_xlpm.x,_xlfn.XLOOKUP(D545,beans!$A$2:$A$300,beans!$H$2:$H$300,""),IF(_xlpm.x="","",_xlpm.x))</f>
        <v>哥斯大黎加</v>
      </c>
      <c r="F545" s="22" t="str">
        <f>_xlfn.XLOOKUP(E545,menu!$A$2:$A$37,menu!$B$2:$B$37,"")</f>
        <v>Costa Rica</v>
      </c>
      <c r="G545" t="str">
        <f>_xlfn.XLOOKUP(E545,menu!$A$2:$A$37,menu!$C$2:$C$37,"")</f>
        <v>cri</v>
      </c>
      <c r="H545" t="str">
        <f>_xlfn.LET(_xlpm.x,_xlfn.XLOOKUP(_xlfn.XLOOKUP(D545,beans!$A$2:$A$300,beans!$I$2:$I$300),menu!$E$2:$E$20,menu!$F$2:$F$20),IF(_xlpm.x="","",_xlpm.x))</f>
        <v>raisin-honey</v>
      </c>
      <c r="I545">
        <v>200</v>
      </c>
      <c r="J545">
        <v>80</v>
      </c>
      <c r="K545">
        <v>35</v>
      </c>
      <c r="L545">
        <v>90</v>
      </c>
      <c r="M545" s="68" t="s">
        <v>125</v>
      </c>
      <c r="N545">
        <v>86.1</v>
      </c>
      <c r="P545" s="67" t="s">
        <v>655</v>
      </c>
      <c r="Q545" s="68">
        <v>202</v>
      </c>
      <c r="R545" s="67" t="s">
        <v>531</v>
      </c>
      <c r="S545" s="68">
        <v>219.9</v>
      </c>
      <c r="T545" s="68">
        <f t="shared" si="68"/>
        <v>17.900000000000006</v>
      </c>
      <c r="U545">
        <f t="shared" si="64"/>
        <v>99</v>
      </c>
      <c r="V545">
        <f t="shared" si="69"/>
        <v>10.8</v>
      </c>
      <c r="W545">
        <f t="shared" si="65"/>
        <v>15.37</v>
      </c>
      <c r="X545" s="19">
        <v>45704</v>
      </c>
      <c r="Y545" s="26">
        <v>427</v>
      </c>
      <c r="Z545" s="61">
        <v>0</v>
      </c>
      <c r="AB545" s="28">
        <f t="shared" si="66"/>
        <v>0.14599999999999999</v>
      </c>
      <c r="AE545" s="61" t="str">
        <f t="shared" si="67"/>
        <v/>
      </c>
      <c r="AF545" s="77" t="str">
        <f>_xlfn.XLOOKUP(AD545,menu!$K$2:$K$9,menu!$J$2:$J$9,"",1)</f>
        <v/>
      </c>
      <c r="AG545" s="80" t="str">
        <f>_xlfn.XLOOKUP(AH545,menu!$O$2:$O$9,menu!$H$2:$H$9,"")</f>
        <v/>
      </c>
      <c r="AI545" t="str">
        <f>_xlfn.LET(_xlpm.x,_xlfn.CONCAT(_xlfn.XLOOKUP(D545,beans!$A$2:$A$300,beans!$J$2:$J$300,"")," / ",_xlfn.XLOOKUP(D545,beans!$A$2:$A$300,beans!$K$2:$K$300,"")," - ",_xlfn.XLOOKUP(D545,beans!$A$2:$A$300,beans!$L$2:$L$300,"")),IF(_xlpm.x=" /  - ","",_xlpm.x))</f>
        <v>La Isla / 小島極緻 - 維拉莎奇</v>
      </c>
      <c r="AJ545" s="23" t="s">
        <v>755</v>
      </c>
    </row>
    <row r="546" spans="1:36" x14ac:dyDescent="0.3">
      <c r="A546">
        <v>529</v>
      </c>
      <c r="B546">
        <v>500</v>
      </c>
      <c r="D546">
        <v>78</v>
      </c>
      <c r="E546" t="str">
        <f>_xlfn.LET(_xlpm.x,_xlfn.XLOOKUP(D546,beans!$A$2:$A$300,beans!$H$2:$H$300,""),IF(_xlpm.x="","",_xlpm.x))</f>
        <v>衣索比亞</v>
      </c>
      <c r="F546" s="22" t="str">
        <f>_xlfn.XLOOKUP(E546,menu!$A$2:$A$37,menu!$B$2:$B$37,"")</f>
        <v>Ethiopia</v>
      </c>
      <c r="G546" t="str">
        <f>_xlfn.XLOOKUP(E546,menu!$A$2:$A$37,menu!$C$2:$C$37,"")</f>
        <v>eth</v>
      </c>
      <c r="H546" t="str">
        <f>_xlfn.LET(_xlpm.x,_xlfn.XLOOKUP(_xlfn.XLOOKUP(D546,beans!$A$2:$A$300,beans!$I$2:$I$300),menu!$E$2:$E$20,menu!$F$2:$F$20),IF(_xlpm.x="","",_xlpm.x))</f>
        <v>honey</v>
      </c>
      <c r="I546">
        <v>200</v>
      </c>
      <c r="J546">
        <v>80</v>
      </c>
      <c r="K546">
        <v>35</v>
      </c>
      <c r="L546">
        <v>90</v>
      </c>
      <c r="M546" s="68" t="s">
        <v>75</v>
      </c>
      <c r="N546">
        <v>86.4</v>
      </c>
      <c r="P546" s="67" t="s">
        <v>738</v>
      </c>
      <c r="Q546" s="68">
        <v>202.1</v>
      </c>
      <c r="R546" s="67" t="s">
        <v>373</v>
      </c>
      <c r="S546" s="68">
        <v>220.4</v>
      </c>
      <c r="T546" s="68">
        <f t="shared" si="68"/>
        <v>18.300000000000011</v>
      </c>
      <c r="U546">
        <f t="shared" si="64"/>
        <v>82</v>
      </c>
      <c r="V546">
        <f t="shared" si="69"/>
        <v>13.4</v>
      </c>
      <c r="W546">
        <f t="shared" si="65"/>
        <v>13.23</v>
      </c>
      <c r="X546" s="19">
        <v>45704</v>
      </c>
      <c r="Y546" s="26">
        <v>427</v>
      </c>
      <c r="Z546" s="61">
        <v>0</v>
      </c>
      <c r="AB546" s="28">
        <f t="shared" si="66"/>
        <v>0.14599999999999999</v>
      </c>
      <c r="AE546" s="61" t="str">
        <f t="shared" si="67"/>
        <v/>
      </c>
      <c r="AF546" s="77" t="str">
        <f>_xlfn.XLOOKUP(AD546,menu!$K$2:$K$9,menu!$J$2:$J$9,"",1)</f>
        <v/>
      </c>
      <c r="AG546" s="80" t="str">
        <f>_xlfn.XLOOKUP(AH546,menu!$O$2:$O$9,menu!$H$2:$H$9,"")</f>
        <v/>
      </c>
      <c r="AI546" t="str">
        <f>_xlfn.LET(_xlpm.x,_xlfn.CONCAT(_xlfn.XLOOKUP(D546,beans!$A$2:$A$300,beans!$J$2:$J$300,"")," / ",_xlfn.XLOOKUP(D546,beans!$A$2:$A$300,beans!$K$2:$K$300,"")," - ",_xlfn.XLOOKUP(D546,beans!$A$2:$A$300,beans!$L$2:$L$300,"")),IF(_xlpm.x=" /  - ","",_xlpm.x))</f>
        <v xml:space="preserve">耶加雪菲 / 科克 - </v>
      </c>
      <c r="AJ546" s="23" t="s">
        <v>755</v>
      </c>
    </row>
    <row r="547" spans="1:36" x14ac:dyDescent="0.3">
      <c r="A547">
        <v>530</v>
      </c>
      <c r="B547">
        <v>492.7</v>
      </c>
      <c r="D547">
        <v>78</v>
      </c>
      <c r="E547" t="str">
        <f>_xlfn.LET(_xlpm.x,_xlfn.XLOOKUP(D547,beans!$A$2:$A$300,beans!$H$2:$H$300,""),IF(_xlpm.x="","",_xlpm.x))</f>
        <v>衣索比亞</v>
      </c>
      <c r="F547" s="22" t="str">
        <f>_xlfn.XLOOKUP(E547,menu!$A$2:$A$37,menu!$B$2:$B$37,"")</f>
        <v>Ethiopia</v>
      </c>
      <c r="G547" t="str">
        <f>_xlfn.XLOOKUP(E547,menu!$A$2:$A$37,menu!$C$2:$C$37,"")</f>
        <v>eth</v>
      </c>
      <c r="H547" t="str">
        <f>_xlfn.LET(_xlpm.x,_xlfn.XLOOKUP(_xlfn.XLOOKUP(D547,beans!$A$2:$A$300,beans!$I$2:$I$300),menu!$E$2:$E$20,menu!$F$2:$F$20),IF(_xlpm.x="","",_xlpm.x))</f>
        <v>honey</v>
      </c>
      <c r="I547">
        <v>200</v>
      </c>
      <c r="J547">
        <v>80</v>
      </c>
      <c r="K547">
        <v>35</v>
      </c>
      <c r="L547">
        <v>90</v>
      </c>
      <c r="M547" s="68" t="s">
        <v>75</v>
      </c>
      <c r="N547">
        <v>85.5</v>
      </c>
      <c r="P547" s="67" t="s">
        <v>651</v>
      </c>
      <c r="Q547" s="68">
        <v>203.6</v>
      </c>
      <c r="R547" s="67" t="s">
        <v>325</v>
      </c>
      <c r="S547" s="68">
        <v>219.7</v>
      </c>
      <c r="T547" s="68">
        <f t="shared" si="68"/>
        <v>16.099999999999994</v>
      </c>
      <c r="U547">
        <f t="shared" si="64"/>
        <v>64</v>
      </c>
      <c r="V547">
        <f t="shared" si="69"/>
        <v>15.1</v>
      </c>
      <c r="W547">
        <f t="shared" si="65"/>
        <v>10.54</v>
      </c>
      <c r="X547" s="19">
        <v>45704</v>
      </c>
      <c r="Y547" s="26">
        <v>420.3</v>
      </c>
      <c r="Z547" s="61">
        <v>0</v>
      </c>
      <c r="AB547" s="28">
        <f t="shared" si="66"/>
        <v>0.1469454028820783</v>
      </c>
      <c r="AE547" s="61" t="str">
        <f t="shared" si="67"/>
        <v/>
      </c>
      <c r="AF547" s="77" t="str">
        <f>_xlfn.XLOOKUP(AD547,menu!$K$2:$K$9,menu!$J$2:$J$9,"",1)</f>
        <v/>
      </c>
      <c r="AG547" s="80" t="str">
        <f>_xlfn.XLOOKUP(AH547,menu!$O$2:$O$9,menu!$H$2:$H$9,"")</f>
        <v/>
      </c>
      <c r="AI547" t="str">
        <f>_xlfn.LET(_xlpm.x,_xlfn.CONCAT(_xlfn.XLOOKUP(D547,beans!$A$2:$A$300,beans!$J$2:$J$300,"")," / ",_xlfn.XLOOKUP(D547,beans!$A$2:$A$300,beans!$K$2:$K$300,"")," - ",_xlfn.XLOOKUP(D547,beans!$A$2:$A$300,beans!$L$2:$L$300,"")),IF(_xlpm.x=" /  - ","",_xlpm.x))</f>
        <v xml:space="preserve">耶加雪菲 / 科克 - </v>
      </c>
      <c r="AJ547" s="23" t="s">
        <v>755</v>
      </c>
    </row>
    <row r="548" spans="1:36" x14ac:dyDescent="0.3">
      <c r="A548">
        <v>531</v>
      </c>
      <c r="B548">
        <v>247.9</v>
      </c>
      <c r="D548">
        <v>68</v>
      </c>
      <c r="E548" t="str">
        <f>_xlfn.LET(_xlpm.x,_xlfn.XLOOKUP(D548,beans!$A$2:$A$300,beans!$H$2:$H$300,""),IF(_xlpm.x="","",_xlpm.x))</f>
        <v>哥倫比亞</v>
      </c>
      <c r="F548" s="22" t="str">
        <f>_xlfn.XLOOKUP(E548,menu!$A$2:$A$37,menu!$B$2:$B$37,"")</f>
        <v>Colombia</v>
      </c>
      <c r="G548" t="str">
        <f>_xlfn.XLOOKUP(E548,menu!$A$2:$A$37,menu!$C$2:$C$37,"")</f>
        <v>col</v>
      </c>
      <c r="H548" t="str">
        <f>_xlfn.LET(_xlpm.x,_xlfn.XLOOKUP(_xlfn.XLOOKUP(D548,beans!$A$2:$A$300,beans!$I$2:$I$300),menu!$E$2:$E$20,menu!$F$2:$F$20),IF(_xlpm.x="","",_xlpm.x))</f>
        <v>Anaerobic Natural</v>
      </c>
      <c r="I548">
        <v>200</v>
      </c>
      <c r="J548">
        <v>80</v>
      </c>
      <c r="K548">
        <v>35</v>
      </c>
      <c r="L548">
        <v>80</v>
      </c>
      <c r="M548" s="68" t="s">
        <v>157</v>
      </c>
      <c r="N548">
        <v>90.5</v>
      </c>
      <c r="P548" s="67" t="s">
        <v>600</v>
      </c>
      <c r="Q548" s="68">
        <v>203</v>
      </c>
      <c r="R548" s="67" t="s">
        <v>621</v>
      </c>
      <c r="S548" s="68">
        <v>220.3</v>
      </c>
      <c r="T548" s="68">
        <f t="shared" si="68"/>
        <v>17.300000000000011</v>
      </c>
      <c r="U548">
        <f t="shared" si="64"/>
        <v>72</v>
      </c>
      <c r="V548">
        <f t="shared" si="69"/>
        <v>14.4</v>
      </c>
      <c r="W548">
        <f t="shared" si="65"/>
        <v>12.18</v>
      </c>
      <c r="X548" s="19">
        <v>45704</v>
      </c>
      <c r="Y548" s="26">
        <v>210</v>
      </c>
      <c r="Z548" s="61">
        <v>0</v>
      </c>
      <c r="AB548" s="28">
        <f t="shared" si="66"/>
        <v>0.15288422751109321</v>
      </c>
      <c r="AE548" s="61" t="str">
        <f t="shared" si="67"/>
        <v/>
      </c>
      <c r="AF548" s="77" t="str">
        <f>_xlfn.XLOOKUP(AD548,menu!$K$2:$K$9,menu!$J$2:$J$9,"",1)</f>
        <v/>
      </c>
      <c r="AG548" s="80" t="str">
        <f>_xlfn.XLOOKUP(AH548,menu!$O$2:$O$9,menu!$H$2:$H$9,"")</f>
        <v/>
      </c>
      <c r="AI548" t="str">
        <f>_xlfn.LET(_xlpm.x,_xlfn.CONCAT(_xlfn.XLOOKUP(D548,beans!$A$2:$A$300,beans!$J$2:$J$300,"")," / ",_xlfn.XLOOKUP(D548,beans!$A$2:$A$300,beans!$K$2:$K$300,"")," - ",_xlfn.XLOOKUP(D548,beans!$A$2:$A$300,beans!$L$2:$L$300,"")),IF(_xlpm.x=" /  - ","",_xlpm.x))</f>
        <v xml:space="preserve"> / 天堂莊園-日出桂花香 - </v>
      </c>
      <c r="AJ548" s="23" t="s">
        <v>755</v>
      </c>
    </row>
    <row r="549" spans="1:36" x14ac:dyDescent="0.3">
      <c r="A549">
        <v>532</v>
      </c>
      <c r="B549">
        <v>499</v>
      </c>
      <c r="D549">
        <v>47</v>
      </c>
      <c r="E549" t="str">
        <f>_xlfn.LET(_xlpm.x,_xlfn.XLOOKUP(D549,beans!$A$2:$A$300,beans!$H$2:$H$300,""),IF(_xlpm.x="","",_xlpm.x))</f>
        <v>衣索比亞</v>
      </c>
      <c r="F549" s="22" t="str">
        <f>_xlfn.XLOOKUP(E549,menu!$A$2:$A$37,menu!$B$2:$B$37,"")</f>
        <v>Ethiopia</v>
      </c>
      <c r="G549" t="str">
        <f>_xlfn.XLOOKUP(E549,menu!$A$2:$A$37,menu!$C$2:$C$37,"")</f>
        <v>eth</v>
      </c>
      <c r="H549" t="str">
        <f>_xlfn.LET(_xlpm.x,_xlfn.XLOOKUP(_xlfn.XLOOKUP(D549,beans!$A$2:$A$300,beans!$I$2:$I$300),menu!$E$2:$E$20,menu!$F$2:$F$20),IF(_xlpm.x="","",_xlpm.x))</f>
        <v>washed</v>
      </c>
      <c r="I549">
        <v>200</v>
      </c>
      <c r="J549">
        <v>88</v>
      </c>
      <c r="K549">
        <v>40</v>
      </c>
      <c r="L549">
        <v>90</v>
      </c>
      <c r="M549" s="68" t="s">
        <v>756</v>
      </c>
      <c r="N549">
        <v>85.8</v>
      </c>
      <c r="P549" s="67" t="s">
        <v>757</v>
      </c>
      <c r="Q549" s="68">
        <v>197.4</v>
      </c>
      <c r="R549" s="67" t="s">
        <v>758</v>
      </c>
      <c r="S549" s="68">
        <v>213.6</v>
      </c>
      <c r="T549" s="68">
        <f t="shared" si="68"/>
        <v>16.199999999999989</v>
      </c>
      <c r="U549">
        <f t="shared" si="64"/>
        <v>89</v>
      </c>
      <c r="V549">
        <f t="shared" si="69"/>
        <v>10.9</v>
      </c>
      <c r="W549">
        <f t="shared" si="65"/>
        <v>13.01</v>
      </c>
      <c r="X549" s="19">
        <v>45710</v>
      </c>
      <c r="Y549" s="26">
        <v>423</v>
      </c>
      <c r="Z549" s="61">
        <v>0</v>
      </c>
      <c r="AA549" s="61">
        <v>0</v>
      </c>
      <c r="AB549" s="28">
        <f t="shared" si="66"/>
        <v>0.15230460921843689</v>
      </c>
      <c r="AE549" s="61" t="str">
        <f t="shared" si="67"/>
        <v/>
      </c>
      <c r="AF549" s="77" t="str">
        <f>_xlfn.XLOOKUP(AD549,menu!$K$2:$K$9,menu!$J$2:$J$9,"",1)</f>
        <v/>
      </c>
      <c r="AG549" s="80" t="str">
        <f>_xlfn.XLOOKUP(AH549,menu!$O$2:$O$9,menu!$H$2:$H$9,"")</f>
        <v/>
      </c>
      <c r="AI549" t="str">
        <f>_xlfn.LET(_xlpm.x,_xlfn.CONCAT(_xlfn.XLOOKUP(D549,beans!$A$2:$A$300,beans!$J$2:$J$300,"")," / ",_xlfn.XLOOKUP(D549,beans!$A$2:$A$300,beans!$K$2:$K$300,"")," - ",_xlfn.XLOOKUP(D549,beans!$A$2:$A$300,beans!$L$2:$L$300,"")),IF(_xlpm.x=" /  - ","",_xlpm.x))</f>
        <v>吉馬莉姆 / 果美村 - 寶貝藝妓</v>
      </c>
      <c r="AJ549" s="23" t="s">
        <v>759</v>
      </c>
    </row>
    <row r="550" spans="1:36" x14ac:dyDescent="0.3">
      <c r="A550">
        <v>533</v>
      </c>
      <c r="B550">
        <v>498</v>
      </c>
      <c r="D550">
        <v>74</v>
      </c>
      <c r="E550" t="str">
        <f>_xlfn.LET(_xlpm.x,_xlfn.XLOOKUP(D550,beans!$A$2:$A$300,beans!$H$2:$H$300,""),IF(_xlpm.x="","",_xlpm.x))</f>
        <v>瓜地馬拉</v>
      </c>
      <c r="F550" s="22" t="str">
        <f>_xlfn.XLOOKUP(E550,menu!$A$2:$A$37,menu!$B$2:$B$37,"")</f>
        <v>Guatemala</v>
      </c>
      <c r="G550" t="str">
        <f>_xlfn.XLOOKUP(E550,menu!$A$2:$A$37,menu!$C$2:$C$37,"")</f>
        <v>gtm</v>
      </c>
      <c r="H550" t="str">
        <f>_xlfn.LET(_xlpm.x,_xlfn.XLOOKUP(_xlfn.XLOOKUP(D550,beans!$A$2:$A$300,beans!$I$2:$I$300),menu!$E$2:$E$20,menu!$F$2:$F$20),IF(_xlpm.x="","",_xlpm.x))</f>
        <v>natural</v>
      </c>
      <c r="I550">
        <v>200</v>
      </c>
      <c r="J550">
        <v>88</v>
      </c>
      <c r="K550">
        <v>40</v>
      </c>
      <c r="L550">
        <v>90</v>
      </c>
      <c r="M550" s="68" t="s">
        <v>760</v>
      </c>
      <c r="N550">
        <v>83.7</v>
      </c>
      <c r="P550" s="67" t="s">
        <v>761</v>
      </c>
      <c r="Q550" s="68">
        <v>207.1</v>
      </c>
      <c r="R550" s="67" t="s">
        <v>762</v>
      </c>
      <c r="S550" s="68">
        <v>217.6</v>
      </c>
      <c r="T550" s="68">
        <f t="shared" si="68"/>
        <v>10.5</v>
      </c>
      <c r="U550">
        <f t="shared" si="64"/>
        <v>68</v>
      </c>
      <c r="V550">
        <f t="shared" si="69"/>
        <v>9.3000000000000007</v>
      </c>
      <c r="W550">
        <f t="shared" si="65"/>
        <v>10.32</v>
      </c>
      <c r="X550" s="19">
        <v>45710</v>
      </c>
      <c r="Y550" s="26">
        <v>420</v>
      </c>
      <c r="Z550" s="61">
        <v>0</v>
      </c>
      <c r="AA550" s="61">
        <v>0</v>
      </c>
      <c r="AB550" s="28">
        <f t="shared" si="66"/>
        <v>0.15662650602409639</v>
      </c>
      <c r="AE550" s="61" t="str">
        <f t="shared" si="67"/>
        <v/>
      </c>
      <c r="AF550" s="77" t="str">
        <f>_xlfn.XLOOKUP(AD550,menu!$K$2:$K$9,menu!$J$2:$J$9,"",1)</f>
        <v/>
      </c>
      <c r="AG550" s="80" t="str">
        <f>_xlfn.XLOOKUP(AH550,menu!$O$2:$O$9,menu!$H$2:$H$9,"")</f>
        <v/>
      </c>
      <c r="AI550" t="str">
        <f>_xlfn.LET(_xlpm.x,_xlfn.CONCAT(_xlfn.XLOOKUP(D550,beans!$A$2:$A$300,beans!$J$2:$J$300,"")," / ",_xlfn.XLOOKUP(D550,beans!$A$2:$A$300,beans!$K$2:$K$300,"")," - ",_xlfn.XLOOKUP(D550,beans!$A$2:$A$300,beans!$L$2:$L$300,"")),IF(_xlpm.x=" /  - ","",_xlpm.x))</f>
        <v xml:space="preserve"> / 碧雅莊園 - 薇拉沙奇</v>
      </c>
      <c r="AJ550" s="23" t="s">
        <v>763</v>
      </c>
    </row>
    <row r="551" spans="1:36" x14ac:dyDescent="0.3">
      <c r="A551">
        <v>534</v>
      </c>
      <c r="B551">
        <v>489.7</v>
      </c>
      <c r="D551">
        <v>45</v>
      </c>
      <c r="E551" t="str">
        <f>_xlfn.LET(_xlpm.x,_xlfn.XLOOKUP(D551,beans!$A$2:$A$300,beans!$H$2:$H$300,""),IF(_xlpm.x="","",_xlpm.x))</f>
        <v>哥倫比亞</v>
      </c>
      <c r="F551" s="22" t="str">
        <f>_xlfn.XLOOKUP(E551,menu!$A$2:$A$37,menu!$B$2:$B$37,"")</f>
        <v>Colombia</v>
      </c>
      <c r="G551" t="str">
        <f>_xlfn.XLOOKUP(E551,menu!$A$2:$A$37,menu!$C$2:$C$37,"")</f>
        <v>col</v>
      </c>
      <c r="H551" t="str">
        <f>_xlfn.LET(_xlpm.x,_xlfn.XLOOKUP(_xlfn.XLOOKUP(D551,beans!$A$2:$A$300,beans!$I$2:$I$300),menu!$E$2:$E$20,menu!$F$2:$F$20),IF(_xlpm.x="","",_xlpm.x))</f>
        <v>Special</v>
      </c>
      <c r="I551">
        <v>200</v>
      </c>
      <c r="J551">
        <v>88</v>
      </c>
      <c r="K551">
        <v>40</v>
      </c>
      <c r="L551">
        <v>90</v>
      </c>
      <c r="M551" s="68" t="s">
        <v>764</v>
      </c>
      <c r="N551">
        <v>88.2</v>
      </c>
      <c r="P551" s="67" t="s">
        <v>765</v>
      </c>
      <c r="Q551" s="68">
        <v>209.4</v>
      </c>
      <c r="R551" s="67" t="s">
        <v>766</v>
      </c>
      <c r="S551" s="68">
        <v>221.9</v>
      </c>
      <c r="T551" s="68">
        <f t="shared" si="68"/>
        <v>12.5</v>
      </c>
      <c r="U551">
        <f t="shared" si="64"/>
        <v>75</v>
      </c>
      <c r="V551">
        <f t="shared" si="69"/>
        <v>10</v>
      </c>
      <c r="W551">
        <f t="shared" si="65"/>
        <v>11.16</v>
      </c>
      <c r="X551" s="19">
        <v>45710</v>
      </c>
      <c r="Y551" s="26">
        <v>416.5</v>
      </c>
      <c r="Z551" s="61">
        <v>0</v>
      </c>
      <c r="AB551" s="28">
        <f t="shared" si="66"/>
        <v>0.14947927302430059</v>
      </c>
      <c r="AE551" s="61" t="str">
        <f t="shared" si="67"/>
        <v/>
      </c>
      <c r="AF551" s="77" t="str">
        <f>_xlfn.XLOOKUP(AD551,menu!$K$2:$K$9,menu!$J$2:$J$9,"",1)</f>
        <v/>
      </c>
      <c r="AG551" s="80" t="str">
        <f>_xlfn.XLOOKUP(AH551,menu!$O$2:$O$9,menu!$H$2:$H$9,"")</f>
        <v/>
      </c>
      <c r="AI551" t="str">
        <f>_xlfn.LET(_xlpm.x,_xlfn.CONCAT(_xlfn.XLOOKUP(D551,beans!$A$2:$A$300,beans!$J$2:$J$300,"")," / ",_xlfn.XLOOKUP(D551,beans!$A$2:$A$300,beans!$K$2:$K$300,"")," - ",_xlfn.XLOOKUP(D551,beans!$A$2:$A$300,beans!$L$2:$L$300,"")),IF(_xlpm.x=" /  - ","",_xlpm.x))</f>
        <v>薇拉省 / 蒙大布蘭蔻莊園 - 紫卡杜拉</v>
      </c>
      <c r="AJ551" s="23" t="s">
        <v>767</v>
      </c>
    </row>
    <row r="552" spans="1:36" x14ac:dyDescent="0.3">
      <c r="A552">
        <v>535</v>
      </c>
      <c r="B552">
        <v>495</v>
      </c>
      <c r="D552">
        <v>87</v>
      </c>
      <c r="E552" t="str">
        <f>_xlfn.LET(_xlpm.x,_xlfn.XLOOKUP(D552,beans!$A$2:$A$300,beans!$H$2:$H$300,""),IF(_xlpm.x="","",_xlpm.x))</f>
        <v>衣索比亞</v>
      </c>
      <c r="F552" s="22" t="str">
        <f>_xlfn.XLOOKUP(E552,menu!$A$2:$A$37,menu!$B$2:$B$37,"")</f>
        <v>Ethiopia</v>
      </c>
      <c r="G552" t="str">
        <f>_xlfn.XLOOKUP(E552,menu!$A$2:$A$37,menu!$C$2:$C$37,"")</f>
        <v>eth</v>
      </c>
      <c r="H552" t="str">
        <f>_xlfn.LET(_xlpm.x,_xlfn.XLOOKUP(_xlfn.XLOOKUP(D552,beans!$A$2:$A$300,beans!$I$2:$I$300),menu!$E$2:$E$20,menu!$F$2:$F$20),IF(_xlpm.x="","",_xlpm.x))</f>
        <v>washed</v>
      </c>
      <c r="I552">
        <v>200</v>
      </c>
      <c r="J552">
        <v>88</v>
      </c>
      <c r="K552">
        <v>40</v>
      </c>
      <c r="L552">
        <v>90</v>
      </c>
      <c r="M552" s="68" t="s">
        <v>768</v>
      </c>
      <c r="N552">
        <v>82.6</v>
      </c>
      <c r="P552" s="67" t="s">
        <v>769</v>
      </c>
      <c r="Q552" s="68">
        <v>203.1</v>
      </c>
      <c r="R552" s="67" t="s">
        <v>770</v>
      </c>
      <c r="S552" s="68">
        <v>218.3</v>
      </c>
      <c r="T552" s="68">
        <f t="shared" si="68"/>
        <v>15.200000000000017</v>
      </c>
      <c r="U552">
        <f t="shared" si="64"/>
        <v>78</v>
      </c>
      <c r="V552">
        <f t="shared" si="69"/>
        <v>11.7</v>
      </c>
      <c r="W552">
        <f t="shared" si="65"/>
        <v>12.21</v>
      </c>
      <c r="X552" s="19">
        <v>45710</v>
      </c>
      <c r="Y552" s="26">
        <v>424.7</v>
      </c>
      <c r="Z552" s="61">
        <v>0</v>
      </c>
      <c r="AA552" s="61">
        <v>0</v>
      </c>
      <c r="AB552" s="28">
        <f t="shared" si="66"/>
        <v>0.14202020202020205</v>
      </c>
      <c r="AE552" s="61" t="str">
        <f t="shared" si="67"/>
        <v/>
      </c>
      <c r="AF552" s="77" t="str">
        <f>_xlfn.XLOOKUP(AD552,menu!$K$2:$K$9,menu!$J$2:$J$9,"",1)</f>
        <v/>
      </c>
      <c r="AG552" s="80" t="str">
        <f>_xlfn.XLOOKUP(AH552,menu!$O$2:$O$9,menu!$H$2:$H$9,"")</f>
        <v/>
      </c>
      <c r="AI552" t="str">
        <f>_xlfn.LET(_xlpm.x,_xlfn.CONCAT(_xlfn.XLOOKUP(D552,beans!$A$2:$A$300,beans!$J$2:$J$300,"")," / ",_xlfn.XLOOKUP(D552,beans!$A$2:$A$300,beans!$K$2:$K$300,"")," - ",_xlfn.XLOOKUP(D552,beans!$A$2:$A$300,beans!$L$2:$L$300,"")),IF(_xlpm.x=" /  - ","",_xlpm.x))</f>
        <v xml:space="preserve">烏拉嗄 / 索羅門 - </v>
      </c>
      <c r="AJ552" s="23" t="s">
        <v>771</v>
      </c>
    </row>
    <row r="553" spans="1:36" x14ac:dyDescent="0.3">
      <c r="A553">
        <v>536</v>
      </c>
      <c r="B553">
        <v>493.5</v>
      </c>
      <c r="D553">
        <v>86</v>
      </c>
      <c r="E553" t="str">
        <f>_xlfn.LET(_xlpm.x,_xlfn.XLOOKUP(D553,beans!$A$2:$A$300,beans!$H$2:$H$300,""),IF(_xlpm.x="","",_xlpm.x))</f>
        <v>衣索比亞</v>
      </c>
      <c r="F553" s="22" t="str">
        <f>_xlfn.XLOOKUP(E553,menu!$A$2:$A$37,menu!$B$2:$B$37,"")</f>
        <v>Ethiopia</v>
      </c>
      <c r="G553" t="str">
        <f>_xlfn.XLOOKUP(E553,menu!$A$2:$A$37,menu!$C$2:$C$37,"")</f>
        <v>eth</v>
      </c>
      <c r="H553" t="str">
        <f>_xlfn.LET(_xlpm.x,_xlfn.XLOOKUP(_xlfn.XLOOKUP(D553,beans!$A$2:$A$300,beans!$I$2:$I$300),menu!$E$2:$E$20,menu!$F$2:$F$20),IF(_xlpm.x="","",_xlpm.x))</f>
        <v>natural</v>
      </c>
      <c r="I553">
        <v>200</v>
      </c>
      <c r="J553">
        <v>88</v>
      </c>
      <c r="K553">
        <v>40</v>
      </c>
      <c r="L553">
        <v>90</v>
      </c>
      <c r="M553" s="68" t="s">
        <v>772</v>
      </c>
      <c r="N553">
        <v>84.3</v>
      </c>
      <c r="P553" s="67" t="s">
        <v>773</v>
      </c>
      <c r="Q553" s="68">
        <v>205.2</v>
      </c>
      <c r="R553" s="67" t="s">
        <v>774</v>
      </c>
      <c r="S553" s="68">
        <v>224</v>
      </c>
      <c r="T553" s="68">
        <f t="shared" si="68"/>
        <v>18.800000000000011</v>
      </c>
      <c r="U553">
        <f t="shared" si="64"/>
        <v>89</v>
      </c>
      <c r="V553">
        <f t="shared" si="69"/>
        <v>12.7</v>
      </c>
      <c r="W553">
        <f t="shared" si="65"/>
        <v>13.57</v>
      </c>
      <c r="X553" s="19">
        <v>45710</v>
      </c>
      <c r="Y553" s="26">
        <v>418.6</v>
      </c>
      <c r="Z553" s="61">
        <v>0</v>
      </c>
      <c r="AB553" s="28">
        <f t="shared" si="66"/>
        <v>0.15177304964539001</v>
      </c>
      <c r="AE553" s="61" t="str">
        <f t="shared" si="67"/>
        <v/>
      </c>
      <c r="AF553" s="77" t="str">
        <f>_xlfn.XLOOKUP(AD553,menu!$K$2:$K$9,menu!$J$2:$J$9,"",1)</f>
        <v/>
      </c>
      <c r="AG553" s="80" t="str">
        <f>_xlfn.XLOOKUP(AH553,menu!$O$2:$O$9,menu!$H$2:$H$9,"")</f>
        <v/>
      </c>
      <c r="AI553" t="str">
        <f>_xlfn.LET(_xlpm.x,_xlfn.CONCAT(_xlfn.XLOOKUP(D553,beans!$A$2:$A$300,beans!$J$2:$J$300,"")," / ",_xlfn.XLOOKUP(D553,beans!$A$2:$A$300,beans!$K$2:$K$300,"")," - ",_xlfn.XLOOKUP(D553,beans!$A$2:$A$300,beans!$L$2:$L$300,"")),IF(_xlpm.x=" /  - ","",_xlpm.x))</f>
        <v xml:space="preserve">耶加雪菲 / (沃卡)凱菲亞歐蓓絲  Kefeyalew Obese - </v>
      </c>
      <c r="AJ553" s="23" t="s">
        <v>767</v>
      </c>
    </row>
    <row r="554" spans="1:36" x14ac:dyDescent="0.3">
      <c r="A554">
        <v>537</v>
      </c>
      <c r="B554">
        <v>491</v>
      </c>
      <c r="D554">
        <v>88</v>
      </c>
      <c r="E554" t="str">
        <f>_xlfn.LET(_xlpm.x,_xlfn.XLOOKUP(D554,beans!$A$2:$A$300,beans!$H$2:$H$300,""),IF(_xlpm.x="","",_xlpm.x))</f>
        <v>衣索比亞</v>
      </c>
      <c r="F554" s="22" t="str">
        <f>_xlfn.XLOOKUP(E554,menu!$A$2:$A$37,menu!$B$2:$B$37,"")</f>
        <v>Ethiopia</v>
      </c>
      <c r="G554" t="str">
        <f>_xlfn.XLOOKUP(E554,menu!$A$2:$A$37,menu!$C$2:$C$37,"")</f>
        <v>eth</v>
      </c>
      <c r="H554" t="str">
        <f>_xlfn.LET(_xlpm.x,_xlfn.XLOOKUP(_xlfn.XLOOKUP(D554,beans!$A$2:$A$300,beans!$I$2:$I$300),menu!$E$2:$E$20,menu!$F$2:$F$20),IF(_xlpm.x="","",_xlpm.x))</f>
        <v>washed</v>
      </c>
      <c r="I554">
        <v>200</v>
      </c>
      <c r="J554">
        <v>88</v>
      </c>
      <c r="K554">
        <v>40</v>
      </c>
      <c r="L554">
        <v>90</v>
      </c>
      <c r="M554" s="68" t="s">
        <v>775</v>
      </c>
      <c r="N554">
        <v>85.7</v>
      </c>
      <c r="P554" s="67" t="s">
        <v>776</v>
      </c>
      <c r="Q554" s="68">
        <v>198.9</v>
      </c>
      <c r="R554" s="67" t="s">
        <v>777</v>
      </c>
      <c r="S554" s="68">
        <v>218.2</v>
      </c>
      <c r="T554" s="68">
        <f t="shared" si="68"/>
        <v>19.299999999999983</v>
      </c>
      <c r="U554">
        <f t="shared" si="64"/>
        <v>88</v>
      </c>
      <c r="V554">
        <f t="shared" si="69"/>
        <v>13.2</v>
      </c>
      <c r="W554">
        <f t="shared" si="65"/>
        <v>13.6</v>
      </c>
      <c r="X554" s="19">
        <v>45710</v>
      </c>
      <c r="Y554" s="26">
        <v>420</v>
      </c>
      <c r="Z554" s="61">
        <v>0</v>
      </c>
      <c r="AA554" s="61">
        <v>0</v>
      </c>
      <c r="AB554" s="28">
        <f t="shared" si="66"/>
        <v>0.14460285132382891</v>
      </c>
      <c r="AE554" s="61" t="str">
        <f t="shared" si="67"/>
        <v/>
      </c>
      <c r="AF554" s="77" t="str">
        <f>_xlfn.XLOOKUP(AD554,menu!$K$2:$K$9,menu!$J$2:$J$9,"",1)</f>
        <v/>
      </c>
      <c r="AG554" s="80" t="str">
        <f>_xlfn.XLOOKUP(AH554,menu!$O$2:$O$9,menu!$H$2:$H$9,"")</f>
        <v/>
      </c>
      <c r="AI554" t="str">
        <f>_xlfn.LET(_xlpm.x,_xlfn.CONCAT(_xlfn.XLOOKUP(D554,beans!$A$2:$A$300,beans!$J$2:$J$300,"")," / ",_xlfn.XLOOKUP(D554,beans!$A$2:$A$300,beans!$K$2:$K$300,"")," - ",_xlfn.XLOOKUP(D554,beans!$A$2:$A$300,beans!$L$2:$L$300,"")),IF(_xlpm.x=" /  - ","",_xlpm.x))</f>
        <v xml:space="preserve">耶加雪菲 / 柯契爾 畢洛雅 - </v>
      </c>
    </row>
    <row r="555" spans="1:36" x14ac:dyDescent="0.3">
      <c r="A555">
        <v>538</v>
      </c>
      <c r="B555">
        <v>493</v>
      </c>
      <c r="D555">
        <v>85</v>
      </c>
      <c r="E555" t="str">
        <f>_xlfn.LET(_xlpm.x,_xlfn.XLOOKUP(D555,beans!$A$2:$A$300,beans!$H$2:$H$300,""),IF(_xlpm.x="","",_xlpm.x))</f>
        <v>衣索比亞</v>
      </c>
      <c r="F555" s="22" t="str">
        <f>_xlfn.XLOOKUP(E555,menu!$A$2:$A$37,menu!$B$2:$B$37,"")</f>
        <v>Ethiopia</v>
      </c>
      <c r="G555" t="str">
        <f>_xlfn.XLOOKUP(E555,menu!$A$2:$A$37,menu!$C$2:$C$37,"")</f>
        <v>eth</v>
      </c>
      <c r="H555" t="str">
        <f>_xlfn.LET(_xlpm.x,_xlfn.XLOOKUP(_xlfn.XLOOKUP(D555,beans!$A$2:$A$300,beans!$I$2:$I$300),menu!$E$2:$E$20,menu!$F$2:$F$20),IF(_xlpm.x="","",_xlpm.x))</f>
        <v>natural</v>
      </c>
      <c r="I555">
        <v>200</v>
      </c>
      <c r="J555">
        <v>88</v>
      </c>
      <c r="K555">
        <v>40</v>
      </c>
      <c r="L555">
        <v>90</v>
      </c>
      <c r="M555" s="68" t="s">
        <v>772</v>
      </c>
      <c r="N555">
        <v>84.1</v>
      </c>
      <c r="P555" s="67" t="s">
        <v>778</v>
      </c>
      <c r="Q555" s="68">
        <v>209.2</v>
      </c>
      <c r="R555" s="67" t="s">
        <v>779</v>
      </c>
      <c r="S555" s="68">
        <v>220.5</v>
      </c>
      <c r="T555" s="68">
        <f t="shared" si="68"/>
        <v>11.300000000000011</v>
      </c>
      <c r="U555">
        <f t="shared" si="64"/>
        <v>51</v>
      </c>
      <c r="V555">
        <f t="shared" si="69"/>
        <v>13.3</v>
      </c>
      <c r="W555">
        <f t="shared" si="65"/>
        <v>8.15</v>
      </c>
      <c r="X555" s="19">
        <v>45710</v>
      </c>
      <c r="Y555" s="26">
        <v>421.4</v>
      </c>
      <c r="Z555" s="61">
        <v>0</v>
      </c>
      <c r="AA555" s="61">
        <v>0</v>
      </c>
      <c r="AB555" s="28">
        <f t="shared" si="66"/>
        <v>0.14523326572008119</v>
      </c>
      <c r="AE555" s="61" t="str">
        <f t="shared" si="67"/>
        <v/>
      </c>
      <c r="AF555" s="77" t="str">
        <f>_xlfn.XLOOKUP(AD555,menu!$K$2:$K$9,menu!$J$2:$J$9,"",1)</f>
        <v/>
      </c>
      <c r="AG555" s="80" t="str">
        <f>_xlfn.XLOOKUP(AH555,menu!$O$2:$O$9,menu!$H$2:$H$9,"")</f>
        <v/>
      </c>
      <c r="AI555" t="str">
        <f>_xlfn.LET(_xlpm.x,_xlfn.CONCAT(_xlfn.XLOOKUP(D555,beans!$A$2:$A$300,beans!$J$2:$J$300,"")," / ",_xlfn.XLOOKUP(D555,beans!$A$2:$A$300,beans!$K$2:$K$300,"")," - ",_xlfn.XLOOKUP(D555,beans!$A$2:$A$300,beans!$L$2:$L$300,"")),IF(_xlpm.x=" /  - ","",_xlpm.x))</f>
        <v xml:space="preserve">古吉 烏拉嘎 / 寇巴 - </v>
      </c>
      <c r="AJ555" s="23" t="s">
        <v>780</v>
      </c>
    </row>
    <row r="556" spans="1:36" x14ac:dyDescent="0.3">
      <c r="A556">
        <v>539</v>
      </c>
      <c r="B556">
        <v>500</v>
      </c>
      <c r="D556">
        <v>2</v>
      </c>
      <c r="E556" t="str">
        <f>_xlfn.LET(_xlpm.x,_xlfn.XLOOKUP(D556,beans!$A$2:$A$300,beans!$H$2:$H$300,""),IF(_xlpm.x="","",_xlpm.x))</f>
        <v>哥斯大黎加</v>
      </c>
      <c r="F556" s="22" t="str">
        <f>_xlfn.XLOOKUP(E556,menu!$A$2:$A$37,menu!$B$2:$B$37,"")</f>
        <v>Costa Rica</v>
      </c>
      <c r="G556" t="str">
        <f>_xlfn.XLOOKUP(E556,menu!$A$2:$A$37,menu!$C$2:$C$37,"")</f>
        <v>cri</v>
      </c>
      <c r="H556" t="str">
        <f>_xlfn.LET(_xlpm.x,_xlfn.XLOOKUP(_xlfn.XLOOKUP(D556,beans!$A$2:$A$300,beans!$I$2:$I$300),menu!$E$2:$E$20,menu!$F$2:$F$20),IF(_xlpm.x="","",_xlpm.x))</f>
        <v>raisin-honey</v>
      </c>
      <c r="I556">
        <v>200</v>
      </c>
      <c r="J556">
        <v>88</v>
      </c>
      <c r="K556">
        <v>40</v>
      </c>
      <c r="L556">
        <v>90</v>
      </c>
      <c r="M556" s="68" t="s">
        <v>781</v>
      </c>
      <c r="N556">
        <v>84.6</v>
      </c>
      <c r="P556" s="67" t="s">
        <v>782</v>
      </c>
      <c r="Q556" s="68">
        <v>206</v>
      </c>
      <c r="R556" s="67" t="s">
        <v>783</v>
      </c>
      <c r="S556" s="68">
        <v>217.2</v>
      </c>
      <c r="T556" s="68">
        <f t="shared" si="68"/>
        <v>11.199999999999989</v>
      </c>
      <c r="U556">
        <f t="shared" si="64"/>
        <v>53</v>
      </c>
      <c r="V556">
        <f t="shared" si="69"/>
        <v>12.7</v>
      </c>
      <c r="W556">
        <f t="shared" si="65"/>
        <v>8.5299999999999994</v>
      </c>
      <c r="X556" s="19">
        <v>45710</v>
      </c>
      <c r="Y556" s="26">
        <v>434</v>
      </c>
      <c r="Z556" s="61">
        <v>0</v>
      </c>
      <c r="AA556" s="61">
        <v>0</v>
      </c>
      <c r="AB556" s="28">
        <f t="shared" si="66"/>
        <v>0.13200000000000001</v>
      </c>
      <c r="AE556" s="61" t="str">
        <f t="shared" si="67"/>
        <v/>
      </c>
      <c r="AF556" s="77" t="str">
        <f>_xlfn.XLOOKUP(AD556,menu!$K$2:$K$9,menu!$J$2:$J$9,"",1)</f>
        <v/>
      </c>
      <c r="AG556" s="80" t="str">
        <f>_xlfn.XLOOKUP(AH556,menu!$O$2:$O$9,menu!$H$2:$H$9,"")</f>
        <v/>
      </c>
      <c r="AI556" t="str">
        <f>_xlfn.LET(_xlpm.x,_xlfn.CONCAT(_xlfn.XLOOKUP(D556,beans!$A$2:$A$300,beans!$J$2:$J$300,"")," / ",_xlfn.XLOOKUP(D556,beans!$A$2:$A$300,beans!$K$2:$K$300,"")," - ",_xlfn.XLOOKUP(D556,beans!$A$2:$A$300,beans!$L$2:$L$300,"")),IF(_xlpm.x=" /  - ","",_xlpm.x))</f>
        <v xml:space="preserve">Tarrazu / 卡內特 音樂家系列 莫札特 - </v>
      </c>
      <c r="AJ556" s="23" t="s">
        <v>784</v>
      </c>
    </row>
    <row r="557" spans="1:36" x14ac:dyDescent="0.3">
      <c r="A557">
        <v>540</v>
      </c>
      <c r="B557">
        <v>489</v>
      </c>
      <c r="D557">
        <v>69</v>
      </c>
      <c r="E557" t="str">
        <f>_xlfn.LET(_xlpm.x,_xlfn.XLOOKUP(D557,beans!$A$2:$A$300,beans!$H$2:$H$300,""),IF(_xlpm.x="","",_xlpm.x))</f>
        <v>衣索比亞</v>
      </c>
      <c r="F557" s="22" t="str">
        <f>_xlfn.XLOOKUP(E557,menu!$A$2:$A$37,menu!$B$2:$B$37,"")</f>
        <v>Ethiopia</v>
      </c>
      <c r="G557" t="str">
        <f>_xlfn.XLOOKUP(E557,menu!$A$2:$A$37,menu!$C$2:$C$37,"")</f>
        <v>eth</v>
      </c>
      <c r="H557" t="str">
        <f>_xlfn.LET(_xlpm.x,_xlfn.XLOOKUP(_xlfn.XLOOKUP(D557,beans!$A$2:$A$300,beans!$I$2:$I$300),menu!$E$2:$E$20,menu!$F$2:$F$20),IF(_xlpm.x="","",_xlpm.x))</f>
        <v>Anaerobic Natural</v>
      </c>
      <c r="I557">
        <v>200</v>
      </c>
      <c r="J557">
        <v>88</v>
      </c>
      <c r="K557">
        <v>40</v>
      </c>
      <c r="L557">
        <v>90</v>
      </c>
      <c r="M557" s="68" t="s">
        <v>785</v>
      </c>
      <c r="N557">
        <v>89.5</v>
      </c>
      <c r="P557" s="67" t="s">
        <v>786</v>
      </c>
      <c r="Q557" s="68">
        <v>209.2</v>
      </c>
      <c r="R557" s="67" t="s">
        <v>787</v>
      </c>
      <c r="S557" s="68">
        <v>220.8</v>
      </c>
      <c r="T557" s="68">
        <f t="shared" si="68"/>
        <v>11.600000000000023</v>
      </c>
      <c r="U557">
        <f t="shared" si="64"/>
        <v>54</v>
      </c>
      <c r="V557">
        <f t="shared" si="69"/>
        <v>12.9</v>
      </c>
      <c r="W557">
        <f t="shared" si="65"/>
        <v>8.48</v>
      </c>
      <c r="X557" s="19">
        <v>45710</v>
      </c>
      <c r="Y557" s="26">
        <v>410.4</v>
      </c>
      <c r="Z557" s="61">
        <v>0</v>
      </c>
      <c r="AB557" s="28">
        <f t="shared" si="66"/>
        <v>0.16073619631901845</v>
      </c>
      <c r="AE557" s="61" t="str">
        <f t="shared" si="67"/>
        <v/>
      </c>
      <c r="AF557" s="77" t="str">
        <f>_xlfn.XLOOKUP(AD557,menu!$K$2:$K$9,menu!$J$2:$J$9,"",1)</f>
        <v/>
      </c>
      <c r="AG557" s="80" t="str">
        <f>_xlfn.XLOOKUP(AH557,menu!$O$2:$O$9,menu!$H$2:$H$9,"")</f>
        <v>Medium</v>
      </c>
      <c r="AH557" s="81" t="s">
        <v>72</v>
      </c>
      <c r="AI557" t="str">
        <f>_xlfn.LET(_xlpm.x,_xlfn.CONCAT(_xlfn.XLOOKUP(D557,beans!$A$2:$A$300,beans!$J$2:$J$300,"")," / ",_xlfn.XLOOKUP(D557,beans!$A$2:$A$300,beans!$K$2:$K$300,"")," - ",_xlfn.XLOOKUP(D557,beans!$A$2:$A$300,beans!$L$2:$L$300,"")),IF(_xlpm.x=" /  - ","",_xlpm.x))</f>
        <v>古吉烏拉嘎 / 月光酒釀 - 74110/74112</v>
      </c>
      <c r="AJ557" s="23" t="s">
        <v>763</v>
      </c>
    </row>
    <row r="558" spans="1:36" x14ac:dyDescent="0.3">
      <c r="A558">
        <v>541</v>
      </c>
      <c r="B558">
        <v>254.2</v>
      </c>
      <c r="D558">
        <v>43</v>
      </c>
      <c r="E558" t="str">
        <f>_xlfn.LET(_xlpm.x,_xlfn.XLOOKUP(D558,beans!$A$2:$A$300,beans!$H$2:$H$300,""),IF(_xlpm.x="","",_xlpm.x))</f>
        <v>衣索比亞</v>
      </c>
      <c r="F558" s="22" t="str">
        <f>_xlfn.XLOOKUP(E558,menu!$A$2:$A$37,menu!$B$2:$B$37,"")</f>
        <v>Ethiopia</v>
      </c>
      <c r="G558" t="str">
        <f>_xlfn.XLOOKUP(E558,menu!$A$2:$A$37,menu!$C$2:$C$37,"")</f>
        <v>eth</v>
      </c>
      <c r="H558" t="str">
        <f>_xlfn.LET(_xlpm.x,_xlfn.XLOOKUP(_xlfn.XLOOKUP(D558,beans!$A$2:$A$300,beans!$I$2:$I$300),menu!$E$2:$E$20,menu!$F$2:$F$20),IF(_xlpm.x="","",_xlpm.x))</f>
        <v>natural</v>
      </c>
      <c r="I558">
        <v>200</v>
      </c>
      <c r="J558">
        <v>80</v>
      </c>
      <c r="K558">
        <v>40</v>
      </c>
      <c r="L558">
        <v>70</v>
      </c>
      <c r="M558" s="68" t="s">
        <v>772</v>
      </c>
      <c r="N558">
        <v>86.9</v>
      </c>
      <c r="P558" s="67" t="s">
        <v>788</v>
      </c>
      <c r="Q558" s="68">
        <v>210</v>
      </c>
      <c r="R558" s="67" t="s">
        <v>789</v>
      </c>
      <c r="S558" s="68">
        <v>221.1</v>
      </c>
      <c r="T558" s="68">
        <f t="shared" si="68"/>
        <v>11.099999999999994</v>
      </c>
      <c r="U558">
        <f t="shared" si="64"/>
        <v>46</v>
      </c>
      <c r="V558">
        <f t="shared" si="69"/>
        <v>14.5</v>
      </c>
      <c r="W558">
        <f t="shared" si="65"/>
        <v>7.36</v>
      </c>
      <c r="X558" s="19">
        <v>45710</v>
      </c>
      <c r="Y558" s="26">
        <v>218.8</v>
      </c>
      <c r="Z558" s="61">
        <v>0</v>
      </c>
      <c r="AB558" s="28">
        <f t="shared" si="66"/>
        <v>0.13926042486231305</v>
      </c>
      <c r="AE558" s="61" t="str">
        <f t="shared" si="67"/>
        <v/>
      </c>
      <c r="AF558" s="77" t="str">
        <f>_xlfn.XLOOKUP(AD558,menu!$K$2:$K$9,menu!$J$2:$J$9,"",1)</f>
        <v/>
      </c>
      <c r="AG558" s="80" t="str">
        <f>_xlfn.XLOOKUP(AH558,menu!$O$2:$O$9,menu!$H$2:$H$9,"")</f>
        <v>Medium</v>
      </c>
      <c r="AH558" s="81" t="s">
        <v>72</v>
      </c>
      <c r="AI558" t="str">
        <f>_xlfn.LET(_xlpm.x,_xlfn.CONCAT(_xlfn.XLOOKUP(D558,beans!$A$2:$A$300,beans!$J$2:$J$300,"")," / ",_xlfn.XLOOKUP(D558,beans!$A$2:$A$300,beans!$K$2:$K$300,"")," - ",_xlfn.XLOOKUP(D558,beans!$A$2:$A$300,beans!$L$2:$L$300,"")),IF(_xlpm.x=" /  - ","",_xlpm.x))</f>
        <v>西達馬 / 朵望丘合作社 - 74110</v>
      </c>
      <c r="AJ558" s="23" t="s">
        <v>790</v>
      </c>
    </row>
    <row r="559" spans="1:36" x14ac:dyDescent="0.3">
      <c r="A559">
        <v>542</v>
      </c>
      <c r="B559">
        <v>500</v>
      </c>
      <c r="D559">
        <v>85</v>
      </c>
      <c r="E559" t="str">
        <f>_xlfn.LET(_xlpm.x,_xlfn.XLOOKUP(D559,beans!$A$2:$A$300,beans!$H$2:$H$300,""),IF(_xlpm.x="","",_xlpm.x))</f>
        <v>衣索比亞</v>
      </c>
      <c r="F559" s="22" t="str">
        <f>_xlfn.XLOOKUP(E559,menu!$A$2:$A$37,menu!$B$2:$B$37,"")</f>
        <v>Ethiopia</v>
      </c>
      <c r="G559" t="str">
        <f>_xlfn.XLOOKUP(E559,menu!$A$2:$A$37,menu!$C$2:$C$37,"")</f>
        <v>eth</v>
      </c>
      <c r="H559" t="str">
        <f>_xlfn.LET(_xlpm.x,_xlfn.XLOOKUP(_xlfn.XLOOKUP(D559,beans!$A$2:$A$300,beans!$I$2:$I$300),menu!$E$2:$E$20,menu!$F$2:$F$20),IF(_xlpm.x="","",_xlpm.x))</f>
        <v>natural</v>
      </c>
      <c r="I559">
        <v>200</v>
      </c>
      <c r="J559">
        <v>80</v>
      </c>
      <c r="K559">
        <v>35</v>
      </c>
      <c r="L559">
        <v>90</v>
      </c>
      <c r="M559" s="68" t="s">
        <v>54</v>
      </c>
      <c r="N559">
        <v>85.4</v>
      </c>
      <c r="P559" s="67" t="s">
        <v>558</v>
      </c>
      <c r="Q559" s="68">
        <v>201.2</v>
      </c>
      <c r="R559" s="67" t="s">
        <v>137</v>
      </c>
      <c r="S559" s="68">
        <v>222.9</v>
      </c>
      <c r="T559" s="68">
        <f t="shared" si="68"/>
        <v>21.700000000000017</v>
      </c>
      <c r="U559">
        <f t="shared" si="64"/>
        <v>108</v>
      </c>
      <c r="V559">
        <f t="shared" si="69"/>
        <v>12.1</v>
      </c>
      <c r="W559">
        <f t="shared" si="65"/>
        <v>16.12</v>
      </c>
      <c r="X559" s="19">
        <v>45718</v>
      </c>
      <c r="Y559" s="26">
        <v>422</v>
      </c>
      <c r="Z559" s="61">
        <v>0</v>
      </c>
      <c r="AB559" s="28">
        <f t="shared" si="66"/>
        <v>0.156</v>
      </c>
      <c r="AE559" s="61" t="str">
        <f t="shared" si="67"/>
        <v/>
      </c>
      <c r="AF559" s="77" t="str">
        <f>_xlfn.XLOOKUP(AD559,menu!$K$2:$K$9,menu!$J$2:$J$9,"",1)</f>
        <v/>
      </c>
      <c r="AG559" s="80" t="str">
        <f>_xlfn.XLOOKUP(AH559,menu!$O$2:$O$9,menu!$H$2:$H$9,"")</f>
        <v>Medium</v>
      </c>
      <c r="AH559" s="81" t="s">
        <v>72</v>
      </c>
      <c r="AI559" t="str">
        <f>_xlfn.LET(_xlpm.x,_xlfn.CONCAT(_xlfn.XLOOKUP(D559,beans!$A$2:$A$300,beans!$J$2:$J$300,"")," / ",_xlfn.XLOOKUP(D559,beans!$A$2:$A$300,beans!$K$2:$K$300,"")," - ",_xlfn.XLOOKUP(D559,beans!$A$2:$A$300,beans!$L$2:$L$300,"")),IF(_xlpm.x=" /  - ","",_xlpm.x))</f>
        <v xml:space="preserve">古吉 烏拉嘎 / 寇巴 - </v>
      </c>
      <c r="AJ559" s="23" t="s">
        <v>791</v>
      </c>
    </row>
    <row r="560" spans="1:36" x14ac:dyDescent="0.3">
      <c r="A560">
        <v>543</v>
      </c>
      <c r="B560">
        <v>478</v>
      </c>
      <c r="D560">
        <v>85</v>
      </c>
      <c r="E560" t="str">
        <f>_xlfn.LET(_xlpm.x,_xlfn.XLOOKUP(D560,beans!$A$2:$A$300,beans!$H$2:$H$300,""),IF(_xlpm.x="","",_xlpm.x))</f>
        <v>衣索比亞</v>
      </c>
      <c r="F560" s="22" t="str">
        <f>_xlfn.XLOOKUP(E560,menu!$A$2:$A$37,menu!$B$2:$B$37,"")</f>
        <v>Ethiopia</v>
      </c>
      <c r="G560" t="str">
        <f>_xlfn.XLOOKUP(E560,menu!$A$2:$A$37,menu!$C$2:$C$37,"")</f>
        <v>eth</v>
      </c>
      <c r="H560" t="str">
        <f>_xlfn.LET(_xlpm.x,_xlfn.XLOOKUP(_xlfn.XLOOKUP(D560,beans!$A$2:$A$300,beans!$I$2:$I$300),menu!$E$2:$E$20,menu!$F$2:$F$20),IF(_xlpm.x="","",_xlpm.x))</f>
        <v>natural</v>
      </c>
      <c r="I560">
        <v>200</v>
      </c>
      <c r="J560">
        <v>80</v>
      </c>
      <c r="K560">
        <v>35</v>
      </c>
      <c r="L560">
        <v>90</v>
      </c>
      <c r="M560" s="68" t="s">
        <v>121</v>
      </c>
      <c r="N560">
        <v>86.2</v>
      </c>
      <c r="P560" s="67" t="s">
        <v>738</v>
      </c>
      <c r="Q560" s="68">
        <v>203.8</v>
      </c>
      <c r="R560" s="67" t="s">
        <v>420</v>
      </c>
      <c r="S560" s="68">
        <v>222.4</v>
      </c>
      <c r="T560" s="68">
        <f t="shared" si="68"/>
        <v>18.599999999999994</v>
      </c>
      <c r="U560">
        <f t="shared" si="64"/>
        <v>86</v>
      </c>
      <c r="V560">
        <f t="shared" si="69"/>
        <v>13</v>
      </c>
      <c r="W560">
        <f t="shared" si="65"/>
        <v>13.78</v>
      </c>
      <c r="X560" s="19">
        <v>45718</v>
      </c>
      <c r="Y560" s="26">
        <v>405.2</v>
      </c>
      <c r="Z560" s="61">
        <v>0</v>
      </c>
      <c r="AB560" s="28">
        <f t="shared" si="66"/>
        <v>0.15230125523012555</v>
      </c>
      <c r="AE560" s="61" t="str">
        <f t="shared" si="67"/>
        <v/>
      </c>
      <c r="AF560" s="77" t="str">
        <f>_xlfn.XLOOKUP(AD560,menu!$K$2:$K$9,menu!$J$2:$J$9,"",1)</f>
        <v/>
      </c>
      <c r="AG560" s="80" t="str">
        <f>_xlfn.XLOOKUP(AH560,menu!$O$2:$O$9,menu!$H$2:$H$9,"")</f>
        <v>Medium</v>
      </c>
      <c r="AH560" s="81" t="s">
        <v>72</v>
      </c>
      <c r="AI560" t="str">
        <f>_xlfn.LET(_xlpm.x,_xlfn.CONCAT(_xlfn.XLOOKUP(D560,beans!$A$2:$A$300,beans!$J$2:$J$300,"")," / ",_xlfn.XLOOKUP(D560,beans!$A$2:$A$300,beans!$K$2:$K$300,"")," - ",_xlfn.XLOOKUP(D560,beans!$A$2:$A$300,beans!$L$2:$L$300,"")),IF(_xlpm.x=" /  - ","",_xlpm.x))</f>
        <v xml:space="preserve">古吉 烏拉嘎 / 寇巴 - </v>
      </c>
      <c r="AJ560" s="23" t="s">
        <v>791</v>
      </c>
    </row>
    <row r="561" spans="1:36" x14ac:dyDescent="0.3">
      <c r="A561">
        <v>544</v>
      </c>
      <c r="B561">
        <v>495</v>
      </c>
      <c r="D561">
        <v>94</v>
      </c>
      <c r="E561" t="str">
        <f>_xlfn.LET(_xlpm.x,_xlfn.XLOOKUP(D561,beans!$A$2:$A$300,beans!$H$2:$H$300,""),IF(_xlpm.x="","",_xlpm.x))</f>
        <v>巴西</v>
      </c>
      <c r="F561" s="22" t="str">
        <f>_xlfn.XLOOKUP(E561,menu!$A$2:$A$37,menu!$B$2:$B$37,"")</f>
        <v>Brazli</v>
      </c>
      <c r="G561" t="str">
        <f>_xlfn.XLOOKUP(E561,menu!$A$2:$A$37,menu!$C$2:$C$37,"")</f>
        <v>bra</v>
      </c>
      <c r="H561" t="str">
        <f>_xlfn.LET(_xlpm.x,_xlfn.XLOOKUP(_xlfn.XLOOKUP(D561,beans!$A$2:$A$300,beans!$I$2:$I$300),menu!$E$2:$E$20,menu!$F$2:$F$20),IF(_xlpm.x="","",_xlpm.x))</f>
        <v>washed</v>
      </c>
      <c r="I561">
        <v>200</v>
      </c>
      <c r="J561">
        <v>80</v>
      </c>
      <c r="K561">
        <v>40</v>
      </c>
      <c r="L561">
        <v>90</v>
      </c>
      <c r="M561" s="68" t="s">
        <v>75</v>
      </c>
      <c r="N561">
        <v>83.8</v>
      </c>
      <c r="P561" s="67" t="s">
        <v>482</v>
      </c>
      <c r="Q561" s="68">
        <v>199.8</v>
      </c>
      <c r="R561" s="67" t="s">
        <v>460</v>
      </c>
      <c r="S561" s="68">
        <v>237.5</v>
      </c>
      <c r="T561" s="68">
        <f t="shared" si="68"/>
        <v>37.699999999999989</v>
      </c>
      <c r="U561">
        <f t="shared" si="64"/>
        <v>153</v>
      </c>
      <c r="V561">
        <f t="shared" si="69"/>
        <v>14.8</v>
      </c>
      <c r="W561">
        <f t="shared" si="65"/>
        <v>21.79</v>
      </c>
      <c r="X561" s="19">
        <v>45731</v>
      </c>
      <c r="Y561" s="26">
        <v>415.5</v>
      </c>
      <c r="Z561" s="61">
        <v>0</v>
      </c>
      <c r="AB561" s="28">
        <f t="shared" si="66"/>
        <v>0.16060606060606061</v>
      </c>
      <c r="AE561" s="61" t="str">
        <f t="shared" si="67"/>
        <v/>
      </c>
      <c r="AF561" s="77" t="str">
        <f>_xlfn.XLOOKUP(AD561,menu!$K$2:$K$9,menu!$J$2:$J$9,"",1)</f>
        <v/>
      </c>
      <c r="AG561" s="80" t="str">
        <f>_xlfn.XLOOKUP(AH561,menu!$O$2:$O$9,menu!$H$2:$H$9,"")</f>
        <v/>
      </c>
      <c r="AI561" t="str">
        <f>_xlfn.LET(_xlpm.x,_xlfn.CONCAT(_xlfn.XLOOKUP(D561,beans!$A$2:$A$300,beans!$J$2:$J$300,"")," / ",_xlfn.XLOOKUP(D561,beans!$A$2:$A$300,beans!$K$2:$K$300,"")," - ",_xlfn.XLOOKUP(D561,beans!$A$2:$A$300,beans!$L$2:$L$300,"")),IF(_xlpm.x=" /  - ","",_xlpm.x))</f>
        <v>南米納斯 / 伊帕內瑪莊園 - 黃波本</v>
      </c>
      <c r="AJ561" s="23" t="s">
        <v>225</v>
      </c>
    </row>
    <row r="562" spans="1:36" x14ac:dyDescent="0.3">
      <c r="A562">
        <v>545</v>
      </c>
      <c r="B562">
        <v>495</v>
      </c>
      <c r="D562">
        <v>88</v>
      </c>
      <c r="E562" t="str">
        <f>_xlfn.LET(_xlpm.x,_xlfn.XLOOKUP(D562,beans!$A$2:$A$300,beans!$H$2:$H$300,""),IF(_xlpm.x="","",_xlpm.x))</f>
        <v>衣索比亞</v>
      </c>
      <c r="F562" s="22" t="str">
        <f>_xlfn.XLOOKUP(E562,menu!$A$2:$A$37,menu!$B$2:$B$37,"")</f>
        <v>Ethiopia</v>
      </c>
      <c r="G562" t="str">
        <f>_xlfn.XLOOKUP(E562,menu!$A$2:$A$37,menu!$C$2:$C$37,"")</f>
        <v>eth</v>
      </c>
      <c r="H562" t="str">
        <f>_xlfn.LET(_xlpm.x,_xlfn.XLOOKUP(_xlfn.XLOOKUP(D562,beans!$A$2:$A$300,beans!$I$2:$I$300),menu!$E$2:$E$20,menu!$F$2:$F$20),IF(_xlpm.x="","",_xlpm.x))</f>
        <v>washed</v>
      </c>
      <c r="I562">
        <v>200</v>
      </c>
      <c r="J562">
        <v>80</v>
      </c>
      <c r="K562">
        <v>40</v>
      </c>
      <c r="L562">
        <v>90</v>
      </c>
      <c r="M562" s="68" t="s">
        <v>75</v>
      </c>
      <c r="N562">
        <v>84</v>
      </c>
      <c r="P562" s="67" t="s">
        <v>427</v>
      </c>
      <c r="Q562" s="68">
        <v>200.9</v>
      </c>
      <c r="R562" s="67" t="s">
        <v>532</v>
      </c>
      <c r="S562" s="68">
        <v>220.1</v>
      </c>
      <c r="T562" s="68">
        <f t="shared" si="68"/>
        <v>19.199999999999989</v>
      </c>
      <c r="U562">
        <f t="shared" si="64"/>
        <v>93</v>
      </c>
      <c r="V562">
        <f t="shared" si="69"/>
        <v>12.4</v>
      </c>
      <c r="W562">
        <f t="shared" si="65"/>
        <v>13.7</v>
      </c>
      <c r="X562" s="19">
        <v>45731</v>
      </c>
      <c r="Y562" s="26">
        <v>420.5</v>
      </c>
      <c r="Z562" s="61">
        <v>0</v>
      </c>
      <c r="AB562" s="28">
        <f t="shared" si="66"/>
        <v>0.1505050505050505</v>
      </c>
      <c r="AE562" s="61" t="str">
        <f t="shared" si="67"/>
        <v/>
      </c>
      <c r="AF562" s="77" t="str">
        <f>_xlfn.XLOOKUP(AD562,menu!$K$2:$K$9,menu!$J$2:$J$9,"",1)</f>
        <v/>
      </c>
      <c r="AG562" s="80" t="str">
        <f>_xlfn.XLOOKUP(AH562,menu!$O$2:$O$9,menu!$H$2:$H$9,"")</f>
        <v/>
      </c>
      <c r="AI562" t="str">
        <f>_xlfn.LET(_xlpm.x,_xlfn.CONCAT(_xlfn.XLOOKUP(D562,beans!$A$2:$A$300,beans!$J$2:$J$300,"")," / ",_xlfn.XLOOKUP(D562,beans!$A$2:$A$300,beans!$K$2:$K$300,"")," - ",_xlfn.XLOOKUP(D562,beans!$A$2:$A$300,beans!$L$2:$L$300,"")),IF(_xlpm.x=" /  - ","",_xlpm.x))</f>
        <v xml:space="preserve">耶加雪菲 / 柯契爾 畢洛雅 - </v>
      </c>
      <c r="AJ562" s="23" t="s">
        <v>792</v>
      </c>
    </row>
    <row r="563" spans="1:36" x14ac:dyDescent="0.3">
      <c r="A563">
        <v>546</v>
      </c>
      <c r="B563">
        <v>492.5</v>
      </c>
      <c r="D563">
        <v>87</v>
      </c>
      <c r="E563" t="str">
        <f>_xlfn.LET(_xlpm.x,_xlfn.XLOOKUP(D563,beans!$A$2:$A$300,beans!$H$2:$H$300,""),IF(_xlpm.x="","",_xlpm.x))</f>
        <v>衣索比亞</v>
      </c>
      <c r="F563" s="22" t="str">
        <f>_xlfn.XLOOKUP(E563,menu!$A$2:$A$37,menu!$B$2:$B$37,"")</f>
        <v>Ethiopia</v>
      </c>
      <c r="G563" t="str">
        <f>_xlfn.XLOOKUP(E563,menu!$A$2:$A$37,menu!$C$2:$C$37,"")</f>
        <v>eth</v>
      </c>
      <c r="H563" t="str">
        <f>_xlfn.LET(_xlpm.x,_xlfn.XLOOKUP(_xlfn.XLOOKUP(D563,beans!$A$2:$A$300,beans!$I$2:$I$300),menu!$E$2:$E$20,menu!$F$2:$F$20),IF(_xlpm.x="","",_xlpm.x))</f>
        <v>washed</v>
      </c>
      <c r="I563">
        <v>200</v>
      </c>
      <c r="J563">
        <v>80</v>
      </c>
      <c r="K563">
        <v>40</v>
      </c>
      <c r="L563">
        <v>90</v>
      </c>
      <c r="M563" s="68" t="s">
        <v>163</v>
      </c>
      <c r="N563">
        <v>84.2</v>
      </c>
      <c r="P563" s="67" t="s">
        <v>549</v>
      </c>
      <c r="Q563" s="68">
        <v>199.9</v>
      </c>
      <c r="R563" s="67" t="s">
        <v>245</v>
      </c>
      <c r="S563" s="68">
        <v>219.7</v>
      </c>
      <c r="T563" s="68">
        <f t="shared" si="68"/>
        <v>19.799999999999983</v>
      </c>
      <c r="U563">
        <f t="shared" si="64"/>
        <v>100</v>
      </c>
      <c r="V563">
        <f t="shared" si="69"/>
        <v>11.9</v>
      </c>
      <c r="W563">
        <f t="shared" si="65"/>
        <v>15.43</v>
      </c>
      <c r="X563" s="19">
        <v>45731</v>
      </c>
      <c r="Y563" s="26">
        <v>422</v>
      </c>
      <c r="Z563" s="61">
        <v>0</v>
      </c>
      <c r="AB563" s="28">
        <f t="shared" si="66"/>
        <v>0.14314720812182741</v>
      </c>
      <c r="AE563" s="61" t="str">
        <f t="shared" si="67"/>
        <v/>
      </c>
      <c r="AF563" s="77" t="str">
        <f>_xlfn.XLOOKUP(AD563,menu!$K$2:$K$9,menu!$J$2:$J$9,"",1)</f>
        <v/>
      </c>
      <c r="AG563" s="80" t="str">
        <f>_xlfn.XLOOKUP(AH563,menu!$O$2:$O$9,menu!$H$2:$H$9,"")</f>
        <v/>
      </c>
      <c r="AI563" t="str">
        <f>_xlfn.LET(_xlpm.x,_xlfn.CONCAT(_xlfn.XLOOKUP(D563,beans!$A$2:$A$300,beans!$J$2:$J$300,"")," / ",_xlfn.XLOOKUP(D563,beans!$A$2:$A$300,beans!$K$2:$K$300,"")," - ",_xlfn.XLOOKUP(D563,beans!$A$2:$A$300,beans!$L$2:$L$300,"")),IF(_xlpm.x=" /  - ","",_xlpm.x))</f>
        <v xml:space="preserve">烏拉嗄 / 索羅門 - </v>
      </c>
      <c r="AJ563" s="23" t="s">
        <v>652</v>
      </c>
    </row>
    <row r="564" spans="1:36" x14ac:dyDescent="0.3">
      <c r="A564">
        <v>547</v>
      </c>
      <c r="B564">
        <v>496.5</v>
      </c>
      <c r="D564">
        <v>78</v>
      </c>
      <c r="E564" t="str">
        <f>_xlfn.LET(_xlpm.x,_xlfn.XLOOKUP(D564,beans!$A$2:$A$300,beans!$H$2:$H$300,""),IF(_xlpm.x="","",_xlpm.x))</f>
        <v>衣索比亞</v>
      </c>
      <c r="F564" s="22" t="str">
        <f>_xlfn.XLOOKUP(E564,menu!$A$2:$A$37,menu!$B$2:$B$37,"")</f>
        <v>Ethiopia</v>
      </c>
      <c r="G564" t="str">
        <f>_xlfn.XLOOKUP(E564,menu!$A$2:$A$37,menu!$C$2:$C$37,"")</f>
        <v>eth</v>
      </c>
      <c r="H564" t="str">
        <f>_xlfn.LET(_xlpm.x,_xlfn.XLOOKUP(_xlfn.XLOOKUP(D564,beans!$A$2:$A$300,beans!$I$2:$I$300),menu!$E$2:$E$20,menu!$F$2:$F$20),IF(_xlpm.x="","",_xlpm.x))</f>
        <v>honey</v>
      </c>
      <c r="I564">
        <v>200</v>
      </c>
      <c r="J564">
        <v>80</v>
      </c>
      <c r="K564">
        <v>45</v>
      </c>
      <c r="L564">
        <v>90</v>
      </c>
      <c r="M564" s="68" t="s">
        <v>71</v>
      </c>
      <c r="N564">
        <v>84</v>
      </c>
      <c r="P564" s="67" t="s">
        <v>443</v>
      </c>
      <c r="Q564" s="68">
        <v>203.4</v>
      </c>
      <c r="R564" s="67" t="s">
        <v>398</v>
      </c>
      <c r="S564" s="68">
        <v>220.5</v>
      </c>
      <c r="T564" s="68">
        <f t="shared" si="68"/>
        <v>17.099999999999994</v>
      </c>
      <c r="U564">
        <f t="shared" si="64"/>
        <v>76</v>
      </c>
      <c r="V564">
        <f t="shared" si="69"/>
        <v>13.5</v>
      </c>
      <c r="W564">
        <f t="shared" si="65"/>
        <v>11.36</v>
      </c>
      <c r="X564" s="19">
        <v>45731</v>
      </c>
      <c r="Y564" s="26">
        <v>418</v>
      </c>
      <c r="Z564" s="61">
        <v>0</v>
      </c>
      <c r="AB564" s="28">
        <f t="shared" si="66"/>
        <v>0.1581067472306143</v>
      </c>
      <c r="AE564" s="61" t="str">
        <f t="shared" si="67"/>
        <v/>
      </c>
      <c r="AF564" s="77" t="str">
        <f>_xlfn.XLOOKUP(AD564,menu!$K$2:$K$9,menu!$J$2:$J$9,"",1)</f>
        <v/>
      </c>
      <c r="AG564" s="80" t="str">
        <f>_xlfn.XLOOKUP(AH564,menu!$O$2:$O$9,menu!$H$2:$H$9,"")</f>
        <v/>
      </c>
      <c r="AI564" t="str">
        <f>_xlfn.LET(_xlpm.x,_xlfn.CONCAT(_xlfn.XLOOKUP(D564,beans!$A$2:$A$300,beans!$J$2:$J$300,"")," / ",_xlfn.XLOOKUP(D564,beans!$A$2:$A$300,beans!$K$2:$K$300,"")," - ",_xlfn.XLOOKUP(D564,beans!$A$2:$A$300,beans!$L$2:$L$300,"")),IF(_xlpm.x=" /  - ","",_xlpm.x))</f>
        <v xml:space="preserve">耶加雪菲 / 科克 - </v>
      </c>
      <c r="AJ564" s="23" t="s">
        <v>792</v>
      </c>
    </row>
    <row r="565" spans="1:36" x14ac:dyDescent="0.3">
      <c r="A565">
        <v>548</v>
      </c>
      <c r="B565">
        <v>489</v>
      </c>
      <c r="D565">
        <v>78</v>
      </c>
      <c r="E565" t="str">
        <f>_xlfn.LET(_xlpm.x,_xlfn.XLOOKUP(D565,beans!$A$2:$A$300,beans!$H$2:$H$300,""),IF(_xlpm.x="","",_xlpm.x))</f>
        <v>衣索比亞</v>
      </c>
      <c r="F565" s="22" t="str">
        <f>_xlfn.XLOOKUP(E565,menu!$A$2:$A$37,menu!$B$2:$B$37,"")</f>
        <v>Ethiopia</v>
      </c>
      <c r="G565" t="str">
        <f>_xlfn.XLOOKUP(E565,menu!$A$2:$A$37,menu!$C$2:$C$37,"")</f>
        <v>eth</v>
      </c>
      <c r="H565" t="str">
        <f>_xlfn.LET(_xlpm.x,_xlfn.XLOOKUP(_xlfn.XLOOKUP(D565,beans!$A$2:$A$300,beans!$I$2:$I$300),menu!$E$2:$E$20,menu!$F$2:$F$20),IF(_xlpm.x="","",_xlpm.x))</f>
        <v>honey</v>
      </c>
      <c r="I565">
        <v>200</v>
      </c>
      <c r="J565">
        <v>80</v>
      </c>
      <c r="K565">
        <v>45</v>
      </c>
      <c r="L565">
        <v>90</v>
      </c>
      <c r="M565" s="68" t="s">
        <v>207</v>
      </c>
      <c r="N565">
        <v>85.1</v>
      </c>
      <c r="P565" s="67" t="s">
        <v>102</v>
      </c>
      <c r="Q565" s="68">
        <v>206.6</v>
      </c>
      <c r="R565" s="67" t="s">
        <v>504</v>
      </c>
      <c r="S565" s="68">
        <v>221.1</v>
      </c>
      <c r="T565" s="68">
        <f t="shared" si="68"/>
        <v>14.5</v>
      </c>
      <c r="U565">
        <f t="shared" si="64"/>
        <v>51</v>
      </c>
      <c r="V565">
        <f t="shared" si="69"/>
        <v>17.100000000000001</v>
      </c>
      <c r="W565">
        <f t="shared" si="65"/>
        <v>8.27</v>
      </c>
      <c r="X565" s="19">
        <v>45731</v>
      </c>
      <c r="Y565" s="26">
        <v>418</v>
      </c>
      <c r="Z565" s="61">
        <v>0</v>
      </c>
      <c r="AB565" s="28">
        <f t="shared" si="66"/>
        <v>0.14519427402862986</v>
      </c>
      <c r="AE565" s="61" t="str">
        <f t="shared" si="67"/>
        <v/>
      </c>
      <c r="AF565" s="77" t="str">
        <f>_xlfn.XLOOKUP(AD565,menu!$K$2:$K$9,menu!$J$2:$J$9,"",1)</f>
        <v/>
      </c>
      <c r="AG565" s="80" t="str">
        <f>_xlfn.XLOOKUP(AH565,menu!$O$2:$O$9,menu!$H$2:$H$9,"")</f>
        <v/>
      </c>
      <c r="AI565" t="str">
        <f>_xlfn.LET(_xlpm.x,_xlfn.CONCAT(_xlfn.XLOOKUP(D565,beans!$A$2:$A$300,beans!$J$2:$J$300,"")," / ",_xlfn.XLOOKUP(D565,beans!$A$2:$A$300,beans!$K$2:$K$300,"")," - ",_xlfn.XLOOKUP(D565,beans!$A$2:$A$300,beans!$L$2:$L$300,"")),IF(_xlpm.x=" /  - ","",_xlpm.x))</f>
        <v xml:space="preserve">耶加雪菲 / 科克 - </v>
      </c>
      <c r="AJ565" s="23" t="s">
        <v>793</v>
      </c>
    </row>
    <row r="566" spans="1:36" x14ac:dyDescent="0.3">
      <c r="A566">
        <v>549</v>
      </c>
      <c r="B566">
        <v>488</v>
      </c>
      <c r="D566">
        <v>75</v>
      </c>
      <c r="E566" t="str">
        <f>_xlfn.LET(_xlpm.x,_xlfn.XLOOKUP(D566,beans!$A$2:$A$300,beans!$H$2:$H$300,""),IF(_xlpm.x="","",_xlpm.x))</f>
        <v>瓜地馬拉</v>
      </c>
      <c r="F566" s="22" t="str">
        <f>_xlfn.XLOOKUP(E566,menu!$A$2:$A$37,menu!$B$2:$B$37,"")</f>
        <v>Guatemala</v>
      </c>
      <c r="G566" t="str">
        <f>_xlfn.XLOOKUP(E566,menu!$A$2:$A$37,menu!$C$2:$C$37,"")</f>
        <v>gtm</v>
      </c>
      <c r="H566" t="str">
        <f>_xlfn.LET(_xlpm.x,_xlfn.XLOOKUP(_xlfn.XLOOKUP(D566,beans!$A$2:$A$300,beans!$I$2:$I$300),menu!$E$2:$E$20,menu!$F$2:$F$20),IF(_xlpm.x="","",_xlpm.x))</f>
        <v>Anaerobic Natural</v>
      </c>
      <c r="I566">
        <v>200</v>
      </c>
      <c r="J566">
        <v>80</v>
      </c>
      <c r="K566">
        <v>45</v>
      </c>
      <c r="L566">
        <v>90</v>
      </c>
      <c r="M566" s="68" t="s">
        <v>54</v>
      </c>
      <c r="N566">
        <v>84.6</v>
      </c>
      <c r="P566" s="67" t="s">
        <v>549</v>
      </c>
      <c r="Q566" s="68">
        <v>206.6</v>
      </c>
      <c r="R566" s="67" t="s">
        <v>243</v>
      </c>
      <c r="S566" s="68">
        <v>221.1</v>
      </c>
      <c r="T566" s="68">
        <f t="shared" si="68"/>
        <v>14.5</v>
      </c>
      <c r="U566">
        <f t="shared" si="64"/>
        <v>60</v>
      </c>
      <c r="V566">
        <f t="shared" si="69"/>
        <v>14.5</v>
      </c>
      <c r="W566">
        <f t="shared" si="65"/>
        <v>9.8699999999999992</v>
      </c>
      <c r="X566" s="19">
        <v>45731</v>
      </c>
      <c r="Y566" s="26">
        <v>423</v>
      </c>
      <c r="Z566" s="61">
        <v>0</v>
      </c>
      <c r="AB566" s="28">
        <f t="shared" si="66"/>
        <v>0.13319672131147542</v>
      </c>
      <c r="AE566" s="61" t="str">
        <f t="shared" si="67"/>
        <v/>
      </c>
      <c r="AF566" s="77" t="str">
        <f>_xlfn.XLOOKUP(AD566,menu!$K$2:$K$9,menu!$J$2:$J$9,"",1)</f>
        <v/>
      </c>
      <c r="AG566" s="80" t="str">
        <f>_xlfn.XLOOKUP(AH566,menu!$O$2:$O$9,menu!$H$2:$H$9,"")</f>
        <v/>
      </c>
      <c r="AI566" t="str">
        <f>_xlfn.LET(_xlpm.x,_xlfn.CONCAT(_xlfn.XLOOKUP(D566,beans!$A$2:$A$300,beans!$J$2:$J$300,"")," / ",_xlfn.XLOOKUP(D566,beans!$A$2:$A$300,beans!$K$2:$K$300,"")," - ",_xlfn.XLOOKUP(D566,beans!$A$2:$A$300,beans!$L$2:$L$300,"")),IF(_xlpm.x=" /  - ","",_xlpm.x))</f>
        <v xml:space="preserve">新東方 / 小農批次 - </v>
      </c>
      <c r="AJ566" s="23" t="s">
        <v>652</v>
      </c>
    </row>
    <row r="567" spans="1:36" x14ac:dyDescent="0.3">
      <c r="A567">
        <v>550</v>
      </c>
      <c r="B567">
        <v>489</v>
      </c>
      <c r="D567">
        <v>75</v>
      </c>
      <c r="E567" t="str">
        <f>_xlfn.LET(_xlpm.x,_xlfn.XLOOKUP(D567,beans!$A$2:$A$300,beans!$H$2:$H$300,""),IF(_xlpm.x="","",_xlpm.x))</f>
        <v>瓜地馬拉</v>
      </c>
      <c r="F567" s="22" t="str">
        <f>_xlfn.XLOOKUP(E567,menu!$A$2:$A$37,menu!$B$2:$B$37,"")</f>
        <v>Guatemala</v>
      </c>
      <c r="G567" t="str">
        <f>_xlfn.XLOOKUP(E567,menu!$A$2:$A$37,menu!$C$2:$C$37,"")</f>
        <v>gtm</v>
      </c>
      <c r="H567" t="str">
        <f>_xlfn.LET(_xlpm.x,_xlfn.XLOOKUP(_xlfn.XLOOKUP(D567,beans!$A$2:$A$300,beans!$I$2:$I$300),menu!$E$2:$E$20,menu!$F$2:$F$20),IF(_xlpm.x="","",_xlpm.x))</f>
        <v>Anaerobic Natural</v>
      </c>
      <c r="I567">
        <v>200</v>
      </c>
      <c r="J567">
        <v>80</v>
      </c>
      <c r="K567">
        <v>45</v>
      </c>
      <c r="L567">
        <v>90</v>
      </c>
      <c r="M567" s="68" t="s">
        <v>190</v>
      </c>
      <c r="N567">
        <v>85</v>
      </c>
      <c r="P567" s="67" t="s">
        <v>111</v>
      </c>
      <c r="Q567" s="68">
        <v>207.2</v>
      </c>
      <c r="R567" s="67" t="s">
        <v>354</v>
      </c>
      <c r="S567" s="68">
        <v>220.5</v>
      </c>
      <c r="T567" s="68">
        <f t="shared" si="68"/>
        <v>13.300000000000011</v>
      </c>
      <c r="U567">
        <f t="shared" si="64"/>
        <v>61</v>
      </c>
      <c r="V567">
        <f t="shared" si="69"/>
        <v>13.1</v>
      </c>
      <c r="W567">
        <f t="shared" si="65"/>
        <v>9.85</v>
      </c>
      <c r="X567" s="19">
        <v>45731</v>
      </c>
      <c r="Y567" s="26">
        <v>423</v>
      </c>
      <c r="Z567" s="61">
        <v>0</v>
      </c>
      <c r="AB567" s="28">
        <f t="shared" si="66"/>
        <v>0.13496932515337423</v>
      </c>
      <c r="AE567" s="61" t="str">
        <f t="shared" si="67"/>
        <v/>
      </c>
      <c r="AF567" s="77" t="str">
        <f>_xlfn.XLOOKUP(AD567,menu!$K$2:$K$9,menu!$J$2:$J$9,"",1)</f>
        <v/>
      </c>
      <c r="AG567" s="80" t="str">
        <f>_xlfn.XLOOKUP(AH567,menu!$O$2:$O$9,menu!$H$2:$H$9,"")</f>
        <v/>
      </c>
      <c r="AI567" t="str">
        <f>_xlfn.LET(_xlpm.x,_xlfn.CONCAT(_xlfn.XLOOKUP(D567,beans!$A$2:$A$300,beans!$J$2:$J$300,"")," / ",_xlfn.XLOOKUP(D567,beans!$A$2:$A$300,beans!$K$2:$K$300,"")," - ",_xlfn.XLOOKUP(D567,beans!$A$2:$A$300,beans!$L$2:$L$300,"")),IF(_xlpm.x=" /  - ","",_xlpm.x))</f>
        <v xml:space="preserve">新東方 / 小農批次 - </v>
      </c>
      <c r="AJ567" s="23" t="s">
        <v>652</v>
      </c>
    </row>
    <row r="568" spans="1:36" x14ac:dyDescent="0.3">
      <c r="A568">
        <v>551</v>
      </c>
      <c r="B568">
        <v>494</v>
      </c>
      <c r="D568">
        <v>75</v>
      </c>
      <c r="E568" t="str">
        <f>_xlfn.LET(_xlpm.x,_xlfn.XLOOKUP(D568,beans!$A$2:$A$300,beans!$H$2:$H$300,""),IF(_xlpm.x="","",_xlpm.x))</f>
        <v>瓜地馬拉</v>
      </c>
      <c r="F568" s="22" t="str">
        <f>_xlfn.XLOOKUP(E568,menu!$A$2:$A$37,menu!$B$2:$B$37,"")</f>
        <v>Guatemala</v>
      </c>
      <c r="G568" t="str">
        <f>_xlfn.XLOOKUP(E568,menu!$A$2:$A$37,menu!$C$2:$C$37,"")</f>
        <v>gtm</v>
      </c>
      <c r="H568" t="str">
        <f>_xlfn.LET(_xlpm.x,_xlfn.XLOOKUP(_xlfn.XLOOKUP(D568,beans!$A$2:$A$300,beans!$I$2:$I$300),menu!$E$2:$E$20,menu!$F$2:$F$20),IF(_xlpm.x="","",_xlpm.x))</f>
        <v>Anaerobic Natural</v>
      </c>
      <c r="I568">
        <v>200</v>
      </c>
      <c r="J568">
        <v>80</v>
      </c>
      <c r="K568">
        <v>45</v>
      </c>
      <c r="L568">
        <v>90</v>
      </c>
      <c r="M568" s="68" t="s">
        <v>190</v>
      </c>
      <c r="N568">
        <v>84.7</v>
      </c>
      <c r="P568" s="67" t="s">
        <v>655</v>
      </c>
      <c r="Q568" s="68">
        <v>204.4</v>
      </c>
      <c r="R568" s="67" t="s">
        <v>707</v>
      </c>
      <c r="S568" s="68">
        <v>220.5</v>
      </c>
      <c r="T568" s="68">
        <f t="shared" si="68"/>
        <v>16.099999999999994</v>
      </c>
      <c r="U568">
        <f t="shared" si="64"/>
        <v>65</v>
      </c>
      <c r="V568">
        <f t="shared" si="69"/>
        <v>14.9</v>
      </c>
      <c r="W568">
        <f t="shared" si="65"/>
        <v>10.66</v>
      </c>
      <c r="X568" s="19">
        <v>45731</v>
      </c>
      <c r="Y568" s="26">
        <v>428</v>
      </c>
      <c r="Z568" s="61">
        <v>0</v>
      </c>
      <c r="AB568" s="28">
        <f t="shared" si="66"/>
        <v>0.13360323886639677</v>
      </c>
      <c r="AE568" s="61" t="str">
        <f t="shared" si="67"/>
        <v/>
      </c>
      <c r="AF568" s="77" t="str">
        <f>_xlfn.XLOOKUP(AD568,menu!$K$2:$K$9,menu!$J$2:$J$9,"",1)</f>
        <v/>
      </c>
      <c r="AG568" s="80" t="str">
        <f>_xlfn.XLOOKUP(AH568,menu!$O$2:$O$9,menu!$H$2:$H$9,"")</f>
        <v/>
      </c>
      <c r="AI568" t="str">
        <f>_xlfn.LET(_xlpm.x,_xlfn.CONCAT(_xlfn.XLOOKUP(D568,beans!$A$2:$A$300,beans!$J$2:$J$300,"")," / ",_xlfn.XLOOKUP(D568,beans!$A$2:$A$300,beans!$K$2:$K$300,"")," - ",_xlfn.XLOOKUP(D568,beans!$A$2:$A$300,beans!$L$2:$L$300,"")),IF(_xlpm.x=" /  - ","",_xlpm.x))</f>
        <v xml:space="preserve">新東方 / 小農批次 - </v>
      </c>
      <c r="AJ568" s="23" t="s">
        <v>794</v>
      </c>
    </row>
    <row r="569" spans="1:36" x14ac:dyDescent="0.3">
      <c r="A569">
        <v>552</v>
      </c>
      <c r="B569">
        <v>500</v>
      </c>
      <c r="D569">
        <v>34</v>
      </c>
      <c r="E569" t="str">
        <f>_xlfn.LET(_xlpm.x,_xlfn.XLOOKUP(D569,beans!$A$2:$A$300,beans!$H$2:$H$300,""),IF(_xlpm.x="","",_xlpm.x))</f>
        <v>哥倫比亞</v>
      </c>
      <c r="F569" s="22" t="str">
        <f>_xlfn.XLOOKUP(E569,menu!$A$2:$A$37,menu!$B$2:$B$37,"")</f>
        <v>Colombia</v>
      </c>
      <c r="G569" t="str">
        <f>_xlfn.XLOOKUP(E569,menu!$A$2:$A$37,menu!$C$2:$C$37,"")</f>
        <v>col</v>
      </c>
      <c r="H569" t="str">
        <f>_xlfn.LET(_xlpm.x,_xlfn.XLOOKUP(_xlfn.XLOOKUP(D569,beans!$A$2:$A$300,beans!$I$2:$I$300),menu!$E$2:$E$20,menu!$F$2:$F$20),IF(_xlpm.x="","",_xlpm.x))</f>
        <v>Honey Purple Pop</v>
      </c>
      <c r="I569">
        <v>190</v>
      </c>
      <c r="J569">
        <v>88</v>
      </c>
      <c r="K569">
        <v>40</v>
      </c>
      <c r="L569">
        <v>90</v>
      </c>
      <c r="M569" s="68" t="s">
        <v>109</v>
      </c>
      <c r="N569">
        <v>85.3</v>
      </c>
      <c r="P569" s="67" t="s">
        <v>289</v>
      </c>
      <c r="Q569" s="68">
        <v>205.2</v>
      </c>
      <c r="R569" s="67" t="s">
        <v>237</v>
      </c>
      <c r="S569" s="68">
        <v>213.8</v>
      </c>
      <c r="T569" s="68">
        <f t="shared" si="68"/>
        <v>8.6000000000000227</v>
      </c>
      <c r="U569">
        <f t="shared" si="64"/>
        <v>48</v>
      </c>
      <c r="V569">
        <f t="shared" si="69"/>
        <v>10.8</v>
      </c>
      <c r="W569">
        <f t="shared" si="65"/>
        <v>7.68</v>
      </c>
      <c r="X569" s="19">
        <v>45731</v>
      </c>
      <c r="Y569" s="26">
        <v>427.7</v>
      </c>
      <c r="Z569" s="61">
        <v>0</v>
      </c>
      <c r="AA569" s="61">
        <v>0</v>
      </c>
      <c r="AB569" s="28">
        <f t="shared" si="66"/>
        <v>0.14460000000000003</v>
      </c>
      <c r="AE569" s="61" t="str">
        <f t="shared" si="67"/>
        <v/>
      </c>
      <c r="AF569" s="77" t="str">
        <f>_xlfn.XLOOKUP(AD569,menu!$K$2:$K$9,menu!$J$2:$J$9,"",1)</f>
        <v/>
      </c>
      <c r="AG569" s="80" t="str">
        <f>_xlfn.XLOOKUP(AH569,menu!$O$2:$O$9,menu!$H$2:$H$9,"")</f>
        <v/>
      </c>
      <c r="AI569" t="str">
        <f>_xlfn.LET(_xlpm.x,_xlfn.CONCAT(_xlfn.XLOOKUP(D569,beans!$A$2:$A$300,beans!$J$2:$J$300,"")," / ",_xlfn.XLOOKUP(D569,beans!$A$2:$A$300,beans!$K$2:$K$300,"")," - ",_xlfn.XLOOKUP(D569,beans!$A$2:$A$300,beans!$L$2:$L$300,"")),IF(_xlpm.x=" /  - ","",_xlpm.x))</f>
        <v>Genova, Quindio / 蘇利亞莊園 粉紅波旁 白玉葡萄 蜜處理 - Pink Borubon</v>
      </c>
    </row>
    <row r="570" spans="1:36" x14ac:dyDescent="0.3">
      <c r="A570">
        <v>553</v>
      </c>
      <c r="B570">
        <v>497</v>
      </c>
      <c r="D570">
        <v>59</v>
      </c>
      <c r="E570" t="str">
        <f>_xlfn.LET(_xlpm.x,_xlfn.XLOOKUP(D570,beans!$A$2:$A$300,beans!$H$2:$H$300,""),IF(_xlpm.x="","",_xlpm.x))</f>
        <v>哥倫比亞</v>
      </c>
      <c r="F570" s="22" t="str">
        <f>_xlfn.XLOOKUP(E570,menu!$A$2:$A$37,menu!$B$2:$B$37,"")</f>
        <v>Colombia</v>
      </c>
      <c r="G570" t="str">
        <f>_xlfn.XLOOKUP(E570,menu!$A$2:$A$37,menu!$C$2:$C$37,"")</f>
        <v>col</v>
      </c>
      <c r="H570" t="str">
        <f>_xlfn.LET(_xlpm.x,_xlfn.XLOOKUP(_xlfn.XLOOKUP(D570,beans!$A$2:$A$300,beans!$I$2:$I$300),menu!$E$2:$E$20,menu!$F$2:$F$20),IF(_xlpm.x="","",_xlpm.x))</f>
        <v>Anaerobic Natural</v>
      </c>
      <c r="I570">
        <v>190</v>
      </c>
      <c r="J570">
        <v>88</v>
      </c>
      <c r="K570">
        <v>40</v>
      </c>
      <c r="L570">
        <v>90</v>
      </c>
      <c r="M570" s="68" t="s">
        <v>125</v>
      </c>
      <c r="N570">
        <v>84.3</v>
      </c>
      <c r="P570" s="67" t="s">
        <v>687</v>
      </c>
      <c r="Q570" s="68">
        <v>202.2</v>
      </c>
      <c r="R570" s="67" t="s">
        <v>586</v>
      </c>
      <c r="S570" s="68">
        <v>210.8</v>
      </c>
      <c r="T570" s="68">
        <f t="shared" si="68"/>
        <v>8.6000000000000227</v>
      </c>
      <c r="U570">
        <f t="shared" si="64"/>
        <v>47</v>
      </c>
      <c r="V570">
        <f t="shared" si="69"/>
        <v>11</v>
      </c>
      <c r="W570">
        <f t="shared" si="65"/>
        <v>8.01</v>
      </c>
      <c r="X570" s="19">
        <v>45731</v>
      </c>
      <c r="Y570" s="26">
        <v>433.6</v>
      </c>
      <c r="Z570" s="61">
        <v>0</v>
      </c>
      <c r="AA570" s="61">
        <v>0</v>
      </c>
      <c r="AB570" s="28">
        <f t="shared" si="66"/>
        <v>0.1275653923541247</v>
      </c>
      <c r="AE570" s="61" t="str">
        <f t="shared" si="67"/>
        <v/>
      </c>
      <c r="AF570" s="77" t="str">
        <f>_xlfn.XLOOKUP(AD570,menu!$K$2:$K$9,menu!$J$2:$J$9,"",1)</f>
        <v/>
      </c>
      <c r="AG570" s="80" t="str">
        <f>_xlfn.XLOOKUP(AH570,menu!$O$2:$O$9,menu!$H$2:$H$9,"")</f>
        <v/>
      </c>
      <c r="AI570" t="str">
        <f>_xlfn.LET(_xlpm.x,_xlfn.CONCAT(_xlfn.XLOOKUP(D570,beans!$A$2:$A$300,beans!$J$2:$J$300,"")," / ",_xlfn.XLOOKUP(D570,beans!$A$2:$A$300,beans!$K$2:$K$300,"")," - ",_xlfn.XLOOKUP(D570,beans!$A$2:$A$300,beans!$L$2:$L$300,"")),IF(_xlpm.x=" /  - ","",_xlpm.x))</f>
        <v>金巴亞 金迪奧 / El Danubio Estate 粉桃甜心 - 卡杜拉</v>
      </c>
    </row>
    <row r="571" spans="1:36" x14ac:dyDescent="0.3">
      <c r="A571">
        <v>554</v>
      </c>
      <c r="B571">
        <v>247</v>
      </c>
      <c r="D571">
        <v>84</v>
      </c>
      <c r="E571" t="str">
        <f>_xlfn.LET(_xlpm.x,_xlfn.XLOOKUP(D571,beans!$A$2:$A$300,beans!$H$2:$H$300,""),IF(_xlpm.x="","",_xlpm.x))</f>
        <v>哥倫比亞</v>
      </c>
      <c r="F571" s="22" t="str">
        <f>_xlfn.XLOOKUP(E571,menu!$A$2:$A$37,menu!$B$2:$B$37,"")</f>
        <v>Colombia</v>
      </c>
      <c r="G571" t="str">
        <f>_xlfn.XLOOKUP(E571,menu!$A$2:$A$37,menu!$C$2:$C$37,"")</f>
        <v>col</v>
      </c>
      <c r="H571" t="str">
        <f>_xlfn.LET(_xlpm.x,_xlfn.XLOOKUP(_xlfn.XLOOKUP(D571,beans!$A$2:$A$300,beans!$I$2:$I$300),menu!$E$2:$E$20,menu!$F$2:$F$20),IF(_xlpm.x="","",_xlpm.x))</f>
        <v>Anaerobic Washed</v>
      </c>
      <c r="I571">
        <v>190</v>
      </c>
      <c r="J571">
        <v>80</v>
      </c>
      <c r="K571">
        <v>40</v>
      </c>
      <c r="L571">
        <v>70</v>
      </c>
      <c r="M571" s="68" t="s">
        <v>75</v>
      </c>
      <c r="N571">
        <v>87.7</v>
      </c>
      <c r="P571" s="67" t="s">
        <v>640</v>
      </c>
      <c r="Q571" s="68">
        <v>206</v>
      </c>
      <c r="R571" s="67" t="s">
        <v>343</v>
      </c>
      <c r="S571" s="68">
        <v>212.4</v>
      </c>
      <c r="T571" s="68">
        <f t="shared" si="68"/>
        <v>6.4000000000000057</v>
      </c>
      <c r="U571">
        <f t="shared" si="64"/>
        <v>35</v>
      </c>
      <c r="V571">
        <f t="shared" si="69"/>
        <v>11</v>
      </c>
      <c r="W571">
        <f t="shared" si="65"/>
        <v>5.94</v>
      </c>
      <c r="X571" s="19">
        <v>45731</v>
      </c>
      <c r="Y571" s="26">
        <v>216</v>
      </c>
      <c r="Z571" s="61">
        <v>0</v>
      </c>
      <c r="AB571" s="28">
        <f t="shared" si="66"/>
        <v>0.12550607287449392</v>
      </c>
      <c r="AE571" s="61" t="str">
        <f t="shared" si="67"/>
        <v/>
      </c>
      <c r="AF571" s="77" t="str">
        <f>_xlfn.XLOOKUP(AD571,menu!$K$2:$K$9,menu!$J$2:$J$9,"",1)</f>
        <v/>
      </c>
      <c r="AG571" s="80" t="str">
        <f>_xlfn.XLOOKUP(AH571,menu!$O$2:$O$9,menu!$H$2:$H$9,"")</f>
        <v/>
      </c>
      <c r="AI571" t="str">
        <f>_xlfn.LET(_xlpm.x,_xlfn.CONCAT(_xlfn.XLOOKUP(D571,beans!$A$2:$A$300,beans!$J$2:$J$300,"")," / ",_xlfn.XLOOKUP(D571,beans!$A$2:$A$300,beans!$K$2:$K$300,"")," - ",_xlfn.XLOOKUP(D571,beans!$A$2:$A$300,beans!$L$2:$L$300,"")),IF(_xlpm.x=" /  - ","",_xlpm.x))</f>
        <v xml:space="preserve">瑪格麗特 / 玉荷包荔枝 - </v>
      </c>
    </row>
    <row r="572" spans="1:36" x14ac:dyDescent="0.3">
      <c r="A572">
        <v>555</v>
      </c>
      <c r="B572">
        <v>493</v>
      </c>
      <c r="D572">
        <v>89</v>
      </c>
      <c r="E572" t="str">
        <f>_xlfn.LET(_xlpm.x,_xlfn.XLOOKUP(D572,beans!$A$2:$A$300,beans!$H$2:$H$300,""),IF(_xlpm.x="","",_xlpm.x))</f>
        <v>衣索比亞</v>
      </c>
      <c r="F572" s="22" t="str">
        <f>_xlfn.XLOOKUP(E572,menu!$A$2:$A$37,menu!$B$2:$B$37,"")</f>
        <v>Ethiopia</v>
      </c>
      <c r="G572" t="str">
        <f>_xlfn.XLOOKUP(E572,menu!$A$2:$A$37,menu!$C$2:$C$37,"")</f>
        <v>eth</v>
      </c>
      <c r="H572" t="str">
        <f>_xlfn.LET(_xlpm.x,_xlfn.XLOOKUP(_xlfn.XLOOKUP(D572,beans!$A$2:$A$300,beans!$I$2:$I$300),menu!$E$2:$E$20,menu!$F$2:$F$20),IF(_xlpm.x="","",_xlpm.x))</f>
        <v>natural</v>
      </c>
      <c r="I572">
        <v>190</v>
      </c>
      <c r="J572">
        <v>80</v>
      </c>
      <c r="K572">
        <v>40</v>
      </c>
      <c r="L572">
        <v>90</v>
      </c>
      <c r="M572" s="68" t="s">
        <v>71</v>
      </c>
      <c r="N572">
        <v>78.400000000000006</v>
      </c>
      <c r="P572" s="67" t="s">
        <v>653</v>
      </c>
      <c r="Q572" s="68">
        <v>202.7</v>
      </c>
      <c r="R572" s="67" t="s">
        <v>174</v>
      </c>
      <c r="S572" s="68">
        <v>216.3</v>
      </c>
      <c r="T572" s="68">
        <f t="shared" si="68"/>
        <v>13.600000000000023</v>
      </c>
      <c r="U572">
        <f t="shared" si="64"/>
        <v>50</v>
      </c>
      <c r="V572">
        <f t="shared" si="69"/>
        <v>16.3</v>
      </c>
      <c r="W572">
        <f t="shared" si="65"/>
        <v>7.84</v>
      </c>
      <c r="X572" s="19">
        <v>45731</v>
      </c>
      <c r="Y572" s="26">
        <v>423</v>
      </c>
      <c r="Z572" s="61">
        <v>0</v>
      </c>
      <c r="AB572" s="28">
        <f t="shared" si="66"/>
        <v>0.14198782961460446</v>
      </c>
      <c r="AE572" s="61" t="str">
        <f t="shared" si="67"/>
        <v/>
      </c>
      <c r="AF572" s="77" t="str">
        <f>_xlfn.XLOOKUP(AD572,menu!$K$2:$K$9,menu!$J$2:$J$9,"",1)</f>
        <v/>
      </c>
      <c r="AG572" s="80" t="str">
        <f>_xlfn.XLOOKUP(AH572,menu!$O$2:$O$9,menu!$H$2:$H$9,"")</f>
        <v/>
      </c>
      <c r="AI572" t="str">
        <f>_xlfn.LET(_xlpm.x,_xlfn.CONCAT(_xlfn.XLOOKUP(D572,beans!$A$2:$A$300,beans!$J$2:$J$300,"")," / ",_xlfn.XLOOKUP(D572,beans!$A$2:$A$300,beans!$K$2:$K$300,"")," - ",_xlfn.XLOOKUP(D572,beans!$A$2:$A$300,beans!$L$2:$L$300,"")),IF(_xlpm.x=" /  - ","",_xlpm.x))</f>
        <v xml:space="preserve">西達摩 / 聖塔瓦娜 - </v>
      </c>
      <c r="AJ572" s="23" t="s">
        <v>795</v>
      </c>
    </row>
    <row r="573" spans="1:36" x14ac:dyDescent="0.3">
      <c r="A573">
        <v>556</v>
      </c>
      <c r="B573">
        <v>492</v>
      </c>
      <c r="D573">
        <v>90</v>
      </c>
      <c r="E573" t="str">
        <f>_xlfn.LET(_xlpm.x,_xlfn.XLOOKUP(D573,beans!$A$2:$A$300,beans!$H$2:$H$300,""),IF(_xlpm.x="","",_xlpm.x))</f>
        <v>衣索比亞</v>
      </c>
      <c r="F573" s="22" t="str">
        <f>_xlfn.XLOOKUP(E573,menu!$A$2:$A$37,menu!$B$2:$B$37,"")</f>
        <v>Ethiopia</v>
      </c>
      <c r="G573" t="str">
        <f>_xlfn.XLOOKUP(E573,menu!$A$2:$A$37,menu!$C$2:$C$37,"")</f>
        <v>eth</v>
      </c>
      <c r="H573" t="str">
        <f>_xlfn.LET(_xlpm.x,_xlfn.XLOOKUP(_xlfn.XLOOKUP(D573,beans!$A$2:$A$300,beans!$I$2:$I$300),menu!$E$2:$E$20,menu!$F$2:$F$20),IF(_xlpm.x="","",_xlpm.x))</f>
        <v>natural</v>
      </c>
      <c r="I573">
        <v>190</v>
      </c>
      <c r="J573">
        <v>80</v>
      </c>
      <c r="K573">
        <v>45</v>
      </c>
      <c r="L573">
        <v>90</v>
      </c>
      <c r="M573" s="68" t="s">
        <v>157</v>
      </c>
      <c r="N573">
        <v>81.3</v>
      </c>
      <c r="P573" s="67" t="s">
        <v>97</v>
      </c>
      <c r="Q573" s="68">
        <v>203.7</v>
      </c>
      <c r="R573" s="67" t="s">
        <v>541</v>
      </c>
      <c r="S573" s="68">
        <v>218</v>
      </c>
      <c r="T573" s="68">
        <f t="shared" si="68"/>
        <v>14.300000000000011</v>
      </c>
      <c r="U573">
        <f t="shared" si="64"/>
        <v>59</v>
      </c>
      <c r="V573">
        <f t="shared" si="69"/>
        <v>14.5</v>
      </c>
      <c r="W573">
        <f t="shared" si="65"/>
        <v>9.2899999999999991</v>
      </c>
      <c r="X573" s="19">
        <v>45731</v>
      </c>
      <c r="Y573" s="26">
        <v>422.5</v>
      </c>
      <c r="Z573" s="61">
        <v>0</v>
      </c>
      <c r="AA573" s="61">
        <v>0</v>
      </c>
      <c r="AB573" s="28">
        <f t="shared" si="66"/>
        <v>0.14126016260162602</v>
      </c>
      <c r="AE573" s="61" t="str">
        <f t="shared" si="67"/>
        <v/>
      </c>
      <c r="AF573" s="77" t="str">
        <f>_xlfn.XLOOKUP(AD573,menu!$K$2:$K$9,menu!$J$2:$J$9,"",1)</f>
        <v/>
      </c>
      <c r="AG573" s="80" t="str">
        <f>_xlfn.XLOOKUP(AH573,menu!$O$2:$O$9,menu!$H$2:$H$9,"")</f>
        <v/>
      </c>
      <c r="AI573" t="str">
        <f>_xlfn.LET(_xlpm.x,_xlfn.CONCAT(_xlfn.XLOOKUP(D573,beans!$A$2:$A$300,beans!$J$2:$J$300,"")," / ",_xlfn.XLOOKUP(D573,beans!$A$2:$A$300,beans!$K$2:$K$300,"")," - ",_xlfn.XLOOKUP(D573,beans!$A$2:$A$300,beans!$L$2:$L$300,"")),IF(_xlpm.x=" /  - ","",_xlpm.x))</f>
        <v xml:space="preserve">利姆 / 格拉莊園 - </v>
      </c>
      <c r="AJ573" s="23" t="s">
        <v>796</v>
      </c>
    </row>
    <row r="574" spans="1:36" x14ac:dyDescent="0.3">
      <c r="A574">
        <v>557</v>
      </c>
      <c r="B574">
        <v>492</v>
      </c>
      <c r="D574">
        <v>83</v>
      </c>
      <c r="E574" t="str">
        <f>_xlfn.LET(_xlpm.x,_xlfn.XLOOKUP(D574,beans!$A$2:$A$300,beans!$H$2:$H$300,""),IF(_xlpm.x="","",_xlpm.x))</f>
        <v>印尼</v>
      </c>
      <c r="F574" s="22" t="str">
        <f>_xlfn.XLOOKUP(E574,menu!$A$2:$A$37,menu!$B$2:$B$37,"")</f>
        <v>Indonisia</v>
      </c>
      <c r="G574" t="str">
        <f>_xlfn.XLOOKUP(E574,menu!$A$2:$A$37,menu!$C$2:$C$37,"")</f>
        <v>idn</v>
      </c>
      <c r="H574" t="str">
        <f>_xlfn.LET(_xlpm.x,_xlfn.XLOOKUP(_xlfn.XLOOKUP(D574,beans!$A$2:$A$300,beans!$I$2:$I$300),menu!$E$2:$E$20,menu!$F$2:$F$20),IF(_xlpm.x="","",_xlpm.x))</f>
        <v>washed</v>
      </c>
      <c r="I574">
        <v>190</v>
      </c>
      <c r="J574">
        <v>80</v>
      </c>
      <c r="K574">
        <v>45</v>
      </c>
      <c r="L574">
        <v>90</v>
      </c>
      <c r="M574" s="68" t="s">
        <v>213</v>
      </c>
      <c r="N574">
        <v>83.8</v>
      </c>
      <c r="P574" s="67" t="s">
        <v>554</v>
      </c>
      <c r="Q574" s="68">
        <v>197.7</v>
      </c>
      <c r="R574" s="67" t="s">
        <v>405</v>
      </c>
      <c r="S574" s="68">
        <v>218.6</v>
      </c>
      <c r="T574" s="68">
        <f t="shared" si="68"/>
        <v>20.900000000000006</v>
      </c>
      <c r="U574">
        <f t="shared" si="64"/>
        <v>98</v>
      </c>
      <c r="V574">
        <f t="shared" si="69"/>
        <v>12.8</v>
      </c>
      <c r="W574">
        <f t="shared" si="65"/>
        <v>14.04</v>
      </c>
      <c r="X574" s="19">
        <v>45731</v>
      </c>
      <c r="Y574" s="26">
        <v>400</v>
      </c>
      <c r="Z574" s="61">
        <v>0</v>
      </c>
      <c r="AB574" s="28">
        <f t="shared" si="66"/>
        <v>0.18699186991869918</v>
      </c>
      <c r="AE574" s="61" t="str">
        <f t="shared" si="67"/>
        <v/>
      </c>
      <c r="AF574" s="77" t="str">
        <f>_xlfn.XLOOKUP(AD574,menu!$K$2:$K$9,menu!$J$2:$J$9,"",1)</f>
        <v/>
      </c>
      <c r="AG574" s="80" t="str">
        <f>_xlfn.XLOOKUP(AH574,menu!$O$2:$O$9,menu!$H$2:$H$9,"")</f>
        <v/>
      </c>
      <c r="AI574" t="str">
        <f>_xlfn.LET(_xlpm.x,_xlfn.CONCAT(_xlfn.XLOOKUP(D574,beans!$A$2:$A$300,beans!$J$2:$J$300,"")," / ",_xlfn.XLOOKUP(D574,beans!$A$2:$A$300,beans!$K$2:$K$300,"")," - ",_xlfn.XLOOKUP(D574,beans!$A$2:$A$300,beans!$L$2:$L$300,"")),IF(_xlpm.x=" /  - ","",_xlpm.x))</f>
        <v xml:space="preserve"> / 曼特寧 - </v>
      </c>
      <c r="AJ574" s="23" t="s">
        <v>797</v>
      </c>
    </row>
    <row r="575" spans="1:36" x14ac:dyDescent="0.3">
      <c r="A575">
        <v>558</v>
      </c>
      <c r="B575">
        <v>249</v>
      </c>
      <c r="D575">
        <v>89</v>
      </c>
      <c r="E575" t="str">
        <f>_xlfn.LET(_xlpm.x,_xlfn.XLOOKUP(D575,beans!$A$2:$A$300,beans!$H$2:$H$300,""),IF(_xlpm.x="","",_xlpm.x))</f>
        <v>衣索比亞</v>
      </c>
      <c r="F575" s="22" t="str">
        <f>_xlfn.XLOOKUP(E575,menu!$A$2:$A$37,menu!$B$2:$B$37,"")</f>
        <v>Ethiopia</v>
      </c>
      <c r="G575" t="str">
        <f>_xlfn.XLOOKUP(E575,menu!$A$2:$A$37,menu!$C$2:$C$37,"")</f>
        <v>eth</v>
      </c>
      <c r="H575" t="str">
        <f>_xlfn.LET(_xlpm.x,_xlfn.XLOOKUP(_xlfn.XLOOKUP(D575,beans!$A$2:$A$300,beans!$I$2:$I$300),menu!$E$2:$E$20,menu!$F$2:$F$20),IF(_xlpm.x="","",_xlpm.x))</f>
        <v>natural</v>
      </c>
      <c r="I575">
        <v>190</v>
      </c>
      <c r="J575">
        <v>80</v>
      </c>
      <c r="K575">
        <v>45</v>
      </c>
      <c r="L575">
        <v>70</v>
      </c>
      <c r="M575" s="68" t="s">
        <v>121</v>
      </c>
      <c r="N575">
        <v>85.4</v>
      </c>
      <c r="P575" s="67" t="s">
        <v>708</v>
      </c>
      <c r="Q575" s="68">
        <v>201.7</v>
      </c>
      <c r="R575" s="67" t="s">
        <v>714</v>
      </c>
      <c r="S575" s="68">
        <v>219.5</v>
      </c>
      <c r="T575" s="68">
        <f t="shared" si="68"/>
        <v>17.800000000000011</v>
      </c>
      <c r="U575">
        <f t="shared" si="64"/>
        <v>63</v>
      </c>
      <c r="V575">
        <f t="shared" si="69"/>
        <v>17</v>
      </c>
      <c r="W575">
        <f t="shared" si="65"/>
        <v>10.88</v>
      </c>
      <c r="X575" s="19">
        <v>45731</v>
      </c>
      <c r="Y575" s="26">
        <v>213</v>
      </c>
      <c r="Z575" s="61">
        <v>0</v>
      </c>
      <c r="AB575" s="28">
        <f t="shared" si="66"/>
        <v>0.14457831325301204</v>
      </c>
      <c r="AE575" s="61" t="str">
        <f t="shared" si="67"/>
        <v/>
      </c>
      <c r="AF575" s="77" t="str">
        <f>_xlfn.XLOOKUP(AD575,menu!$K$2:$K$9,menu!$J$2:$J$9,"",1)</f>
        <v/>
      </c>
      <c r="AG575" s="80" t="str">
        <f>_xlfn.XLOOKUP(AH575,menu!$O$2:$O$9,menu!$H$2:$H$9,"")</f>
        <v/>
      </c>
      <c r="AI575" t="str">
        <f>_xlfn.LET(_xlpm.x,_xlfn.CONCAT(_xlfn.XLOOKUP(D575,beans!$A$2:$A$300,beans!$J$2:$J$300,"")," / ",_xlfn.XLOOKUP(D575,beans!$A$2:$A$300,beans!$K$2:$K$300,"")," - ",_xlfn.XLOOKUP(D575,beans!$A$2:$A$300,beans!$L$2:$L$300,"")),IF(_xlpm.x=" /  - ","",_xlpm.x))</f>
        <v xml:space="preserve">西達摩 / 聖塔瓦娜 - </v>
      </c>
      <c r="AJ575" s="23" t="s">
        <v>797</v>
      </c>
    </row>
    <row r="576" spans="1:36" x14ac:dyDescent="0.3">
      <c r="A576">
        <v>559</v>
      </c>
      <c r="B576">
        <v>246.8</v>
      </c>
      <c r="D576">
        <v>86</v>
      </c>
      <c r="E576" t="str">
        <f>_xlfn.LET(_xlpm.x,_xlfn.XLOOKUP(D576,beans!$A$2:$A$300,beans!$H$2:$H$300,""),IF(_xlpm.x="","",_xlpm.x))</f>
        <v>衣索比亞</v>
      </c>
      <c r="F576" s="22" t="str">
        <f>_xlfn.XLOOKUP(E576,menu!$A$2:$A$37,menu!$B$2:$B$37,"")</f>
        <v>Ethiopia</v>
      </c>
      <c r="G576" t="str">
        <f>_xlfn.XLOOKUP(E576,menu!$A$2:$A$37,menu!$C$2:$C$37,"")</f>
        <v>eth</v>
      </c>
      <c r="H576" t="str">
        <f>_xlfn.LET(_xlpm.x,_xlfn.XLOOKUP(_xlfn.XLOOKUP(D576,beans!$A$2:$A$300,beans!$I$2:$I$300),menu!$E$2:$E$20,menu!$F$2:$F$20),IF(_xlpm.x="","",_xlpm.x))</f>
        <v>natural</v>
      </c>
      <c r="I576">
        <v>190</v>
      </c>
      <c r="J576">
        <v>80</v>
      </c>
      <c r="K576">
        <v>45</v>
      </c>
      <c r="L576">
        <v>70</v>
      </c>
      <c r="M576" s="68" t="s">
        <v>67</v>
      </c>
      <c r="N576">
        <v>85.5</v>
      </c>
      <c r="P576" s="67" t="s">
        <v>201</v>
      </c>
      <c r="Q576" s="68">
        <v>202.8</v>
      </c>
      <c r="R576" s="67" t="s">
        <v>180</v>
      </c>
      <c r="S576" s="68">
        <v>219.4</v>
      </c>
      <c r="T576" s="68">
        <f t="shared" si="68"/>
        <v>16.599999999999994</v>
      </c>
      <c r="U576">
        <f t="shared" si="64"/>
        <v>55</v>
      </c>
      <c r="V576">
        <f t="shared" si="69"/>
        <v>18.100000000000001</v>
      </c>
      <c r="W576">
        <f t="shared" si="65"/>
        <v>9.42</v>
      </c>
      <c r="X576" s="19">
        <v>45731</v>
      </c>
      <c r="Y576" s="26">
        <v>212</v>
      </c>
      <c r="Z576" s="61">
        <v>0</v>
      </c>
      <c r="AA576" s="61">
        <v>0</v>
      </c>
      <c r="AB576" s="28">
        <f t="shared" si="66"/>
        <v>0.14100486223662889</v>
      </c>
      <c r="AE576" s="61" t="str">
        <f t="shared" si="67"/>
        <v/>
      </c>
      <c r="AF576" s="77" t="str">
        <f>_xlfn.XLOOKUP(AD576,menu!$K$2:$K$9,menu!$J$2:$J$9,"",1)</f>
        <v/>
      </c>
      <c r="AG576" s="80" t="str">
        <f>_xlfn.XLOOKUP(AH576,menu!$O$2:$O$9,menu!$H$2:$H$9,"")</f>
        <v/>
      </c>
      <c r="AI576" t="str">
        <f>_xlfn.LET(_xlpm.x,_xlfn.CONCAT(_xlfn.XLOOKUP(D576,beans!$A$2:$A$300,beans!$J$2:$J$300,"")," / ",_xlfn.XLOOKUP(D576,beans!$A$2:$A$300,beans!$K$2:$K$300,"")," - ",_xlfn.XLOOKUP(D576,beans!$A$2:$A$300,beans!$L$2:$L$300,"")),IF(_xlpm.x=" /  - ","",_xlpm.x))</f>
        <v xml:space="preserve">耶加雪菲 / (沃卡)凱菲亞歐蓓絲  Kefeyalew Obese - </v>
      </c>
      <c r="AJ576" s="23" t="s">
        <v>796</v>
      </c>
    </row>
    <row r="577" spans="1:36" x14ac:dyDescent="0.3">
      <c r="A577">
        <v>560</v>
      </c>
      <c r="B577">
        <v>247</v>
      </c>
      <c r="D577">
        <v>79</v>
      </c>
      <c r="E577" t="str">
        <f>_xlfn.LET(_xlpm.x,_xlfn.XLOOKUP(D577,beans!$A$2:$A$300,beans!$H$2:$H$300,""),IF(_xlpm.x="","",_xlpm.x))</f>
        <v>衣索比亞</v>
      </c>
      <c r="F577" s="22" t="str">
        <f>_xlfn.XLOOKUP(E577,menu!$A$2:$A$37,menu!$B$2:$B$37,"")</f>
        <v>Ethiopia</v>
      </c>
      <c r="G577" t="str">
        <f>_xlfn.XLOOKUP(E577,menu!$A$2:$A$37,menu!$C$2:$C$37,"")</f>
        <v>eth</v>
      </c>
      <c r="H577" t="str">
        <f>_xlfn.LET(_xlpm.x,_xlfn.XLOOKUP(_xlfn.XLOOKUP(D577,beans!$A$2:$A$300,beans!$I$2:$I$300),menu!$E$2:$E$20,menu!$F$2:$F$20),IF(_xlpm.x="","",_xlpm.x))</f>
        <v>natural</v>
      </c>
      <c r="I577">
        <v>190</v>
      </c>
      <c r="J577">
        <v>80</v>
      </c>
      <c r="K577">
        <v>45</v>
      </c>
      <c r="L577">
        <v>70</v>
      </c>
      <c r="M577" s="68" t="s">
        <v>207</v>
      </c>
      <c r="N577">
        <v>86.2</v>
      </c>
      <c r="P577" s="67" t="s">
        <v>616</v>
      </c>
      <c r="Q577" s="68">
        <v>205.1</v>
      </c>
      <c r="R577" s="67" t="s">
        <v>714</v>
      </c>
      <c r="S577" s="68">
        <v>217.7</v>
      </c>
      <c r="T577" s="68">
        <f t="shared" si="68"/>
        <v>12.599999999999994</v>
      </c>
      <c r="U577">
        <f t="shared" si="64"/>
        <v>44</v>
      </c>
      <c r="V577">
        <f t="shared" si="69"/>
        <v>17.2</v>
      </c>
      <c r="W577">
        <f t="shared" si="65"/>
        <v>7.6</v>
      </c>
      <c r="X577" s="19">
        <v>45731</v>
      </c>
      <c r="Y577" s="26">
        <v>213</v>
      </c>
      <c r="Z577" s="61">
        <v>0</v>
      </c>
      <c r="AA577" s="61">
        <v>0</v>
      </c>
      <c r="AB577" s="28">
        <f t="shared" si="66"/>
        <v>0.13765182186234817</v>
      </c>
      <c r="AE577" s="61" t="str">
        <f t="shared" si="67"/>
        <v/>
      </c>
      <c r="AF577" s="77" t="str">
        <f>_xlfn.XLOOKUP(AD577,menu!$K$2:$K$9,menu!$J$2:$J$9,"",1)</f>
        <v/>
      </c>
      <c r="AG577" s="80" t="str">
        <f>_xlfn.XLOOKUP(AH577,menu!$O$2:$O$9,menu!$H$2:$H$9,"")</f>
        <v/>
      </c>
      <c r="AI577" t="str">
        <f>_xlfn.LET(_xlpm.x,_xlfn.CONCAT(_xlfn.XLOOKUP(D577,beans!$A$2:$A$300,beans!$J$2:$J$300,"")," / ",_xlfn.XLOOKUP(D577,beans!$A$2:$A$300,beans!$K$2:$K$300,"")," - ",_xlfn.XLOOKUP(D577,beans!$A$2:$A$300,beans!$L$2:$L$300,"")),IF(_xlpm.x=" /  - ","",_xlpm.x))</f>
        <v xml:space="preserve">古吉 烏拉嘎 / 所羅門 - </v>
      </c>
      <c r="AJ577" s="23" t="s">
        <v>796</v>
      </c>
    </row>
    <row r="578" spans="1:36" x14ac:dyDescent="0.3">
      <c r="A578">
        <v>561</v>
      </c>
      <c r="B578">
        <v>252.4</v>
      </c>
      <c r="D578">
        <v>56</v>
      </c>
      <c r="E578" t="str">
        <f>_xlfn.LET(_xlpm.x,_xlfn.XLOOKUP(D578,beans!$A$2:$A$300,beans!$H$2:$H$300,""),IF(_xlpm.x="","",_xlpm.x))</f>
        <v>肯亞</v>
      </c>
      <c r="F578" s="22" t="str">
        <f>_xlfn.XLOOKUP(E578,menu!$A$2:$A$37,menu!$B$2:$B$37,"")</f>
        <v>Kenya</v>
      </c>
      <c r="G578" t="str">
        <f>_xlfn.XLOOKUP(E578,menu!$A$2:$A$37,menu!$C$2:$C$37,"")</f>
        <v>ken</v>
      </c>
      <c r="H578" t="str">
        <f>_xlfn.LET(_xlpm.x,_xlfn.XLOOKUP(_xlfn.XLOOKUP(D578,beans!$A$2:$A$300,beans!$I$2:$I$300),menu!$E$2:$E$20,menu!$F$2:$F$20),IF(_xlpm.x="","",_xlpm.x))</f>
        <v>washed</v>
      </c>
      <c r="I578">
        <v>190</v>
      </c>
      <c r="J578">
        <v>80</v>
      </c>
      <c r="K578">
        <v>45</v>
      </c>
      <c r="L578">
        <v>75</v>
      </c>
      <c r="M578" s="68" t="s">
        <v>109</v>
      </c>
      <c r="N578">
        <v>87.3</v>
      </c>
      <c r="P578" s="67" t="s">
        <v>81</v>
      </c>
      <c r="Q578" s="68">
        <v>200.1</v>
      </c>
      <c r="R578" s="67" t="s">
        <v>440</v>
      </c>
      <c r="S578" s="68">
        <v>218</v>
      </c>
      <c r="T578" s="68">
        <f t="shared" si="68"/>
        <v>17.900000000000006</v>
      </c>
      <c r="U578">
        <f t="shared" ref="U578:U641" si="70">_xlfn.LET(_xlpm.x,(TIMEVALUE("0:"&amp;SUBSTITUTE(R578,"'",":"))-TIMEVALUE("0:"&amp;SUBSTITUTE(P578,"'",":")))*86400,IF(_xlpm.x=0,"",ROUND(_xlpm.x,2)))</f>
        <v>76</v>
      </c>
      <c r="V578">
        <f t="shared" si="69"/>
        <v>14.1</v>
      </c>
      <c r="W578">
        <f t="shared" ref="W578:W641" si="71">_xlfn.LET(_xlpm.x,(TIMEVALUE("0:"&amp;SUBSTITUTE(R578,"'",":"))-TIMEVALUE("0:"&amp;SUBSTITUTE(P578,"'",":")))*86400,IF(_xlpm.x=0,"",ROUND(_xlpm.x/((TIMEVALUE("0:"&amp;SUBSTITUTE(R578,"'",":"))-TIMEVALUE("0:0:0"))*864),2)))</f>
        <v>12.54</v>
      </c>
      <c r="X578" s="19">
        <v>45731</v>
      </c>
      <c r="Y578" s="26">
        <v>216.9</v>
      </c>
      <c r="Z578" s="61">
        <v>0</v>
      </c>
      <c r="AB578" s="28">
        <f t="shared" ref="AB578:AB641" si="72">IF(Y578 &gt; 0,(B578-Y578)/B578," ")</f>
        <v>0.14064976228209192</v>
      </c>
      <c r="AE578" s="61" t="str">
        <f t="shared" ref="AE578:AE641" si="73">_xlfn.LET(_xlpm.x,AD578-AC578,IF(_xlpm.x=0,"",_xlpm.x))</f>
        <v/>
      </c>
      <c r="AF578" s="77" t="str">
        <f>_xlfn.XLOOKUP(AD578,menu!$K$2:$K$9,menu!$J$2:$J$9,"",1)</f>
        <v/>
      </c>
      <c r="AG578" s="80" t="str">
        <f>_xlfn.XLOOKUP(AH578,menu!$O$2:$O$9,menu!$H$2:$H$9,"")</f>
        <v/>
      </c>
      <c r="AI578" t="str">
        <f>_xlfn.LET(_xlpm.x,_xlfn.CONCAT(_xlfn.XLOOKUP(D578,beans!$A$2:$A$300,beans!$J$2:$J$300,"")," / ",_xlfn.XLOOKUP(D578,beans!$A$2:$A$300,beans!$K$2:$K$300,"")," - ",_xlfn.XLOOKUP(D578,beans!$A$2:$A$300,beans!$L$2:$L$300,"")),IF(_xlpm.x=" /  - ","",_xlpm.x))</f>
        <v xml:space="preserve">祁安布 / FAQ - </v>
      </c>
      <c r="AJ578" s="23" t="s">
        <v>632</v>
      </c>
    </row>
    <row r="579" spans="1:36" x14ac:dyDescent="0.3">
      <c r="A579">
        <v>562</v>
      </c>
      <c r="B579">
        <v>484</v>
      </c>
      <c r="D579">
        <v>88</v>
      </c>
      <c r="E579" t="str">
        <f>_xlfn.LET(_xlpm.x,_xlfn.XLOOKUP(D579,beans!$A$2:$A$300,beans!$H$2:$H$300,""),IF(_xlpm.x="","",_xlpm.x))</f>
        <v>衣索比亞</v>
      </c>
      <c r="F579" s="22" t="str">
        <f>_xlfn.XLOOKUP(E579,menu!$A$2:$A$37,menu!$B$2:$B$37,"")</f>
        <v>Ethiopia</v>
      </c>
      <c r="G579" t="str">
        <f>_xlfn.XLOOKUP(E579,menu!$A$2:$A$37,menu!$C$2:$C$37,"")</f>
        <v>eth</v>
      </c>
      <c r="H579" t="str">
        <f>_xlfn.LET(_xlpm.x,_xlfn.XLOOKUP(_xlfn.XLOOKUP(D579,beans!$A$2:$A$300,beans!$I$2:$I$300),menu!$E$2:$E$20,menu!$F$2:$F$20),IF(_xlpm.x="","",_xlpm.x))</f>
        <v>washed</v>
      </c>
      <c r="I579">
        <v>190</v>
      </c>
      <c r="J579">
        <v>75</v>
      </c>
      <c r="K579">
        <v>40</v>
      </c>
      <c r="L579">
        <v>90</v>
      </c>
      <c r="M579" s="68" t="s">
        <v>188</v>
      </c>
      <c r="N579">
        <v>82.2</v>
      </c>
      <c r="P579" s="67" t="s">
        <v>433</v>
      </c>
      <c r="Q579" s="68">
        <v>198.4</v>
      </c>
      <c r="R579" s="67" t="s">
        <v>798</v>
      </c>
      <c r="S579" s="68">
        <v>219</v>
      </c>
      <c r="T579" s="68">
        <f t="shared" ref="T579:T642" si="74">_xlfn.LET(_xlpm.x,S579-Q579,IF(_xlpm.x=0,"",_xlpm.x))</f>
        <v>20.599999999999994</v>
      </c>
      <c r="U579">
        <f t="shared" si="70"/>
        <v>112</v>
      </c>
      <c r="V579">
        <f t="shared" ref="V579:V642" si="75">IFERROR(ROUND(T579*60/U579,1), )</f>
        <v>11</v>
      </c>
      <c r="W579">
        <f t="shared" si="71"/>
        <v>14.11</v>
      </c>
      <c r="X579" s="19">
        <v>45740</v>
      </c>
      <c r="Y579" s="26">
        <v>411.6</v>
      </c>
      <c r="Z579" s="61">
        <v>0</v>
      </c>
      <c r="AB579" s="28">
        <f t="shared" si="72"/>
        <v>0.14958677685950408</v>
      </c>
      <c r="AE579" s="61" t="str">
        <f t="shared" si="73"/>
        <v/>
      </c>
      <c r="AF579" s="77" t="str">
        <f>_xlfn.XLOOKUP(AD579,menu!$K$2:$K$9,menu!$J$2:$J$9,"",1)</f>
        <v/>
      </c>
      <c r="AG579" s="80" t="str">
        <f>_xlfn.XLOOKUP(AH579,menu!$O$2:$O$9,menu!$H$2:$H$9,"")</f>
        <v/>
      </c>
      <c r="AI579" t="str">
        <f>_xlfn.LET(_xlpm.x,_xlfn.CONCAT(_xlfn.XLOOKUP(D579,beans!$A$2:$A$300,beans!$J$2:$J$300,"")," / ",_xlfn.XLOOKUP(D579,beans!$A$2:$A$300,beans!$K$2:$K$300,"")," - ",_xlfn.XLOOKUP(D579,beans!$A$2:$A$300,beans!$L$2:$L$300,"")),IF(_xlpm.x=" /  - ","",_xlpm.x))</f>
        <v xml:space="preserve">耶加雪菲 / 柯契爾 畢洛雅 - </v>
      </c>
      <c r="AJ579" s="23" t="s">
        <v>597</v>
      </c>
    </row>
    <row r="580" spans="1:36" x14ac:dyDescent="0.3">
      <c r="A580">
        <v>563</v>
      </c>
      <c r="B580">
        <v>493</v>
      </c>
      <c r="D580">
        <v>87</v>
      </c>
      <c r="E580" t="str">
        <f>_xlfn.LET(_xlpm.x,_xlfn.XLOOKUP(D580,beans!$A$2:$A$300,beans!$H$2:$H$300,""),IF(_xlpm.x="","",_xlpm.x))</f>
        <v>衣索比亞</v>
      </c>
      <c r="F580" s="22" t="str">
        <f>_xlfn.XLOOKUP(E580,menu!$A$2:$A$37,menu!$B$2:$B$37,"")</f>
        <v>Ethiopia</v>
      </c>
      <c r="G580" t="str">
        <f>_xlfn.XLOOKUP(E580,menu!$A$2:$A$37,menu!$C$2:$C$37,"")</f>
        <v>eth</v>
      </c>
      <c r="H580" t="str">
        <f>_xlfn.LET(_xlpm.x,_xlfn.XLOOKUP(_xlfn.XLOOKUP(D580,beans!$A$2:$A$300,beans!$I$2:$I$300),menu!$E$2:$E$20,menu!$F$2:$F$20),IF(_xlpm.x="","",_xlpm.x))</f>
        <v>washed</v>
      </c>
      <c r="I580">
        <v>190</v>
      </c>
      <c r="J580">
        <v>75</v>
      </c>
      <c r="K580">
        <v>25</v>
      </c>
      <c r="L580">
        <v>90</v>
      </c>
      <c r="M580" s="68" t="s">
        <v>75</v>
      </c>
      <c r="N580">
        <v>81.2</v>
      </c>
      <c r="P580" s="67" t="s">
        <v>679</v>
      </c>
      <c r="Q580" s="68">
        <v>198.7</v>
      </c>
      <c r="R580" s="67" t="s">
        <v>137</v>
      </c>
      <c r="S580" s="68">
        <v>217.3</v>
      </c>
      <c r="T580" s="68">
        <f t="shared" si="74"/>
        <v>18.600000000000023</v>
      </c>
      <c r="U580">
        <f t="shared" si="70"/>
        <v>101</v>
      </c>
      <c r="V580">
        <f t="shared" si="75"/>
        <v>11</v>
      </c>
      <c r="W580">
        <f t="shared" si="71"/>
        <v>15.07</v>
      </c>
      <c r="X580" s="19">
        <v>45740</v>
      </c>
      <c r="Y580" s="26">
        <v>425</v>
      </c>
      <c r="Z580" s="61">
        <v>0</v>
      </c>
      <c r="AA580" s="61">
        <v>0</v>
      </c>
      <c r="AB580" s="28">
        <f t="shared" si="72"/>
        <v>0.13793103448275862</v>
      </c>
      <c r="AE580" s="61" t="str">
        <f t="shared" si="73"/>
        <v/>
      </c>
      <c r="AF580" s="77" t="str">
        <f>_xlfn.XLOOKUP(AD580,menu!$K$2:$K$9,menu!$J$2:$J$9,"",1)</f>
        <v/>
      </c>
      <c r="AG580" s="80" t="str">
        <f>_xlfn.XLOOKUP(AH580,menu!$O$2:$O$9,menu!$H$2:$H$9,"")</f>
        <v/>
      </c>
      <c r="AI580" t="str">
        <f>_xlfn.LET(_xlpm.x,_xlfn.CONCAT(_xlfn.XLOOKUP(D580,beans!$A$2:$A$300,beans!$J$2:$J$300,"")," / ",_xlfn.XLOOKUP(D580,beans!$A$2:$A$300,beans!$K$2:$K$300,"")," - ",_xlfn.XLOOKUP(D580,beans!$A$2:$A$300,beans!$L$2:$L$300,"")),IF(_xlpm.x=" /  - ","",_xlpm.x))</f>
        <v xml:space="preserve">烏拉嗄 / 索羅門 - </v>
      </c>
      <c r="AJ580" s="23" t="s">
        <v>799</v>
      </c>
    </row>
    <row r="581" spans="1:36" x14ac:dyDescent="0.3">
      <c r="A581">
        <v>564</v>
      </c>
      <c r="B581">
        <v>486.6</v>
      </c>
      <c r="D581">
        <v>22</v>
      </c>
      <c r="E581" t="str">
        <f>_xlfn.LET(_xlpm.x,_xlfn.XLOOKUP(D581,beans!$A$2:$A$300,beans!$H$2:$H$300,""),IF(_xlpm.x="","",_xlpm.x))</f>
        <v>衣索比亞</v>
      </c>
      <c r="F581" s="22" t="str">
        <f>_xlfn.XLOOKUP(E581,menu!$A$2:$A$37,menu!$B$2:$B$37,"")</f>
        <v>Ethiopia</v>
      </c>
      <c r="G581" t="str">
        <f>_xlfn.XLOOKUP(E581,menu!$A$2:$A$37,menu!$C$2:$C$37,"")</f>
        <v>eth</v>
      </c>
      <c r="H581" t="str">
        <f>_xlfn.LET(_xlpm.x,_xlfn.XLOOKUP(_xlfn.XLOOKUP(D581,beans!$A$2:$A$300,beans!$I$2:$I$300),menu!$E$2:$E$20,menu!$F$2:$F$20),IF(_xlpm.x="","",_xlpm.x))</f>
        <v>washed</v>
      </c>
      <c r="I581">
        <v>200</v>
      </c>
      <c r="J581">
        <v>75</v>
      </c>
      <c r="K581">
        <v>25</v>
      </c>
      <c r="L581">
        <v>90</v>
      </c>
      <c r="M581" s="68" t="s">
        <v>146</v>
      </c>
      <c r="N581">
        <v>83.1</v>
      </c>
      <c r="P581" s="67" t="s">
        <v>638</v>
      </c>
      <c r="Q581" s="68">
        <v>202.3</v>
      </c>
      <c r="R581" s="67" t="s">
        <v>392</v>
      </c>
      <c r="S581" s="68">
        <v>217.3</v>
      </c>
      <c r="T581" s="68">
        <f t="shared" si="74"/>
        <v>15</v>
      </c>
      <c r="U581">
        <f t="shared" si="70"/>
        <v>77</v>
      </c>
      <c r="V581">
        <f t="shared" si="75"/>
        <v>11.7</v>
      </c>
      <c r="W581">
        <f t="shared" si="71"/>
        <v>11.7</v>
      </c>
      <c r="X581" s="19">
        <v>45740</v>
      </c>
      <c r="Y581" s="26">
        <v>423.9</v>
      </c>
      <c r="Z581" s="61">
        <v>0</v>
      </c>
      <c r="AA581" s="61">
        <v>0</v>
      </c>
      <c r="AB581" s="28">
        <f t="shared" si="72"/>
        <v>0.12885326757090021</v>
      </c>
      <c r="AE581" s="61" t="str">
        <f t="shared" si="73"/>
        <v/>
      </c>
      <c r="AF581" s="77" t="str">
        <f>_xlfn.XLOOKUP(AD581,menu!$K$2:$K$9,menu!$J$2:$J$9,"",1)</f>
        <v/>
      </c>
      <c r="AG581" s="80" t="str">
        <f>_xlfn.XLOOKUP(AH581,menu!$O$2:$O$9,menu!$H$2:$H$9,"")</f>
        <v/>
      </c>
      <c r="AI581" t="str">
        <f>_xlfn.LET(_xlpm.x,_xlfn.CONCAT(_xlfn.XLOOKUP(D581,beans!$A$2:$A$300,beans!$J$2:$J$300,"")," / ",_xlfn.XLOOKUP(D581,beans!$A$2:$A$300,beans!$K$2:$K$300,"")," - ",_xlfn.XLOOKUP(D581,beans!$A$2:$A$300,beans!$L$2:$L$300,"")),IF(_xlpm.x=" /  - ","",_xlpm.x))</f>
        <v>西爾希 / 戈拉寇娜處理廠 - Heirloom</v>
      </c>
      <c r="AJ581" s="23" t="s">
        <v>800</v>
      </c>
    </row>
    <row r="582" spans="1:36" x14ac:dyDescent="0.3">
      <c r="A582">
        <v>565</v>
      </c>
      <c r="B582">
        <v>490</v>
      </c>
      <c r="D582">
        <v>43</v>
      </c>
      <c r="E582" t="str">
        <f>_xlfn.LET(_xlpm.x,_xlfn.XLOOKUP(D582,beans!$A$2:$A$300,beans!$H$2:$H$300,""),IF(_xlpm.x="","",_xlpm.x))</f>
        <v>衣索比亞</v>
      </c>
      <c r="F582" s="22" t="str">
        <f>_xlfn.XLOOKUP(E582,menu!$A$2:$A$37,menu!$B$2:$B$37,"")</f>
        <v>Ethiopia</v>
      </c>
      <c r="G582" t="str">
        <f>_xlfn.XLOOKUP(E582,menu!$A$2:$A$37,menu!$C$2:$C$37,"")</f>
        <v>eth</v>
      </c>
      <c r="H582" t="str">
        <f>_xlfn.LET(_xlpm.x,_xlfn.XLOOKUP(_xlfn.XLOOKUP(D582,beans!$A$2:$A$300,beans!$I$2:$I$300),menu!$E$2:$E$20,menu!$F$2:$F$20),IF(_xlpm.x="","",_xlpm.x))</f>
        <v>natural</v>
      </c>
      <c r="I582">
        <v>200</v>
      </c>
      <c r="J582">
        <v>75</v>
      </c>
      <c r="K582">
        <v>25</v>
      </c>
      <c r="L582">
        <v>90</v>
      </c>
      <c r="M582" s="68" t="s">
        <v>157</v>
      </c>
      <c r="N582">
        <v>83.1</v>
      </c>
      <c r="P582" s="67" t="s">
        <v>274</v>
      </c>
      <c r="Q582" s="68">
        <v>203.7</v>
      </c>
      <c r="R582" s="67" t="s">
        <v>350</v>
      </c>
      <c r="S582" s="68">
        <v>220.7</v>
      </c>
      <c r="T582" s="68">
        <f t="shared" si="74"/>
        <v>17</v>
      </c>
      <c r="U582">
        <f t="shared" si="70"/>
        <v>69</v>
      </c>
      <c r="V582">
        <f t="shared" si="75"/>
        <v>14.8</v>
      </c>
      <c r="W582">
        <f t="shared" si="71"/>
        <v>10.6</v>
      </c>
      <c r="X582" s="19">
        <v>45740</v>
      </c>
      <c r="Y582" s="26">
        <v>421</v>
      </c>
      <c r="Z582" s="61">
        <v>0</v>
      </c>
      <c r="AA582" s="61">
        <v>0</v>
      </c>
      <c r="AB582" s="28">
        <f t="shared" si="72"/>
        <v>0.14081632653061224</v>
      </c>
      <c r="AE582" s="61" t="str">
        <f t="shared" si="73"/>
        <v/>
      </c>
      <c r="AF582" s="77" t="str">
        <f>_xlfn.XLOOKUP(AD582,menu!$K$2:$K$9,menu!$J$2:$J$9,"",1)</f>
        <v/>
      </c>
      <c r="AG582" s="80" t="str">
        <f>_xlfn.XLOOKUP(AH582,menu!$O$2:$O$9,menu!$H$2:$H$9,"")</f>
        <v/>
      </c>
      <c r="AI582" t="str">
        <f>_xlfn.LET(_xlpm.x,_xlfn.CONCAT(_xlfn.XLOOKUP(D582,beans!$A$2:$A$300,beans!$J$2:$J$300,"")," / ",_xlfn.XLOOKUP(D582,beans!$A$2:$A$300,beans!$K$2:$K$300,"")," - ",_xlfn.XLOOKUP(D582,beans!$A$2:$A$300,beans!$L$2:$L$300,"")),IF(_xlpm.x=" /  - ","",_xlpm.x))</f>
        <v>西達馬 / 朵望丘合作社 - 74110</v>
      </c>
      <c r="AJ582" s="23" t="s">
        <v>801</v>
      </c>
    </row>
    <row r="583" spans="1:36" x14ac:dyDescent="0.3">
      <c r="A583">
        <v>566</v>
      </c>
      <c r="B583">
        <v>249</v>
      </c>
      <c r="D583">
        <v>6</v>
      </c>
      <c r="E583" t="str">
        <f>_xlfn.LET(_xlpm.x,_xlfn.XLOOKUP(D583,beans!$A$2:$A$300,beans!$H$2:$H$300,""),IF(_xlpm.x="","",_xlpm.x))</f>
        <v>肯亞</v>
      </c>
      <c r="F583" s="22" t="str">
        <f>_xlfn.XLOOKUP(E583,menu!$A$2:$A$37,menu!$B$2:$B$37,"")</f>
        <v>Kenya</v>
      </c>
      <c r="G583" t="str">
        <f>_xlfn.XLOOKUP(E583,menu!$A$2:$A$37,menu!$C$2:$C$37,"")</f>
        <v>ken</v>
      </c>
      <c r="H583" t="str">
        <f>_xlfn.LET(_xlpm.x,_xlfn.XLOOKUP(_xlfn.XLOOKUP(D583,beans!$A$2:$A$300,beans!$I$2:$I$300),menu!$E$2:$E$20,menu!$F$2:$F$20),IF(_xlpm.x="","",_xlpm.x))</f>
        <v>washed</v>
      </c>
      <c r="I583">
        <v>200</v>
      </c>
      <c r="J583">
        <v>75</v>
      </c>
      <c r="K583">
        <v>25</v>
      </c>
      <c r="L583">
        <v>75</v>
      </c>
      <c r="M583" s="68" t="s">
        <v>207</v>
      </c>
      <c r="N583">
        <v>87.6</v>
      </c>
      <c r="P583" s="67" t="s">
        <v>615</v>
      </c>
      <c r="Q583" s="68">
        <v>201.4</v>
      </c>
      <c r="R583" s="67" t="s">
        <v>142</v>
      </c>
      <c r="S583" s="68">
        <v>218.2</v>
      </c>
      <c r="T583" s="68">
        <f t="shared" si="74"/>
        <v>16.799999999999983</v>
      </c>
      <c r="U583">
        <f t="shared" si="70"/>
        <v>89</v>
      </c>
      <c r="V583">
        <f t="shared" si="75"/>
        <v>11.3</v>
      </c>
      <c r="W583">
        <f t="shared" si="71"/>
        <v>13.86</v>
      </c>
      <c r="X583" s="19">
        <v>45740</v>
      </c>
      <c r="Y583" s="26">
        <v>212</v>
      </c>
      <c r="Z583" s="61">
        <v>0</v>
      </c>
      <c r="AA583" s="61">
        <v>0</v>
      </c>
      <c r="AB583" s="28">
        <f t="shared" si="72"/>
        <v>0.14859437751004015</v>
      </c>
      <c r="AE583" s="61" t="str">
        <f t="shared" si="73"/>
        <v/>
      </c>
      <c r="AF583" s="77" t="str">
        <f>_xlfn.XLOOKUP(AD583,menu!$K$2:$K$9,menu!$J$2:$J$9,"",1)</f>
        <v/>
      </c>
      <c r="AG583" s="80" t="str">
        <f>_xlfn.XLOOKUP(AH583,menu!$O$2:$O$9,menu!$H$2:$H$9,"")</f>
        <v/>
      </c>
      <c r="AI583" t="str">
        <f>_xlfn.LET(_xlpm.x,_xlfn.CONCAT(_xlfn.XLOOKUP(D583,beans!$A$2:$A$300,beans!$J$2:$J$300,"")," / ",_xlfn.XLOOKUP(D583,beans!$A$2:$A$300,beans!$K$2:$K$300,"")," - ",_xlfn.XLOOKUP(D583,beans!$A$2:$A$300,beans!$L$2:$L$300,"")),IF(_xlpm.x=" /  - ","",_xlpm.x))</f>
        <v>東非大裂谷產區 / 烏克栗栗/黑莓皇后 - SL28, SL34, 少許Ruiru以及Batian</v>
      </c>
      <c r="AJ583" s="23" t="s">
        <v>800</v>
      </c>
    </row>
    <row r="584" spans="1:36" x14ac:dyDescent="0.3">
      <c r="A584">
        <v>567</v>
      </c>
      <c r="B584">
        <v>259</v>
      </c>
      <c r="D584">
        <v>57</v>
      </c>
      <c r="E584" t="str">
        <f>_xlfn.LET(_xlpm.x,_xlfn.XLOOKUP(D584,beans!$A$2:$A$300,beans!$H$2:$H$300,""),IF(_xlpm.x="","",_xlpm.x))</f>
        <v>宏都拉斯</v>
      </c>
      <c r="F584" s="22" t="str">
        <f>_xlfn.XLOOKUP(E584,menu!$A$2:$A$37,menu!$B$2:$B$37,"")</f>
        <v>Honduras</v>
      </c>
      <c r="G584" t="str">
        <f>_xlfn.XLOOKUP(E584,menu!$A$2:$A$37,menu!$C$2:$C$37,"")</f>
        <v>hnd</v>
      </c>
      <c r="H584" t="str">
        <f>_xlfn.LET(_xlpm.x,_xlfn.XLOOKUP(_xlfn.XLOOKUP(D584,beans!$A$2:$A$300,beans!$I$2:$I$300),menu!$E$2:$E$20,menu!$F$2:$F$20),IF(_xlpm.x="","",_xlpm.x))</f>
        <v>washed</v>
      </c>
      <c r="I584">
        <v>200</v>
      </c>
      <c r="J584">
        <v>75</v>
      </c>
      <c r="K584">
        <v>25</v>
      </c>
      <c r="L584">
        <v>75</v>
      </c>
      <c r="M584" s="68" t="s">
        <v>188</v>
      </c>
      <c r="N584">
        <v>88.1</v>
      </c>
      <c r="P584" s="67" t="s">
        <v>277</v>
      </c>
      <c r="Q584" s="68">
        <v>197.2</v>
      </c>
      <c r="R584" s="67" t="s">
        <v>570</v>
      </c>
      <c r="S584" s="68">
        <v>220.2</v>
      </c>
      <c r="T584" s="68">
        <f t="shared" si="74"/>
        <v>23</v>
      </c>
      <c r="U584">
        <f t="shared" si="70"/>
        <v>94</v>
      </c>
      <c r="V584">
        <f t="shared" si="75"/>
        <v>14.7</v>
      </c>
      <c r="W584">
        <f t="shared" si="71"/>
        <v>15.28</v>
      </c>
      <c r="X584" s="19">
        <v>45740</v>
      </c>
      <c r="Y584" s="26">
        <v>221.8</v>
      </c>
      <c r="Z584" s="61">
        <v>0</v>
      </c>
      <c r="AB584" s="28">
        <f t="shared" si="72"/>
        <v>0.1436293436293436</v>
      </c>
      <c r="AE584" s="61" t="str">
        <f t="shared" si="73"/>
        <v/>
      </c>
      <c r="AF584" s="77" t="str">
        <f>_xlfn.XLOOKUP(AD584,menu!$K$2:$K$9,menu!$J$2:$J$9,"",1)</f>
        <v/>
      </c>
      <c r="AG584" s="80" t="str">
        <f>_xlfn.XLOOKUP(AH584,menu!$O$2:$O$9,menu!$H$2:$H$9,"")</f>
        <v/>
      </c>
      <c r="AI584" t="str">
        <f>_xlfn.LET(_xlpm.x,_xlfn.CONCAT(_xlfn.XLOOKUP(D584,beans!$A$2:$A$300,beans!$J$2:$J$300,"")," / ",_xlfn.XLOOKUP(D584,beans!$A$2:$A$300,beans!$K$2:$K$300,"")," - ",_xlfn.XLOOKUP(D584,beans!$A$2:$A$300,beans!$L$2:$L$300,"")),IF(_xlpm.x=" /  - ","",_xlpm.x))</f>
        <v>柯瑪亞果省 / 波提花莊園 - 帕卡瑪拉種</v>
      </c>
      <c r="AJ584" s="23" t="s">
        <v>802</v>
      </c>
    </row>
    <row r="585" spans="1:36" x14ac:dyDescent="0.3">
      <c r="A585">
        <v>568</v>
      </c>
      <c r="B585">
        <v>245</v>
      </c>
      <c r="D585">
        <v>62</v>
      </c>
      <c r="E585" t="str">
        <f>_xlfn.LET(_xlpm.x,_xlfn.XLOOKUP(D585,beans!$A$2:$A$300,beans!$H$2:$H$300,""),IF(_xlpm.x="","",_xlpm.x))</f>
        <v>瓜地馬拉</v>
      </c>
      <c r="F585" s="22" t="str">
        <f>_xlfn.XLOOKUP(E585,menu!$A$2:$A$37,menu!$B$2:$B$37,"")</f>
        <v>Guatemala</v>
      </c>
      <c r="G585" t="str">
        <f>_xlfn.XLOOKUP(E585,menu!$A$2:$A$37,menu!$C$2:$C$37,"")</f>
        <v>gtm</v>
      </c>
      <c r="H585" t="str">
        <f>_xlfn.LET(_xlpm.x,_xlfn.XLOOKUP(_xlfn.XLOOKUP(D585,beans!$A$2:$A$300,beans!$I$2:$I$300),menu!$E$2:$E$20,menu!$F$2:$F$20),IF(_xlpm.x="","",_xlpm.x))</f>
        <v>washed</v>
      </c>
      <c r="I585">
        <v>200</v>
      </c>
      <c r="J585">
        <v>75</v>
      </c>
      <c r="K585">
        <v>25</v>
      </c>
      <c r="L585">
        <v>75</v>
      </c>
      <c r="M585" s="68" t="s">
        <v>54</v>
      </c>
      <c r="N585">
        <v>88.5</v>
      </c>
      <c r="P585" s="67" t="s">
        <v>46</v>
      </c>
      <c r="Q585" s="68">
        <v>203.3</v>
      </c>
      <c r="R585" s="67" t="s">
        <v>322</v>
      </c>
      <c r="S585" s="68">
        <v>218.3</v>
      </c>
      <c r="T585" s="68">
        <f t="shared" si="74"/>
        <v>15</v>
      </c>
      <c r="U585">
        <f t="shared" si="70"/>
        <v>82</v>
      </c>
      <c r="V585">
        <f t="shared" si="75"/>
        <v>11</v>
      </c>
      <c r="W585">
        <f t="shared" si="71"/>
        <v>12.5</v>
      </c>
      <c r="X585" s="19">
        <v>45740</v>
      </c>
      <c r="Y585" s="26">
        <v>209.7</v>
      </c>
      <c r="Z585" s="61">
        <v>0</v>
      </c>
      <c r="AA585" s="61">
        <v>0</v>
      </c>
      <c r="AB585" s="28">
        <f t="shared" si="72"/>
        <v>0.14408163265306126</v>
      </c>
      <c r="AE585" s="61" t="str">
        <f t="shared" si="73"/>
        <v/>
      </c>
      <c r="AF585" s="77" t="str">
        <f>_xlfn.XLOOKUP(AD585,menu!$K$2:$K$9,menu!$J$2:$J$9,"",1)</f>
        <v/>
      </c>
      <c r="AG585" s="80" t="str">
        <f>_xlfn.XLOOKUP(AH585,menu!$O$2:$O$9,menu!$H$2:$H$9,"")</f>
        <v/>
      </c>
      <c r="AI585" t="str">
        <f>_xlfn.LET(_xlpm.x,_xlfn.CONCAT(_xlfn.XLOOKUP(D585,beans!$A$2:$A$300,beans!$J$2:$J$300,"")," / ",_xlfn.XLOOKUP(D585,beans!$A$2:$A$300,beans!$K$2:$K$300,"")," - ",_xlfn.XLOOKUP(D585,beans!$A$2:$A$300,beans!$L$2:$L$300,"")),IF(_xlpm.x=" /  - ","",_xlpm.x))</f>
        <v>拉拉波 / 芬卡 - 波旁</v>
      </c>
      <c r="AJ585" s="23" t="s">
        <v>803</v>
      </c>
    </row>
    <row r="586" spans="1:36" x14ac:dyDescent="0.3">
      <c r="A586">
        <v>569</v>
      </c>
      <c r="B586">
        <v>242</v>
      </c>
      <c r="D586">
        <v>90</v>
      </c>
      <c r="E586" t="str">
        <f>_xlfn.LET(_xlpm.x,_xlfn.XLOOKUP(D586,beans!$A$2:$A$300,beans!$H$2:$H$300,""),IF(_xlpm.x="","",_xlpm.x))</f>
        <v>衣索比亞</v>
      </c>
      <c r="F586" s="22" t="str">
        <f>_xlfn.XLOOKUP(E586,menu!$A$2:$A$37,menu!$B$2:$B$37,"")</f>
        <v>Ethiopia</v>
      </c>
      <c r="G586" t="str">
        <f>_xlfn.XLOOKUP(E586,menu!$A$2:$A$37,menu!$C$2:$C$37,"")</f>
        <v>eth</v>
      </c>
      <c r="H586" t="str">
        <f>_xlfn.LET(_xlpm.x,_xlfn.XLOOKUP(_xlfn.XLOOKUP(D586,beans!$A$2:$A$300,beans!$I$2:$I$300),menu!$E$2:$E$20,menu!$F$2:$F$20),IF(_xlpm.x="","",_xlpm.x))</f>
        <v>natural</v>
      </c>
      <c r="I586">
        <v>200</v>
      </c>
      <c r="J586">
        <v>75</v>
      </c>
      <c r="K586">
        <v>25</v>
      </c>
      <c r="L586">
        <v>75</v>
      </c>
      <c r="M586" s="68" t="s">
        <v>75</v>
      </c>
      <c r="N586">
        <v>88.8</v>
      </c>
      <c r="P586" s="67" t="s">
        <v>581</v>
      </c>
      <c r="Q586" s="68">
        <v>200.9</v>
      </c>
      <c r="R586" s="67" t="s">
        <v>262</v>
      </c>
      <c r="S586" s="68">
        <v>222.7</v>
      </c>
      <c r="T586" s="68">
        <f t="shared" si="74"/>
        <v>21.799999999999983</v>
      </c>
      <c r="U586">
        <f t="shared" si="70"/>
        <v>91</v>
      </c>
      <c r="V586">
        <f t="shared" si="75"/>
        <v>14.4</v>
      </c>
      <c r="W586">
        <f t="shared" si="71"/>
        <v>14.51</v>
      </c>
      <c r="X586" s="19">
        <v>45740</v>
      </c>
      <c r="Y586" s="26">
        <v>207</v>
      </c>
      <c r="Z586" s="61">
        <v>0</v>
      </c>
      <c r="AB586" s="28">
        <f t="shared" si="72"/>
        <v>0.14462809917355371</v>
      </c>
      <c r="AE586" s="61" t="str">
        <f t="shared" si="73"/>
        <v/>
      </c>
      <c r="AF586" s="77" t="str">
        <f>_xlfn.XLOOKUP(AD586,menu!$K$2:$K$9,menu!$J$2:$J$9,"",1)</f>
        <v/>
      </c>
      <c r="AG586" s="80" t="str">
        <f>_xlfn.XLOOKUP(AH586,menu!$O$2:$O$9,menu!$H$2:$H$9,"")</f>
        <v/>
      </c>
      <c r="AI586" t="str">
        <f>_xlfn.LET(_xlpm.x,_xlfn.CONCAT(_xlfn.XLOOKUP(D586,beans!$A$2:$A$300,beans!$J$2:$J$300,"")," / ",_xlfn.XLOOKUP(D586,beans!$A$2:$A$300,beans!$K$2:$K$300,"")," - ",_xlfn.XLOOKUP(D586,beans!$A$2:$A$300,beans!$L$2:$L$300,"")),IF(_xlpm.x=" /  - ","",_xlpm.x))</f>
        <v xml:space="preserve">利姆 / 格拉莊園 - </v>
      </c>
      <c r="AJ586" s="23" t="s">
        <v>802</v>
      </c>
    </row>
    <row r="587" spans="1:36" x14ac:dyDescent="0.3">
      <c r="A587">
        <v>570</v>
      </c>
      <c r="B587">
        <v>236.6</v>
      </c>
      <c r="D587">
        <v>55</v>
      </c>
      <c r="E587" t="str">
        <f>_xlfn.LET(_xlpm.x,_xlfn.XLOOKUP(D587,beans!$A$2:$A$300,beans!$H$2:$H$300,""),IF(_xlpm.x="","",_xlpm.x))</f>
        <v>衣索比亞</v>
      </c>
      <c r="F587" s="22" t="str">
        <f>_xlfn.XLOOKUP(E587,menu!$A$2:$A$37,menu!$B$2:$B$37,"")</f>
        <v>Ethiopia</v>
      </c>
      <c r="G587" t="str">
        <f>_xlfn.XLOOKUP(E587,menu!$A$2:$A$37,menu!$C$2:$C$37,"")</f>
        <v>eth</v>
      </c>
      <c r="H587" t="str">
        <f>_xlfn.LET(_xlpm.x,_xlfn.XLOOKUP(_xlfn.XLOOKUP(D587,beans!$A$2:$A$300,beans!$I$2:$I$300),menu!$E$2:$E$20,menu!$F$2:$F$20),IF(_xlpm.x="","",_xlpm.x))</f>
        <v>natural</v>
      </c>
      <c r="I587">
        <v>200</v>
      </c>
      <c r="J587">
        <v>75</v>
      </c>
      <c r="K587">
        <v>25</v>
      </c>
      <c r="L587">
        <v>75</v>
      </c>
      <c r="M587" s="68" t="s">
        <v>87</v>
      </c>
      <c r="N587">
        <v>90.5</v>
      </c>
      <c r="P587" s="67" t="s">
        <v>256</v>
      </c>
      <c r="Q587" s="68">
        <v>202.3</v>
      </c>
      <c r="R587" s="67" t="s">
        <v>512</v>
      </c>
      <c r="S587" s="68">
        <v>220.7</v>
      </c>
      <c r="T587" s="68">
        <f t="shared" si="74"/>
        <v>18.399999999999977</v>
      </c>
      <c r="U587">
        <f t="shared" si="70"/>
        <v>65</v>
      </c>
      <c r="V587">
        <f t="shared" si="75"/>
        <v>17</v>
      </c>
      <c r="W587">
        <f t="shared" si="71"/>
        <v>11.11</v>
      </c>
      <c r="X587" s="19">
        <v>45740</v>
      </c>
      <c r="Y587" s="26">
        <v>202</v>
      </c>
      <c r="Z587" s="61">
        <v>0</v>
      </c>
      <c r="AA587" s="61">
        <v>0</v>
      </c>
      <c r="AB587" s="28">
        <f t="shared" si="72"/>
        <v>0.14623837700760775</v>
      </c>
      <c r="AE587" s="61" t="str">
        <f t="shared" si="73"/>
        <v/>
      </c>
      <c r="AF587" s="77" t="str">
        <f>_xlfn.XLOOKUP(AD587,menu!$K$2:$K$9,menu!$J$2:$J$9,"",1)</f>
        <v/>
      </c>
      <c r="AG587" s="80" t="str">
        <f>_xlfn.XLOOKUP(AH587,menu!$O$2:$O$9,menu!$H$2:$H$9,"")</f>
        <v/>
      </c>
      <c r="AI587" t="str">
        <f>_xlfn.LET(_xlpm.x,_xlfn.CONCAT(_xlfn.XLOOKUP(D587,beans!$A$2:$A$300,beans!$J$2:$J$300,"")," / ",_xlfn.XLOOKUP(D587,beans!$A$2:$A$300,beans!$K$2:$K$300,"")," - ",_xlfn.XLOOKUP(D587,beans!$A$2:$A$300,beans!$L$2:$L$300,"")),IF(_xlpm.x=" /  - ","",_xlpm.x))</f>
        <v>歐若米亞 古吉 / 莎奇恰 - Heirloom</v>
      </c>
      <c r="AJ587" s="23" t="s">
        <v>804</v>
      </c>
    </row>
    <row r="588" spans="1:36" x14ac:dyDescent="0.3">
      <c r="A588">
        <v>571</v>
      </c>
      <c r="B588">
        <v>246</v>
      </c>
      <c r="D588">
        <v>70</v>
      </c>
      <c r="E588" t="str">
        <f>_xlfn.LET(_xlpm.x,_xlfn.XLOOKUP(D588,beans!$A$2:$A$300,beans!$H$2:$H$300,""),IF(_xlpm.x="","",_xlpm.x))</f>
        <v>盧安達</v>
      </c>
      <c r="F588" s="22" t="str">
        <f>_xlfn.XLOOKUP(E588,menu!$A$2:$A$37,menu!$B$2:$B$37,"")</f>
        <v>Rwanda</v>
      </c>
      <c r="G588" t="str">
        <f>_xlfn.XLOOKUP(E588,menu!$A$2:$A$37,menu!$C$2:$C$37,"")</f>
        <v>rwa</v>
      </c>
      <c r="H588" t="str">
        <f>_xlfn.LET(_xlpm.x,_xlfn.XLOOKUP(_xlfn.XLOOKUP(D588,beans!$A$2:$A$300,beans!$I$2:$I$300),menu!$E$2:$E$20,menu!$F$2:$F$20),IF(_xlpm.x="","",_xlpm.x))</f>
        <v>honey</v>
      </c>
      <c r="I588">
        <v>200</v>
      </c>
      <c r="J588">
        <v>75</v>
      </c>
      <c r="K588">
        <v>25</v>
      </c>
      <c r="L588">
        <v>75</v>
      </c>
      <c r="M588" s="68" t="s">
        <v>75</v>
      </c>
      <c r="N588">
        <v>89.9</v>
      </c>
      <c r="P588" s="67" t="s">
        <v>252</v>
      </c>
      <c r="Q588" s="68">
        <v>205</v>
      </c>
      <c r="R588" s="67" t="s">
        <v>142</v>
      </c>
      <c r="S588" s="68">
        <v>221</v>
      </c>
      <c r="T588" s="68">
        <f t="shared" si="74"/>
        <v>16</v>
      </c>
      <c r="U588">
        <f t="shared" si="70"/>
        <v>86</v>
      </c>
      <c r="V588">
        <f t="shared" si="75"/>
        <v>11.2</v>
      </c>
      <c r="W588">
        <f t="shared" si="71"/>
        <v>13.4</v>
      </c>
      <c r="X588" s="19">
        <v>45740</v>
      </c>
      <c r="Y588" s="26">
        <v>210</v>
      </c>
      <c r="Z588" s="61">
        <v>0</v>
      </c>
      <c r="AA588" s="61">
        <v>0</v>
      </c>
      <c r="AB588" s="28">
        <f t="shared" si="72"/>
        <v>0.14634146341463414</v>
      </c>
      <c r="AE588" s="61" t="str">
        <f t="shared" si="73"/>
        <v/>
      </c>
      <c r="AF588" s="77" t="str">
        <f>_xlfn.XLOOKUP(AD588,menu!$K$2:$K$9,menu!$J$2:$J$9,"",1)</f>
        <v/>
      </c>
      <c r="AG588" s="80" t="str">
        <f>_xlfn.XLOOKUP(AH588,menu!$O$2:$O$9,menu!$H$2:$H$9,"")</f>
        <v/>
      </c>
      <c r="AI588" t="str">
        <f>_xlfn.LET(_xlpm.x,_xlfn.CONCAT(_xlfn.XLOOKUP(D588,beans!$A$2:$A$300,beans!$J$2:$J$300,"")," / ",_xlfn.XLOOKUP(D588,beans!$A$2:$A$300,beans!$K$2:$K$300,"")," - ",_xlfn.XLOOKUP(D588,beans!$A$2:$A$300,beans!$L$2:$L$300,"")),IF(_xlpm.x=" /  - ","",_xlpm.x))</f>
        <v xml:space="preserve">亞瑪雪克 / 其林比 - </v>
      </c>
      <c r="AJ588" s="23" t="s">
        <v>800</v>
      </c>
    </row>
    <row r="589" spans="1:36" x14ac:dyDescent="0.3">
      <c r="A589">
        <v>572</v>
      </c>
      <c r="B589">
        <v>250</v>
      </c>
      <c r="D589">
        <v>2</v>
      </c>
      <c r="E589" t="str">
        <f>_xlfn.LET(_xlpm.x,_xlfn.XLOOKUP(D589,beans!$A$2:$A$300,beans!$H$2:$H$300,""),IF(_xlpm.x="","",_xlpm.x))</f>
        <v>哥斯大黎加</v>
      </c>
      <c r="F589" s="22" t="str">
        <f>_xlfn.XLOOKUP(E589,menu!$A$2:$A$37,menu!$B$2:$B$37,"")</f>
        <v>Costa Rica</v>
      </c>
      <c r="G589" t="str">
        <f>_xlfn.XLOOKUP(E589,menu!$A$2:$A$37,menu!$C$2:$C$37,"")</f>
        <v>cri</v>
      </c>
      <c r="H589" t="str">
        <f>_xlfn.LET(_xlpm.x,_xlfn.XLOOKUP(_xlfn.XLOOKUP(D589,beans!$A$2:$A$300,beans!$I$2:$I$300),menu!$E$2:$E$20,menu!$F$2:$F$20),IF(_xlpm.x="","",_xlpm.x))</f>
        <v>raisin-honey</v>
      </c>
      <c r="I589">
        <v>200</v>
      </c>
      <c r="J589">
        <v>75</v>
      </c>
      <c r="K589">
        <v>25</v>
      </c>
      <c r="L589">
        <v>75</v>
      </c>
      <c r="M589" s="68" t="s">
        <v>121</v>
      </c>
      <c r="N589">
        <v>88.2</v>
      </c>
      <c r="P589" s="67" t="s">
        <v>252</v>
      </c>
      <c r="Q589" s="68">
        <v>204.5</v>
      </c>
      <c r="R589" s="67" t="s">
        <v>139</v>
      </c>
      <c r="S589" s="68">
        <v>219.5</v>
      </c>
      <c r="T589" s="68">
        <f t="shared" si="74"/>
        <v>15</v>
      </c>
      <c r="U589">
        <f t="shared" si="70"/>
        <v>65</v>
      </c>
      <c r="V589">
        <f t="shared" si="75"/>
        <v>13.8</v>
      </c>
      <c r="W589">
        <f t="shared" si="71"/>
        <v>10.47</v>
      </c>
      <c r="X589" s="19">
        <v>45740</v>
      </c>
      <c r="Y589" s="26">
        <v>215</v>
      </c>
      <c r="Z589" s="61">
        <v>0</v>
      </c>
      <c r="AB589" s="28">
        <f t="shared" si="72"/>
        <v>0.14000000000000001</v>
      </c>
      <c r="AE589" s="61" t="str">
        <f t="shared" si="73"/>
        <v/>
      </c>
      <c r="AF589" s="77" t="str">
        <f>_xlfn.XLOOKUP(AD589,menu!$K$2:$K$9,menu!$J$2:$J$9,"",1)</f>
        <v/>
      </c>
      <c r="AG589" s="80" t="str">
        <f>_xlfn.XLOOKUP(AH589,menu!$O$2:$O$9,menu!$H$2:$H$9,"")</f>
        <v/>
      </c>
      <c r="AI589" t="str">
        <f>_xlfn.LET(_xlpm.x,_xlfn.CONCAT(_xlfn.XLOOKUP(D589,beans!$A$2:$A$300,beans!$J$2:$J$300,"")," / ",_xlfn.XLOOKUP(D589,beans!$A$2:$A$300,beans!$K$2:$K$300,"")," - ",_xlfn.XLOOKUP(D589,beans!$A$2:$A$300,beans!$L$2:$L$300,"")),IF(_xlpm.x=" /  - ","",_xlpm.x))</f>
        <v xml:space="preserve">Tarrazu / 卡內特 音樂家系列 莫札特 - </v>
      </c>
      <c r="AJ589" s="23" t="s">
        <v>802</v>
      </c>
    </row>
    <row r="590" spans="1:36" x14ac:dyDescent="0.3">
      <c r="A590">
        <v>573</v>
      </c>
      <c r="B590">
        <v>245</v>
      </c>
      <c r="D590">
        <v>68</v>
      </c>
      <c r="E590" t="str">
        <f>_xlfn.LET(_xlpm.x,_xlfn.XLOOKUP(D590,beans!$A$2:$A$300,beans!$H$2:$H$300,""),IF(_xlpm.x="","",_xlpm.x))</f>
        <v>哥倫比亞</v>
      </c>
      <c r="F590" s="22" t="str">
        <f>_xlfn.XLOOKUP(E590,menu!$A$2:$A$37,menu!$B$2:$B$37,"")</f>
        <v>Colombia</v>
      </c>
      <c r="G590" t="str">
        <f>_xlfn.XLOOKUP(E590,menu!$A$2:$A$37,menu!$C$2:$C$37,"")</f>
        <v>col</v>
      </c>
      <c r="H590" t="str">
        <f>_xlfn.LET(_xlpm.x,_xlfn.XLOOKUP(_xlfn.XLOOKUP(D590,beans!$A$2:$A$300,beans!$I$2:$I$300),menu!$E$2:$E$20,menu!$F$2:$F$20),IF(_xlpm.x="","",_xlpm.x))</f>
        <v>Anaerobic Natural</v>
      </c>
      <c r="I590">
        <v>200</v>
      </c>
      <c r="J590">
        <v>75</v>
      </c>
      <c r="K590">
        <v>25</v>
      </c>
      <c r="L590">
        <v>75</v>
      </c>
      <c r="M590" s="68" t="s">
        <v>190</v>
      </c>
      <c r="N590">
        <v>90.2</v>
      </c>
      <c r="P590" s="67" t="s">
        <v>738</v>
      </c>
      <c r="Q590" s="68">
        <v>201.4</v>
      </c>
      <c r="R590" s="67" t="s">
        <v>202</v>
      </c>
      <c r="S590" s="68">
        <v>217.3</v>
      </c>
      <c r="T590" s="68">
        <f t="shared" si="74"/>
        <v>15.900000000000006</v>
      </c>
      <c r="U590">
        <f t="shared" si="70"/>
        <v>84</v>
      </c>
      <c r="V590">
        <f t="shared" si="75"/>
        <v>11.4</v>
      </c>
      <c r="W590">
        <f t="shared" si="71"/>
        <v>13.5</v>
      </c>
      <c r="X590" s="19">
        <v>45740</v>
      </c>
      <c r="Y590" s="26">
        <v>213</v>
      </c>
      <c r="Z590" s="61">
        <v>0</v>
      </c>
      <c r="AA590" s="61">
        <v>0</v>
      </c>
      <c r="AB590" s="28">
        <f t="shared" si="72"/>
        <v>0.1306122448979592</v>
      </c>
      <c r="AE590" s="61" t="str">
        <f t="shared" si="73"/>
        <v/>
      </c>
      <c r="AF590" s="77" t="str">
        <f>_xlfn.XLOOKUP(AD590,menu!$K$2:$K$9,menu!$J$2:$J$9,"",1)</f>
        <v/>
      </c>
      <c r="AG590" s="80" t="str">
        <f>_xlfn.XLOOKUP(AH590,menu!$O$2:$O$9,menu!$H$2:$H$9,"")</f>
        <v/>
      </c>
      <c r="AI590" t="str">
        <f>_xlfn.LET(_xlpm.x,_xlfn.CONCAT(_xlfn.XLOOKUP(D590,beans!$A$2:$A$300,beans!$J$2:$J$300,"")," / ",_xlfn.XLOOKUP(D590,beans!$A$2:$A$300,beans!$K$2:$K$300,"")," - ",_xlfn.XLOOKUP(D590,beans!$A$2:$A$300,beans!$L$2:$L$300,"")),IF(_xlpm.x=" /  - ","",_xlpm.x))</f>
        <v xml:space="preserve"> / 天堂莊園-日出桂花香 - </v>
      </c>
      <c r="AJ590" s="23" t="s">
        <v>803</v>
      </c>
    </row>
    <row r="591" spans="1:36" x14ac:dyDescent="0.3">
      <c r="A591">
        <v>574</v>
      </c>
      <c r="B591">
        <v>493.4</v>
      </c>
      <c r="D591">
        <v>88</v>
      </c>
      <c r="E591" t="str">
        <f>_xlfn.LET(_xlpm.x,_xlfn.XLOOKUP(D591,beans!$A$2:$A$300,beans!$H$2:$H$300,""),IF(_xlpm.x="","",_xlpm.x))</f>
        <v>衣索比亞</v>
      </c>
      <c r="F591" s="22" t="str">
        <f>_xlfn.XLOOKUP(E591,menu!$A$2:$A$37,menu!$B$2:$B$37,"")</f>
        <v>Ethiopia</v>
      </c>
      <c r="G591" t="str">
        <f>_xlfn.XLOOKUP(E591,menu!$A$2:$A$37,menu!$C$2:$C$37,"")</f>
        <v>eth</v>
      </c>
      <c r="H591" t="str">
        <f>_xlfn.LET(_xlpm.x,_xlfn.XLOOKUP(_xlfn.XLOOKUP(D591,beans!$A$2:$A$300,beans!$I$2:$I$300),menu!$E$2:$E$20,menu!$F$2:$F$20),IF(_xlpm.x="","",_xlpm.x))</f>
        <v>washed</v>
      </c>
      <c r="I591">
        <v>200</v>
      </c>
      <c r="J591">
        <v>80</v>
      </c>
      <c r="K591">
        <v>25</v>
      </c>
      <c r="L591">
        <v>90</v>
      </c>
      <c r="M591" s="68" t="s">
        <v>54</v>
      </c>
      <c r="N591">
        <v>84.1</v>
      </c>
      <c r="P591" s="67" t="s">
        <v>570</v>
      </c>
      <c r="Q591" s="68">
        <v>199</v>
      </c>
      <c r="R591" s="67" t="s">
        <v>214</v>
      </c>
      <c r="S591" s="68">
        <v>217.7</v>
      </c>
      <c r="T591" s="68">
        <f t="shared" si="74"/>
        <v>18.699999999999989</v>
      </c>
      <c r="U591">
        <f t="shared" si="70"/>
        <v>120</v>
      </c>
      <c r="V591">
        <f t="shared" si="75"/>
        <v>9.3000000000000007</v>
      </c>
      <c r="W591">
        <f t="shared" si="71"/>
        <v>16.329999999999998</v>
      </c>
      <c r="X591" s="19">
        <v>45749</v>
      </c>
      <c r="Y591" s="26">
        <v>419</v>
      </c>
      <c r="Z591" s="61">
        <v>0</v>
      </c>
      <c r="AB591" s="28">
        <f t="shared" si="72"/>
        <v>0.15079043372517223</v>
      </c>
      <c r="AE591" s="61" t="str">
        <f t="shared" si="73"/>
        <v/>
      </c>
      <c r="AF591" s="77" t="str">
        <f>_xlfn.XLOOKUP(AD591,menu!$K$2:$K$9,menu!$J$2:$J$9,"",1)</f>
        <v/>
      </c>
      <c r="AG591" s="80" t="str">
        <f>_xlfn.XLOOKUP(AH591,menu!$O$2:$O$9,menu!$H$2:$H$9,"")</f>
        <v/>
      </c>
      <c r="AI591" t="str">
        <f>_xlfn.LET(_xlpm.x,_xlfn.CONCAT(_xlfn.XLOOKUP(D591,beans!$A$2:$A$300,beans!$J$2:$J$300,"")," / ",_xlfn.XLOOKUP(D591,beans!$A$2:$A$300,beans!$K$2:$K$300,"")," - ",_xlfn.XLOOKUP(D591,beans!$A$2:$A$300,beans!$L$2:$L$300,"")),IF(_xlpm.x=" /  - ","",_xlpm.x))</f>
        <v xml:space="preserve">耶加雪菲 / 柯契爾 畢洛雅 - </v>
      </c>
      <c r="AJ591" s="23" t="s">
        <v>805</v>
      </c>
    </row>
    <row r="592" spans="1:36" x14ac:dyDescent="0.3">
      <c r="A592">
        <v>575</v>
      </c>
      <c r="B592">
        <v>500</v>
      </c>
      <c r="D592">
        <v>88</v>
      </c>
      <c r="E592" t="str">
        <f>_xlfn.LET(_xlpm.x,_xlfn.XLOOKUP(D592,beans!$A$2:$A$300,beans!$H$2:$H$300,""),IF(_xlpm.x="","",_xlpm.x))</f>
        <v>衣索比亞</v>
      </c>
      <c r="F592" s="22" t="str">
        <f>_xlfn.XLOOKUP(E592,menu!$A$2:$A$37,menu!$B$2:$B$37,"")</f>
        <v>Ethiopia</v>
      </c>
      <c r="G592" t="str">
        <f>_xlfn.XLOOKUP(E592,menu!$A$2:$A$37,menu!$C$2:$C$37,"")</f>
        <v>eth</v>
      </c>
      <c r="H592" t="str">
        <f>_xlfn.LET(_xlpm.x,_xlfn.XLOOKUP(_xlfn.XLOOKUP(D592,beans!$A$2:$A$300,beans!$I$2:$I$300),menu!$E$2:$E$20,menu!$F$2:$F$20),IF(_xlpm.x="","",_xlpm.x))</f>
        <v>washed</v>
      </c>
      <c r="I592">
        <v>200</v>
      </c>
      <c r="J592">
        <v>8</v>
      </c>
      <c r="K592">
        <v>25</v>
      </c>
      <c r="L592">
        <v>90</v>
      </c>
      <c r="M592" s="68" t="s">
        <v>121</v>
      </c>
      <c r="N592">
        <v>81.900000000000006</v>
      </c>
      <c r="P592" s="67" t="s">
        <v>714</v>
      </c>
      <c r="Q592" s="68">
        <v>199.3</v>
      </c>
      <c r="R592" s="67" t="s">
        <v>154</v>
      </c>
      <c r="S592" s="68">
        <v>219.1</v>
      </c>
      <c r="T592" s="68">
        <f t="shared" si="74"/>
        <v>19.799999999999983</v>
      </c>
      <c r="U592">
        <f t="shared" si="70"/>
        <v>106</v>
      </c>
      <c r="V592">
        <f t="shared" si="75"/>
        <v>11.2</v>
      </c>
      <c r="W592">
        <f t="shared" si="71"/>
        <v>15.47</v>
      </c>
      <c r="X592" s="19">
        <v>45749</v>
      </c>
      <c r="Y592" s="26">
        <v>425.5</v>
      </c>
      <c r="Z592" s="61">
        <v>0</v>
      </c>
      <c r="AB592" s="28">
        <f t="shared" si="72"/>
        <v>0.14899999999999999</v>
      </c>
      <c r="AE592" s="61" t="str">
        <f t="shared" si="73"/>
        <v/>
      </c>
      <c r="AF592" s="77" t="str">
        <f>_xlfn.XLOOKUP(AD592,menu!$K$2:$K$9,menu!$J$2:$J$9,"",1)</f>
        <v/>
      </c>
      <c r="AG592" s="80" t="str">
        <f>_xlfn.XLOOKUP(AH592,menu!$O$2:$O$9,menu!$H$2:$H$9,"")</f>
        <v/>
      </c>
      <c r="AI592" t="str">
        <f>_xlfn.LET(_xlpm.x,_xlfn.CONCAT(_xlfn.XLOOKUP(D592,beans!$A$2:$A$300,beans!$J$2:$J$300,"")," / ",_xlfn.XLOOKUP(D592,beans!$A$2:$A$300,beans!$K$2:$K$300,"")," - ",_xlfn.XLOOKUP(D592,beans!$A$2:$A$300,beans!$L$2:$L$300,"")),IF(_xlpm.x=" /  - ","",_xlpm.x))</f>
        <v xml:space="preserve">耶加雪菲 / 柯契爾 畢洛雅 - </v>
      </c>
      <c r="AJ592" s="23" t="s">
        <v>805</v>
      </c>
    </row>
    <row r="593" spans="1:36" x14ac:dyDescent="0.3">
      <c r="A593">
        <v>491.7</v>
      </c>
      <c r="B593">
        <v>491.7</v>
      </c>
      <c r="D593">
        <v>88</v>
      </c>
      <c r="E593" t="str">
        <f>_xlfn.LET(_xlpm.x,_xlfn.XLOOKUP(D593,beans!$A$2:$A$300,beans!$H$2:$H$300,""),IF(_xlpm.x="","",_xlpm.x))</f>
        <v>衣索比亞</v>
      </c>
      <c r="F593" s="22" t="str">
        <f>_xlfn.XLOOKUP(E593,menu!$A$2:$A$37,menu!$B$2:$B$37,"")</f>
        <v>Ethiopia</v>
      </c>
      <c r="G593" t="str">
        <f>_xlfn.XLOOKUP(E593,menu!$A$2:$A$37,menu!$C$2:$C$37,"")</f>
        <v>eth</v>
      </c>
      <c r="H593" t="str">
        <f>_xlfn.LET(_xlpm.x,_xlfn.XLOOKUP(_xlfn.XLOOKUP(D593,beans!$A$2:$A$300,beans!$I$2:$I$300),menu!$E$2:$E$20,menu!$F$2:$F$20),IF(_xlpm.x="","",_xlpm.x))</f>
        <v>washed</v>
      </c>
      <c r="I593">
        <v>200</v>
      </c>
      <c r="J593">
        <v>80</v>
      </c>
      <c r="K593">
        <v>25</v>
      </c>
      <c r="L593">
        <v>90</v>
      </c>
      <c r="M593" s="68" t="s">
        <v>109</v>
      </c>
      <c r="N593">
        <v>81.900000000000006</v>
      </c>
      <c r="P593" s="67" t="s">
        <v>465</v>
      </c>
      <c r="Q593" s="68">
        <v>196.4</v>
      </c>
      <c r="R593" s="67" t="s">
        <v>47</v>
      </c>
      <c r="S593" s="68">
        <v>219.2</v>
      </c>
      <c r="T593" s="68">
        <f t="shared" si="74"/>
        <v>22.799999999999983</v>
      </c>
      <c r="U593">
        <f t="shared" si="70"/>
        <v>118</v>
      </c>
      <c r="V593">
        <f t="shared" si="75"/>
        <v>11.6</v>
      </c>
      <c r="W593">
        <f t="shared" si="71"/>
        <v>17.329999999999998</v>
      </c>
      <c r="X593" s="19">
        <v>45749</v>
      </c>
      <c r="Y593" s="26">
        <v>418.6</v>
      </c>
      <c r="Z593" s="61">
        <v>0</v>
      </c>
      <c r="AB593" s="28">
        <f t="shared" si="72"/>
        <v>0.14866788692292041</v>
      </c>
      <c r="AE593" s="61" t="str">
        <f t="shared" si="73"/>
        <v/>
      </c>
      <c r="AF593" s="77" t="str">
        <f>_xlfn.XLOOKUP(AD593,menu!$K$2:$K$9,menu!$J$2:$J$9,"",1)</f>
        <v/>
      </c>
      <c r="AG593" s="80" t="str">
        <f>_xlfn.XLOOKUP(AH593,menu!$O$2:$O$9,menu!$H$2:$H$9,"")</f>
        <v/>
      </c>
      <c r="AI593" t="str">
        <f>_xlfn.LET(_xlpm.x,_xlfn.CONCAT(_xlfn.XLOOKUP(D593,beans!$A$2:$A$300,beans!$J$2:$J$300,"")," / ",_xlfn.XLOOKUP(D593,beans!$A$2:$A$300,beans!$K$2:$K$300,"")," - ",_xlfn.XLOOKUP(D593,beans!$A$2:$A$300,beans!$L$2:$L$300,"")),IF(_xlpm.x=" /  - ","",_xlpm.x))</f>
        <v xml:space="preserve">耶加雪菲 / 柯契爾 畢洛雅 - </v>
      </c>
      <c r="AJ593" s="23" t="s">
        <v>805</v>
      </c>
    </row>
    <row r="594" spans="1:36" x14ac:dyDescent="0.3">
      <c r="A594">
        <v>577</v>
      </c>
      <c r="B594">
        <v>500</v>
      </c>
      <c r="D594">
        <v>88</v>
      </c>
      <c r="E594" t="str">
        <f>_xlfn.LET(_xlpm.x,_xlfn.XLOOKUP(D594,beans!$A$2:$A$300,beans!$H$2:$H$300,""),IF(_xlpm.x="","",_xlpm.x))</f>
        <v>衣索比亞</v>
      </c>
      <c r="F594" s="22" t="str">
        <f>_xlfn.XLOOKUP(E594,menu!$A$2:$A$37,menu!$B$2:$B$37,"")</f>
        <v>Ethiopia</v>
      </c>
      <c r="G594" t="str">
        <f>_xlfn.XLOOKUP(E594,menu!$A$2:$A$37,menu!$C$2:$C$37,"")</f>
        <v>eth</v>
      </c>
      <c r="H594" t="str">
        <f>_xlfn.LET(_xlpm.x,_xlfn.XLOOKUP(_xlfn.XLOOKUP(D594,beans!$A$2:$A$300,beans!$I$2:$I$300),menu!$E$2:$E$20,menu!$F$2:$F$20),IF(_xlpm.x="","",_xlpm.x))</f>
        <v>washed</v>
      </c>
      <c r="I594">
        <v>200</v>
      </c>
      <c r="J594">
        <v>80</v>
      </c>
      <c r="K594">
        <v>25</v>
      </c>
      <c r="L594">
        <v>90</v>
      </c>
      <c r="M594" s="68" t="s">
        <v>75</v>
      </c>
      <c r="N594">
        <v>83.2</v>
      </c>
      <c r="P594" s="67" t="s">
        <v>558</v>
      </c>
      <c r="Q594" s="68">
        <v>199.4</v>
      </c>
      <c r="R594" s="67" t="s">
        <v>82</v>
      </c>
      <c r="S594" s="68">
        <v>219.2</v>
      </c>
      <c r="T594" s="68">
        <f t="shared" si="74"/>
        <v>19.799999999999983</v>
      </c>
      <c r="U594">
        <f t="shared" si="70"/>
        <v>103</v>
      </c>
      <c r="V594">
        <f t="shared" si="75"/>
        <v>11.5</v>
      </c>
      <c r="W594">
        <f t="shared" si="71"/>
        <v>15.49</v>
      </c>
      <c r="X594" s="19">
        <v>45749</v>
      </c>
      <c r="Y594" s="26">
        <v>426</v>
      </c>
      <c r="Z594" s="61">
        <v>0</v>
      </c>
      <c r="AB594" s="28">
        <f t="shared" si="72"/>
        <v>0.14799999999999999</v>
      </c>
      <c r="AE594" s="61" t="str">
        <f t="shared" si="73"/>
        <v/>
      </c>
      <c r="AF594" s="77" t="str">
        <f>_xlfn.XLOOKUP(AD594,menu!$K$2:$K$9,menu!$J$2:$J$9,"",1)</f>
        <v/>
      </c>
      <c r="AG594" s="80" t="str">
        <f>_xlfn.XLOOKUP(AH594,menu!$O$2:$O$9,menu!$H$2:$H$9,"")</f>
        <v/>
      </c>
      <c r="AI594" t="str">
        <f>_xlfn.LET(_xlpm.x,_xlfn.CONCAT(_xlfn.XLOOKUP(D594,beans!$A$2:$A$300,beans!$J$2:$J$300,"")," / ",_xlfn.XLOOKUP(D594,beans!$A$2:$A$300,beans!$K$2:$K$300,"")," - ",_xlfn.XLOOKUP(D594,beans!$A$2:$A$300,beans!$L$2:$L$300,"")),IF(_xlpm.x=" /  - ","",_xlpm.x))</f>
        <v xml:space="preserve">耶加雪菲 / 柯契爾 畢洛雅 - </v>
      </c>
      <c r="AJ594" s="23" t="s">
        <v>597</v>
      </c>
    </row>
    <row r="595" spans="1:36" x14ac:dyDescent="0.3">
      <c r="A595">
        <v>578</v>
      </c>
      <c r="B595">
        <v>499</v>
      </c>
      <c r="D595">
        <v>88</v>
      </c>
      <c r="E595" t="str">
        <f>_xlfn.LET(_xlpm.x,_xlfn.XLOOKUP(D595,beans!$A$2:$A$300,beans!$H$2:$H$300,""),IF(_xlpm.x="","",_xlpm.x))</f>
        <v>衣索比亞</v>
      </c>
      <c r="F595" s="22" t="str">
        <f>_xlfn.XLOOKUP(E595,menu!$A$2:$A$37,menu!$B$2:$B$37,"")</f>
        <v>Ethiopia</v>
      </c>
      <c r="G595" t="str">
        <f>_xlfn.XLOOKUP(E595,menu!$A$2:$A$37,menu!$C$2:$C$37,"")</f>
        <v>eth</v>
      </c>
      <c r="H595" t="str">
        <f>_xlfn.LET(_xlpm.x,_xlfn.XLOOKUP(_xlfn.XLOOKUP(D595,beans!$A$2:$A$300,beans!$I$2:$I$300),menu!$E$2:$E$20,menu!$F$2:$F$20),IF(_xlpm.x="","",_xlpm.x))</f>
        <v>washed</v>
      </c>
      <c r="I595">
        <v>200</v>
      </c>
      <c r="J595">
        <v>80</v>
      </c>
      <c r="K595">
        <v>25</v>
      </c>
      <c r="L595">
        <v>90</v>
      </c>
      <c r="M595" s="68" t="s">
        <v>75</v>
      </c>
      <c r="N595">
        <v>82.8</v>
      </c>
      <c r="P595" s="67" t="s">
        <v>599</v>
      </c>
      <c r="Q595" s="68">
        <v>201.6</v>
      </c>
      <c r="R595" s="67" t="s">
        <v>82</v>
      </c>
      <c r="S595" s="68">
        <v>220.3</v>
      </c>
      <c r="T595" s="68">
        <f t="shared" si="74"/>
        <v>18.700000000000017</v>
      </c>
      <c r="U595">
        <f t="shared" si="70"/>
        <v>93</v>
      </c>
      <c r="V595">
        <f t="shared" si="75"/>
        <v>12.1</v>
      </c>
      <c r="W595">
        <f t="shared" si="71"/>
        <v>13.98</v>
      </c>
      <c r="X595" s="19">
        <v>45749</v>
      </c>
      <c r="Y595" s="26">
        <v>423.9</v>
      </c>
      <c r="Z595" s="61">
        <v>0</v>
      </c>
      <c r="AB595" s="28">
        <f t="shared" si="72"/>
        <v>0.15050100200400807</v>
      </c>
      <c r="AE595" s="61" t="str">
        <f t="shared" si="73"/>
        <v/>
      </c>
      <c r="AF595" s="77" t="str">
        <f>_xlfn.XLOOKUP(AD595,menu!$K$2:$K$9,menu!$J$2:$J$9,"",1)</f>
        <v/>
      </c>
      <c r="AG595" s="80" t="str">
        <f>_xlfn.XLOOKUP(AH595,menu!$O$2:$O$9,menu!$H$2:$H$9,"")</f>
        <v/>
      </c>
      <c r="AI595" t="str">
        <f>_xlfn.LET(_xlpm.x,_xlfn.CONCAT(_xlfn.XLOOKUP(D595,beans!$A$2:$A$300,beans!$J$2:$J$300,"")," / ",_xlfn.XLOOKUP(D595,beans!$A$2:$A$300,beans!$K$2:$K$300,"")," - ",_xlfn.XLOOKUP(D595,beans!$A$2:$A$300,beans!$L$2:$L$300,"")),IF(_xlpm.x=" /  - ","",_xlpm.x))</f>
        <v xml:space="preserve">耶加雪菲 / 柯契爾 畢洛雅 - </v>
      </c>
      <c r="AJ595" s="23" t="s">
        <v>806</v>
      </c>
    </row>
    <row r="596" spans="1:36" x14ac:dyDescent="0.3">
      <c r="A596">
        <v>579</v>
      </c>
      <c r="B596">
        <v>496.4</v>
      </c>
      <c r="D596">
        <v>92</v>
      </c>
      <c r="E596" t="str">
        <f>_xlfn.LET(_xlpm.x,_xlfn.XLOOKUP(D596,beans!$A$2:$A$300,beans!$H$2:$H$300,""),IF(_xlpm.x="","",_xlpm.x))</f>
        <v>衣索比亞</v>
      </c>
      <c r="F596" s="22" t="str">
        <f>_xlfn.XLOOKUP(E596,menu!$A$2:$A$37,menu!$B$2:$B$37,"")</f>
        <v>Ethiopia</v>
      </c>
      <c r="G596" t="str">
        <f>_xlfn.XLOOKUP(E596,menu!$A$2:$A$37,menu!$C$2:$C$37,"")</f>
        <v>eth</v>
      </c>
      <c r="H596" t="str">
        <f>_xlfn.LET(_xlpm.x,_xlfn.XLOOKUP(_xlfn.XLOOKUP(D596,beans!$A$2:$A$300,beans!$I$2:$I$300),menu!$E$2:$E$20,menu!$F$2:$F$20),IF(_xlpm.x="","",_xlpm.x))</f>
        <v>washed</v>
      </c>
      <c r="I596">
        <v>200</v>
      </c>
      <c r="J596">
        <v>80</v>
      </c>
      <c r="K596">
        <v>25</v>
      </c>
      <c r="L596">
        <v>90</v>
      </c>
      <c r="M596" s="68" t="s">
        <v>207</v>
      </c>
      <c r="N596">
        <v>80.3</v>
      </c>
      <c r="P596" s="67" t="s">
        <v>119</v>
      </c>
      <c r="Q596" s="68">
        <v>201.3</v>
      </c>
      <c r="R596" s="67" t="s">
        <v>147</v>
      </c>
      <c r="S596" s="68">
        <v>217</v>
      </c>
      <c r="T596" s="68">
        <f t="shared" si="74"/>
        <v>15.699999999999989</v>
      </c>
      <c r="U596">
        <f t="shared" si="70"/>
        <v>95</v>
      </c>
      <c r="V596">
        <f t="shared" si="75"/>
        <v>9.9</v>
      </c>
      <c r="W596">
        <f t="shared" si="71"/>
        <v>14.01</v>
      </c>
      <c r="X596" s="19">
        <v>45749</v>
      </c>
      <c r="Y596" s="26">
        <v>431.3</v>
      </c>
      <c r="Z596" s="61">
        <v>0</v>
      </c>
      <c r="AB596" s="28">
        <f t="shared" si="72"/>
        <v>0.13114423851732468</v>
      </c>
      <c r="AE596" s="61" t="str">
        <f t="shared" si="73"/>
        <v/>
      </c>
      <c r="AF596" s="77" t="str">
        <f>_xlfn.XLOOKUP(AD596,menu!$K$2:$K$9,menu!$J$2:$J$9,"",1)</f>
        <v/>
      </c>
      <c r="AG596" s="80" t="str">
        <f>_xlfn.XLOOKUP(AH596,menu!$O$2:$O$9,menu!$H$2:$H$9,"")</f>
        <v/>
      </c>
      <c r="AI596" t="str">
        <f>_xlfn.LET(_xlpm.x,_xlfn.CONCAT(_xlfn.XLOOKUP(D596,beans!$A$2:$A$300,beans!$J$2:$J$300,"")," / ",_xlfn.XLOOKUP(D596,beans!$A$2:$A$300,beans!$K$2:$K$300,"")," - ",_xlfn.XLOOKUP(D596,beans!$A$2:$A$300,beans!$L$2:$L$300,"")),IF(_xlpm.x=" /  - ","",_xlpm.x))</f>
        <v xml:space="preserve">耶加雪菲 / 阿梅德萊洛處理廠 - </v>
      </c>
      <c r="AJ596" s="23" t="s">
        <v>807</v>
      </c>
    </row>
    <row r="597" spans="1:36" x14ac:dyDescent="0.3">
      <c r="A597">
        <v>580</v>
      </c>
      <c r="B597">
        <v>490</v>
      </c>
      <c r="D597">
        <v>78</v>
      </c>
      <c r="E597" t="str">
        <f>_xlfn.LET(_xlpm.x,_xlfn.XLOOKUP(D597,beans!$A$2:$A$300,beans!$H$2:$H$300,""),IF(_xlpm.x="","",_xlpm.x))</f>
        <v>衣索比亞</v>
      </c>
      <c r="F597" s="22" t="str">
        <f>_xlfn.XLOOKUP(E597,menu!$A$2:$A$37,menu!$B$2:$B$37,"")</f>
        <v>Ethiopia</v>
      </c>
      <c r="G597" t="str">
        <f>_xlfn.XLOOKUP(E597,menu!$A$2:$A$37,menu!$C$2:$C$37,"")</f>
        <v>eth</v>
      </c>
      <c r="H597" t="str">
        <f>_xlfn.LET(_xlpm.x,_xlfn.XLOOKUP(_xlfn.XLOOKUP(D597,beans!$A$2:$A$300,beans!$I$2:$I$300),menu!$E$2:$E$20,menu!$F$2:$F$20),IF(_xlpm.x="","",_xlpm.x))</f>
        <v>honey</v>
      </c>
      <c r="I597">
        <v>200</v>
      </c>
      <c r="J597">
        <v>80</v>
      </c>
      <c r="K597">
        <v>25</v>
      </c>
      <c r="L597">
        <v>90</v>
      </c>
      <c r="M597" s="68" t="s">
        <v>75</v>
      </c>
      <c r="N597">
        <v>84</v>
      </c>
      <c r="P597" s="67" t="s">
        <v>617</v>
      </c>
      <c r="Q597" s="68">
        <v>207.4</v>
      </c>
      <c r="R597" s="67" t="s">
        <v>412</v>
      </c>
      <c r="S597" s="68">
        <v>222.3</v>
      </c>
      <c r="T597" s="68">
        <f t="shared" si="74"/>
        <v>14.900000000000006</v>
      </c>
      <c r="U597">
        <f t="shared" si="70"/>
        <v>70</v>
      </c>
      <c r="V597">
        <f t="shared" si="75"/>
        <v>12.8</v>
      </c>
      <c r="W597">
        <f t="shared" si="71"/>
        <v>10.37</v>
      </c>
      <c r="X597" s="19">
        <v>45749</v>
      </c>
      <c r="Y597" s="26">
        <v>417</v>
      </c>
      <c r="Z597" s="61">
        <v>0</v>
      </c>
      <c r="AB597" s="28">
        <f t="shared" si="72"/>
        <v>0.1489795918367347</v>
      </c>
      <c r="AE597" s="61" t="str">
        <f t="shared" si="73"/>
        <v/>
      </c>
      <c r="AF597" s="77" t="str">
        <f>_xlfn.XLOOKUP(AD597,menu!$K$2:$K$9,menu!$J$2:$J$9,"",1)</f>
        <v/>
      </c>
      <c r="AG597" s="80" t="str">
        <f>_xlfn.XLOOKUP(AH597,menu!$O$2:$O$9,menu!$H$2:$H$9,"")</f>
        <v/>
      </c>
      <c r="AI597" t="str">
        <f>_xlfn.LET(_xlpm.x,_xlfn.CONCAT(_xlfn.XLOOKUP(D597,beans!$A$2:$A$300,beans!$J$2:$J$300,"")," / ",_xlfn.XLOOKUP(D597,beans!$A$2:$A$300,beans!$K$2:$K$300,"")," - ",_xlfn.XLOOKUP(D597,beans!$A$2:$A$300,beans!$L$2:$L$300,"")),IF(_xlpm.x=" /  - ","",_xlpm.x))</f>
        <v xml:space="preserve">耶加雪菲 / 科克 - </v>
      </c>
      <c r="AJ597" s="23" t="s">
        <v>808</v>
      </c>
    </row>
    <row r="598" spans="1:36" x14ac:dyDescent="0.3">
      <c r="A598">
        <v>581</v>
      </c>
      <c r="B598">
        <v>497</v>
      </c>
      <c r="D598">
        <v>21</v>
      </c>
      <c r="E598" t="str">
        <f>_xlfn.LET(_xlpm.x,_xlfn.XLOOKUP(D598,beans!$A$2:$A$300,beans!$H$2:$H$300,""),IF(_xlpm.x="","",_xlpm.x))</f>
        <v>衣索比亞</v>
      </c>
      <c r="F598" s="22" t="str">
        <f>_xlfn.XLOOKUP(E598,menu!$A$2:$A$37,menu!$B$2:$B$37,"")</f>
        <v>Ethiopia</v>
      </c>
      <c r="G598" t="str">
        <f>_xlfn.XLOOKUP(E598,menu!$A$2:$A$37,menu!$C$2:$C$37,"")</f>
        <v>eth</v>
      </c>
      <c r="H598" t="str">
        <f>_xlfn.LET(_xlpm.x,_xlfn.XLOOKUP(_xlfn.XLOOKUP(D598,beans!$A$2:$A$300,beans!$I$2:$I$300),menu!$E$2:$E$20,menu!$F$2:$F$20),IF(_xlpm.x="","",_xlpm.x))</f>
        <v>natural</v>
      </c>
      <c r="I598">
        <v>200</v>
      </c>
      <c r="J598">
        <v>80</v>
      </c>
      <c r="K598">
        <v>25</v>
      </c>
      <c r="L598">
        <v>90</v>
      </c>
      <c r="M598" s="68" t="s">
        <v>109</v>
      </c>
      <c r="N598">
        <v>83.3</v>
      </c>
      <c r="P598" s="67" t="s">
        <v>150</v>
      </c>
      <c r="Q598" s="68">
        <v>207.1</v>
      </c>
      <c r="R598" s="67" t="s">
        <v>370</v>
      </c>
      <c r="S598" s="68">
        <v>214.2</v>
      </c>
      <c r="T598" s="68">
        <f t="shared" si="74"/>
        <v>7.0999999999999943</v>
      </c>
      <c r="U598">
        <f t="shared" si="70"/>
        <v>38</v>
      </c>
      <c r="V598">
        <f t="shared" si="75"/>
        <v>11.2</v>
      </c>
      <c r="W598">
        <f t="shared" si="71"/>
        <v>5.52</v>
      </c>
      <c r="X598" s="19">
        <v>45749</v>
      </c>
      <c r="Y598" s="26">
        <v>420</v>
      </c>
      <c r="Z598" s="61">
        <v>0</v>
      </c>
      <c r="AB598" s="28">
        <f t="shared" si="72"/>
        <v>0.15492957746478872</v>
      </c>
      <c r="AE598" s="61" t="str">
        <f t="shared" si="73"/>
        <v/>
      </c>
      <c r="AF598" s="77" t="str">
        <f>_xlfn.XLOOKUP(AD598,menu!$K$2:$K$9,menu!$J$2:$J$9,"",1)</f>
        <v/>
      </c>
      <c r="AG598" s="80" t="str">
        <f>_xlfn.XLOOKUP(AH598,menu!$O$2:$O$9,menu!$H$2:$H$9,"")</f>
        <v/>
      </c>
      <c r="AI598" t="str">
        <f>_xlfn.LET(_xlpm.x,_xlfn.CONCAT(_xlfn.XLOOKUP(D598,beans!$A$2:$A$300,beans!$J$2:$J$300,"")," / ",_xlfn.XLOOKUP(D598,beans!$A$2:$A$300,beans!$K$2:$K$300,"")," - ",_xlfn.XLOOKUP(D598,beans!$A$2:$A$300,beans!$L$2:$L$300,"")),IF(_xlpm.x=" /  - ","",_xlpm.x))</f>
        <v>古吉 南希寶 / 神燈系列 南希寶 莓姬 - Heirloom</v>
      </c>
      <c r="AJ598" s="23" t="s">
        <v>809</v>
      </c>
    </row>
    <row r="599" spans="1:36" x14ac:dyDescent="0.3">
      <c r="A599">
        <v>582</v>
      </c>
      <c r="B599">
        <v>248.9</v>
      </c>
      <c r="D599">
        <v>87</v>
      </c>
      <c r="E599" t="str">
        <f>_xlfn.LET(_xlpm.x,_xlfn.XLOOKUP(D599,beans!$A$2:$A$300,beans!$H$2:$H$300,""),IF(_xlpm.x="","",_xlpm.x))</f>
        <v>衣索比亞</v>
      </c>
      <c r="F599" s="22" t="str">
        <f>_xlfn.XLOOKUP(E599,menu!$A$2:$A$37,menu!$B$2:$B$37,"")</f>
        <v>Ethiopia</v>
      </c>
      <c r="G599" t="str">
        <f>_xlfn.XLOOKUP(E599,menu!$A$2:$A$37,menu!$C$2:$C$37,"")</f>
        <v>eth</v>
      </c>
      <c r="H599" t="str">
        <f>_xlfn.LET(_xlpm.x,_xlfn.XLOOKUP(_xlfn.XLOOKUP(D599,beans!$A$2:$A$300,beans!$I$2:$I$300),menu!$E$2:$E$20,menu!$F$2:$F$20),IF(_xlpm.x="","",_xlpm.x))</f>
        <v>washed</v>
      </c>
      <c r="I599">
        <v>190</v>
      </c>
      <c r="J599">
        <v>75</v>
      </c>
      <c r="K599">
        <v>25</v>
      </c>
      <c r="L599">
        <v>75</v>
      </c>
      <c r="M599" s="68" t="s">
        <v>160</v>
      </c>
      <c r="N599">
        <v>82.3</v>
      </c>
      <c r="P599" s="67" t="s">
        <v>687</v>
      </c>
      <c r="Q599" s="68">
        <v>202.3</v>
      </c>
      <c r="R599" s="67" t="s">
        <v>614</v>
      </c>
      <c r="S599" s="68">
        <v>219.4</v>
      </c>
      <c r="T599" s="68">
        <f t="shared" si="74"/>
        <v>17.099999999999994</v>
      </c>
      <c r="U599">
        <f t="shared" si="70"/>
        <v>89</v>
      </c>
      <c r="V599">
        <f t="shared" si="75"/>
        <v>11.5</v>
      </c>
      <c r="W599">
        <f t="shared" si="71"/>
        <v>14.15</v>
      </c>
      <c r="X599" s="19">
        <v>45749</v>
      </c>
      <c r="Y599" s="26">
        <v>216</v>
      </c>
      <c r="Z599" s="61">
        <v>0</v>
      </c>
      <c r="AB599" s="28">
        <f t="shared" si="72"/>
        <v>0.13218159903575735</v>
      </c>
      <c r="AE599" s="61" t="str">
        <f t="shared" si="73"/>
        <v/>
      </c>
      <c r="AF599" s="77" t="str">
        <f>_xlfn.XLOOKUP(AD599,menu!$K$2:$K$9,menu!$J$2:$J$9,"",1)</f>
        <v/>
      </c>
      <c r="AG599" s="80" t="str">
        <f>_xlfn.XLOOKUP(AH599,menu!$O$2:$O$9,menu!$H$2:$H$9,"")</f>
        <v/>
      </c>
      <c r="AI599" t="str">
        <f>_xlfn.LET(_xlpm.x,_xlfn.CONCAT(_xlfn.XLOOKUP(D599,beans!$A$2:$A$300,beans!$J$2:$J$300,"")," / ",_xlfn.XLOOKUP(D599,beans!$A$2:$A$300,beans!$K$2:$K$300,"")," - ",_xlfn.XLOOKUP(D599,beans!$A$2:$A$300,beans!$L$2:$L$300,"")),IF(_xlpm.x=" /  - ","",_xlpm.x))</f>
        <v xml:space="preserve">烏拉嗄 / 索羅門 - </v>
      </c>
      <c r="AJ599" s="23" t="s">
        <v>810</v>
      </c>
    </row>
    <row r="600" spans="1:36" x14ac:dyDescent="0.3">
      <c r="A600">
        <v>583</v>
      </c>
      <c r="B600">
        <v>248</v>
      </c>
      <c r="D600">
        <v>85</v>
      </c>
      <c r="E600" t="str">
        <f>_xlfn.LET(_xlpm.x,_xlfn.XLOOKUP(D600,beans!$A$2:$A$300,beans!$H$2:$H$300,""),IF(_xlpm.x="","",_xlpm.x))</f>
        <v>衣索比亞</v>
      </c>
      <c r="F600" s="22" t="str">
        <f>_xlfn.XLOOKUP(E600,menu!$A$2:$A$37,menu!$B$2:$B$37,"")</f>
        <v>Ethiopia</v>
      </c>
      <c r="G600" t="str">
        <f>_xlfn.XLOOKUP(E600,menu!$A$2:$A$37,menu!$C$2:$C$37,"")</f>
        <v>eth</v>
      </c>
      <c r="H600" t="str">
        <f>_xlfn.LET(_xlpm.x,_xlfn.XLOOKUP(_xlfn.XLOOKUP(D600,beans!$A$2:$A$300,beans!$I$2:$I$300),menu!$E$2:$E$20,menu!$F$2:$F$20),IF(_xlpm.x="","",_xlpm.x))</f>
        <v>natural</v>
      </c>
      <c r="I600">
        <v>190</v>
      </c>
      <c r="J600">
        <v>75</v>
      </c>
      <c r="K600">
        <v>25</v>
      </c>
      <c r="L600">
        <v>75</v>
      </c>
      <c r="M600" s="68" t="s">
        <v>54</v>
      </c>
      <c r="N600">
        <v>83.3</v>
      </c>
      <c r="P600" s="67" t="s">
        <v>88</v>
      </c>
      <c r="Q600" s="68">
        <v>205.9</v>
      </c>
      <c r="R600" s="67" t="s">
        <v>295</v>
      </c>
      <c r="S600" s="68">
        <v>222.2</v>
      </c>
      <c r="T600" s="68">
        <f t="shared" si="74"/>
        <v>16.299999999999983</v>
      </c>
      <c r="U600">
        <f t="shared" si="70"/>
        <v>62</v>
      </c>
      <c r="V600">
        <f t="shared" si="75"/>
        <v>15.8</v>
      </c>
      <c r="W600">
        <f t="shared" si="71"/>
        <v>10.35</v>
      </c>
      <c r="X600" s="19">
        <v>45749</v>
      </c>
      <c r="Y600" s="26">
        <v>211.7</v>
      </c>
      <c r="Z600" s="61">
        <v>0</v>
      </c>
      <c r="AB600" s="28">
        <f t="shared" si="72"/>
        <v>0.14637096774193553</v>
      </c>
      <c r="AE600" s="61" t="str">
        <f t="shared" si="73"/>
        <v/>
      </c>
      <c r="AF600" s="77" t="str">
        <f>_xlfn.XLOOKUP(AD600,menu!$K$2:$K$9,menu!$J$2:$J$9,"",1)</f>
        <v/>
      </c>
      <c r="AG600" s="80" t="str">
        <f>_xlfn.XLOOKUP(AH600,menu!$O$2:$O$9,menu!$H$2:$H$9,"")</f>
        <v/>
      </c>
      <c r="AI600" t="str">
        <f>_xlfn.LET(_xlpm.x,_xlfn.CONCAT(_xlfn.XLOOKUP(D600,beans!$A$2:$A$300,beans!$J$2:$J$300,"")," / ",_xlfn.XLOOKUP(D600,beans!$A$2:$A$300,beans!$K$2:$K$300,"")," - ",_xlfn.XLOOKUP(D600,beans!$A$2:$A$300,beans!$L$2:$L$300,"")),IF(_xlpm.x=" /  - ","",_xlpm.x))</f>
        <v xml:space="preserve">古吉 烏拉嘎 / 寇巴 - </v>
      </c>
      <c r="AJ600" s="23" t="s">
        <v>810</v>
      </c>
    </row>
    <row r="601" spans="1:36" x14ac:dyDescent="0.3">
      <c r="A601">
        <v>584</v>
      </c>
      <c r="B601">
        <v>242</v>
      </c>
      <c r="D601">
        <v>86</v>
      </c>
      <c r="E601" t="str">
        <f>_xlfn.LET(_xlpm.x,_xlfn.XLOOKUP(D601,beans!$A$2:$A$300,beans!$H$2:$H$300,""),IF(_xlpm.x="","",_xlpm.x))</f>
        <v>衣索比亞</v>
      </c>
      <c r="F601" s="22" t="str">
        <f>_xlfn.XLOOKUP(E601,menu!$A$2:$A$37,menu!$B$2:$B$37,"")</f>
        <v>Ethiopia</v>
      </c>
      <c r="G601" t="str">
        <f>_xlfn.XLOOKUP(E601,menu!$A$2:$A$37,menu!$C$2:$C$37,"")</f>
        <v>eth</v>
      </c>
      <c r="H601" t="str">
        <f>_xlfn.LET(_xlpm.x,_xlfn.XLOOKUP(_xlfn.XLOOKUP(D601,beans!$A$2:$A$300,beans!$I$2:$I$300),menu!$E$2:$E$20,menu!$F$2:$F$20),IF(_xlpm.x="","",_xlpm.x))</f>
        <v>natural</v>
      </c>
      <c r="I601">
        <v>190</v>
      </c>
      <c r="J601">
        <v>75</v>
      </c>
      <c r="K601">
        <v>25</v>
      </c>
      <c r="L601">
        <v>75</v>
      </c>
      <c r="M601" s="68" t="s">
        <v>121</v>
      </c>
      <c r="N601">
        <v>84.1</v>
      </c>
      <c r="P601" s="67" t="s">
        <v>236</v>
      </c>
      <c r="Q601" s="68">
        <v>207</v>
      </c>
      <c r="R601" s="67" t="s">
        <v>541</v>
      </c>
      <c r="S601" s="68">
        <v>220.1</v>
      </c>
      <c r="T601" s="68">
        <f t="shared" si="74"/>
        <v>13.099999999999994</v>
      </c>
      <c r="U601">
        <f t="shared" si="70"/>
        <v>55</v>
      </c>
      <c r="V601">
        <f t="shared" si="75"/>
        <v>14.3</v>
      </c>
      <c r="W601">
        <f t="shared" si="71"/>
        <v>8.66</v>
      </c>
      <c r="X601" s="19">
        <v>45749</v>
      </c>
      <c r="Y601" s="26">
        <v>208</v>
      </c>
      <c r="Z601" s="61">
        <v>0</v>
      </c>
      <c r="AB601" s="28">
        <f t="shared" si="72"/>
        <v>0.14049586776859505</v>
      </c>
      <c r="AE601" s="61" t="str">
        <f t="shared" si="73"/>
        <v/>
      </c>
      <c r="AF601" s="77" t="str">
        <f>_xlfn.XLOOKUP(AD601,menu!$K$2:$K$9,menu!$J$2:$J$9,"",1)</f>
        <v/>
      </c>
      <c r="AG601" s="80" t="str">
        <f>_xlfn.XLOOKUP(AH601,menu!$O$2:$O$9,menu!$H$2:$H$9,"")</f>
        <v/>
      </c>
      <c r="AI601" t="str">
        <f>_xlfn.LET(_xlpm.x,_xlfn.CONCAT(_xlfn.XLOOKUP(D601,beans!$A$2:$A$300,beans!$J$2:$J$300,"")," / ",_xlfn.XLOOKUP(D601,beans!$A$2:$A$300,beans!$K$2:$K$300,"")," - ",_xlfn.XLOOKUP(D601,beans!$A$2:$A$300,beans!$L$2:$L$300,"")),IF(_xlpm.x=" /  - ","",_xlpm.x))</f>
        <v xml:space="preserve">耶加雪菲 / (沃卡)凱菲亞歐蓓絲  Kefeyalew Obese - </v>
      </c>
      <c r="AJ601" s="23" t="s">
        <v>808</v>
      </c>
    </row>
    <row r="602" spans="1:36" x14ac:dyDescent="0.3">
      <c r="A602">
        <v>585</v>
      </c>
      <c r="B602">
        <v>494</v>
      </c>
      <c r="D602">
        <v>43</v>
      </c>
      <c r="E602" t="str">
        <f>_xlfn.LET(_xlpm.x,_xlfn.XLOOKUP(D602,beans!$A$2:$A$300,beans!$H$2:$H$300,""),IF(_xlpm.x="","",_xlpm.x))</f>
        <v>衣索比亞</v>
      </c>
      <c r="F602" s="22" t="str">
        <f>_xlfn.XLOOKUP(E602,menu!$A$2:$A$37,menu!$B$2:$B$37,"")</f>
        <v>Ethiopia</v>
      </c>
      <c r="G602" t="str">
        <f>_xlfn.XLOOKUP(E602,menu!$A$2:$A$37,menu!$C$2:$C$37,"")</f>
        <v>eth</v>
      </c>
      <c r="H602" t="str">
        <f>_xlfn.LET(_xlpm.x,_xlfn.XLOOKUP(_xlfn.XLOOKUP(D602,beans!$A$2:$A$300,beans!$I$2:$I$300),menu!$E$2:$E$20,menu!$F$2:$F$20),IF(_xlpm.x="","",_xlpm.x))</f>
        <v>natural</v>
      </c>
      <c r="I602">
        <v>190</v>
      </c>
      <c r="J602">
        <v>80</v>
      </c>
      <c r="K602">
        <v>25</v>
      </c>
      <c r="L602">
        <v>90</v>
      </c>
      <c r="M602" s="68" t="s">
        <v>75</v>
      </c>
      <c r="N602">
        <v>80.5</v>
      </c>
      <c r="P602" s="67" t="s">
        <v>668</v>
      </c>
      <c r="Q602" s="68">
        <v>201.6</v>
      </c>
      <c r="R602" s="67" t="s">
        <v>161</v>
      </c>
      <c r="S602" s="68">
        <v>219</v>
      </c>
      <c r="T602" s="68">
        <f t="shared" si="74"/>
        <v>17.400000000000006</v>
      </c>
      <c r="U602">
        <f t="shared" si="70"/>
        <v>87</v>
      </c>
      <c r="V602">
        <f t="shared" si="75"/>
        <v>12</v>
      </c>
      <c r="W602">
        <f t="shared" si="71"/>
        <v>12.85</v>
      </c>
      <c r="X602" s="19">
        <v>45760</v>
      </c>
      <c r="Y602" s="26">
        <v>420.5</v>
      </c>
      <c r="Z602" s="61">
        <v>0</v>
      </c>
      <c r="AB602" s="28">
        <f t="shared" si="72"/>
        <v>0.14878542510121456</v>
      </c>
      <c r="AE602" s="61" t="str">
        <f t="shared" si="73"/>
        <v/>
      </c>
      <c r="AF602" s="77" t="str">
        <f>_xlfn.XLOOKUP(AD602,menu!$K$2:$K$9,menu!$J$2:$J$9,"",1)</f>
        <v/>
      </c>
      <c r="AG602" s="80" t="str">
        <f>_xlfn.XLOOKUP(AH602,menu!$O$2:$O$9,menu!$H$2:$H$9,"")</f>
        <v/>
      </c>
      <c r="AI602" t="str">
        <f>_xlfn.LET(_xlpm.x,_xlfn.CONCAT(_xlfn.XLOOKUP(D602,beans!$A$2:$A$300,beans!$J$2:$J$300,"")," / ",_xlfn.XLOOKUP(D602,beans!$A$2:$A$300,beans!$K$2:$K$300,"")," - ",_xlfn.XLOOKUP(D602,beans!$A$2:$A$300,beans!$L$2:$L$300,"")),IF(_xlpm.x=" /  - ","",_xlpm.x))</f>
        <v>西達馬 / 朵望丘合作社 - 74110</v>
      </c>
      <c r="AJ602" s="23" t="s">
        <v>811</v>
      </c>
    </row>
    <row r="603" spans="1:36" x14ac:dyDescent="0.3">
      <c r="A603">
        <v>586</v>
      </c>
      <c r="B603">
        <v>488</v>
      </c>
      <c r="D603">
        <v>79</v>
      </c>
      <c r="E603" t="str">
        <f>_xlfn.LET(_xlpm.x,_xlfn.XLOOKUP(D603,beans!$A$2:$A$300,beans!$H$2:$H$300,""),IF(_xlpm.x="","",_xlpm.x))</f>
        <v>衣索比亞</v>
      </c>
      <c r="F603" s="22" t="str">
        <f>_xlfn.XLOOKUP(E603,menu!$A$2:$A$37,menu!$B$2:$B$37,"")</f>
        <v>Ethiopia</v>
      </c>
      <c r="G603" t="str">
        <f>_xlfn.XLOOKUP(E603,menu!$A$2:$A$37,menu!$C$2:$C$37,"")</f>
        <v>eth</v>
      </c>
      <c r="H603" t="str">
        <f>_xlfn.LET(_xlpm.x,_xlfn.XLOOKUP(_xlfn.XLOOKUP(D603,beans!$A$2:$A$300,beans!$I$2:$I$300),menu!$E$2:$E$20,menu!$F$2:$F$20),IF(_xlpm.x="","",_xlpm.x))</f>
        <v>natural</v>
      </c>
      <c r="I603">
        <v>200</v>
      </c>
      <c r="J603">
        <v>80</v>
      </c>
      <c r="K603">
        <v>35</v>
      </c>
      <c r="L603">
        <v>90</v>
      </c>
      <c r="M603" s="68" t="s">
        <v>157</v>
      </c>
      <c r="N603">
        <v>82.2</v>
      </c>
      <c r="P603" s="67" t="s">
        <v>369</v>
      </c>
      <c r="Q603" s="68">
        <v>205.5</v>
      </c>
      <c r="R603" s="67" t="s">
        <v>400</v>
      </c>
      <c r="S603" s="68">
        <v>219.6</v>
      </c>
      <c r="T603" s="68">
        <f t="shared" si="74"/>
        <v>14.099999999999994</v>
      </c>
      <c r="U603">
        <f t="shared" si="70"/>
        <v>65</v>
      </c>
      <c r="V603">
        <f t="shared" si="75"/>
        <v>13</v>
      </c>
      <c r="W603">
        <f t="shared" si="71"/>
        <v>9.35</v>
      </c>
      <c r="X603" s="19">
        <v>45760</v>
      </c>
      <c r="Y603" s="26">
        <v>416.9</v>
      </c>
      <c r="Z603" s="61">
        <v>0</v>
      </c>
      <c r="AB603" s="28">
        <f t="shared" si="72"/>
        <v>0.14569672131147546</v>
      </c>
      <c r="AE603" s="61" t="str">
        <f t="shared" si="73"/>
        <v/>
      </c>
      <c r="AF603" s="77" t="str">
        <f>_xlfn.XLOOKUP(AD603,menu!$K$2:$K$9,menu!$J$2:$J$9,"",1)</f>
        <v/>
      </c>
      <c r="AG603" s="80" t="str">
        <f>_xlfn.XLOOKUP(AH603,menu!$O$2:$O$9,menu!$H$2:$H$9,"")</f>
        <v/>
      </c>
      <c r="AI603" t="str">
        <f>_xlfn.LET(_xlpm.x,_xlfn.CONCAT(_xlfn.XLOOKUP(D603,beans!$A$2:$A$300,beans!$J$2:$J$300,"")," / ",_xlfn.XLOOKUP(D603,beans!$A$2:$A$300,beans!$K$2:$K$300,"")," - ",_xlfn.XLOOKUP(D603,beans!$A$2:$A$300,beans!$L$2:$L$300,"")),IF(_xlpm.x=" /  - ","",_xlpm.x))</f>
        <v xml:space="preserve">古吉 烏拉嘎 / 所羅門 - </v>
      </c>
      <c r="AJ603" s="23" t="s">
        <v>811</v>
      </c>
    </row>
    <row r="604" spans="1:36" x14ac:dyDescent="0.3">
      <c r="A604">
        <v>587</v>
      </c>
      <c r="B604">
        <v>491.6</v>
      </c>
      <c r="D604">
        <v>85</v>
      </c>
      <c r="E604" t="str">
        <f>_xlfn.LET(_xlpm.x,_xlfn.XLOOKUP(D604,beans!$A$2:$A$300,beans!$H$2:$H$300,""),IF(_xlpm.x="","",_xlpm.x))</f>
        <v>衣索比亞</v>
      </c>
      <c r="F604" s="22" t="str">
        <f>_xlfn.XLOOKUP(E604,menu!$A$2:$A$37,menu!$B$2:$B$37,"")</f>
        <v>Ethiopia</v>
      </c>
      <c r="G604" t="str">
        <f>_xlfn.XLOOKUP(E604,menu!$A$2:$A$37,menu!$C$2:$C$37,"")</f>
        <v>eth</v>
      </c>
      <c r="H604" t="str">
        <f>_xlfn.LET(_xlpm.x,_xlfn.XLOOKUP(_xlfn.XLOOKUP(D604,beans!$A$2:$A$300,beans!$I$2:$I$300),menu!$E$2:$E$20,menu!$F$2:$F$20),IF(_xlpm.x="","",_xlpm.x))</f>
        <v>natural</v>
      </c>
      <c r="I604">
        <v>200</v>
      </c>
      <c r="J604">
        <v>80</v>
      </c>
      <c r="K604">
        <v>35</v>
      </c>
      <c r="L604">
        <v>90</v>
      </c>
      <c r="M604" s="68" t="s">
        <v>157</v>
      </c>
      <c r="N604">
        <v>83.9</v>
      </c>
      <c r="P604" s="67" t="s">
        <v>262</v>
      </c>
      <c r="Q604" s="68">
        <v>207.1</v>
      </c>
      <c r="R604" s="67" t="s">
        <v>575</v>
      </c>
      <c r="S604" s="68">
        <v>220.2</v>
      </c>
      <c r="T604" s="68">
        <f t="shared" si="74"/>
        <v>13.099999999999994</v>
      </c>
      <c r="U604">
        <f t="shared" si="70"/>
        <v>57</v>
      </c>
      <c r="V604">
        <f t="shared" si="75"/>
        <v>13.8</v>
      </c>
      <c r="W604">
        <f t="shared" si="71"/>
        <v>8.33</v>
      </c>
      <c r="X604" s="19">
        <v>45760</v>
      </c>
      <c r="Y604" s="26">
        <v>419.7</v>
      </c>
      <c r="Z604" s="61">
        <v>0</v>
      </c>
      <c r="AB604" s="28">
        <f t="shared" si="72"/>
        <v>0.14625711960943863</v>
      </c>
      <c r="AE604" s="61" t="str">
        <f t="shared" si="73"/>
        <v/>
      </c>
      <c r="AF604" s="77" t="str">
        <f>_xlfn.XLOOKUP(AD604,menu!$K$2:$K$9,menu!$J$2:$J$9,"",1)</f>
        <v/>
      </c>
      <c r="AG604" s="80" t="str">
        <f>_xlfn.XLOOKUP(AH604,menu!$O$2:$O$9,menu!$H$2:$H$9,"")</f>
        <v/>
      </c>
      <c r="AI604" t="str">
        <f>_xlfn.LET(_xlpm.x,_xlfn.CONCAT(_xlfn.XLOOKUP(D604,beans!$A$2:$A$300,beans!$J$2:$J$300,"")," / ",_xlfn.XLOOKUP(D604,beans!$A$2:$A$300,beans!$K$2:$K$300,"")," - ",_xlfn.XLOOKUP(D604,beans!$A$2:$A$300,beans!$L$2:$L$300,"")),IF(_xlpm.x=" /  - ","",_xlpm.x))</f>
        <v xml:space="preserve">古吉 烏拉嘎 / 寇巴 - </v>
      </c>
      <c r="AJ604" s="23" t="s">
        <v>812</v>
      </c>
    </row>
    <row r="605" spans="1:36" x14ac:dyDescent="0.3">
      <c r="A605">
        <v>588</v>
      </c>
      <c r="B605">
        <v>485.7</v>
      </c>
      <c r="D605">
        <v>90</v>
      </c>
      <c r="E605" t="str">
        <f>_xlfn.LET(_xlpm.x,_xlfn.XLOOKUP(D605,beans!$A$2:$A$300,beans!$H$2:$H$300,""),IF(_xlpm.x="","",_xlpm.x))</f>
        <v>衣索比亞</v>
      </c>
      <c r="F605" s="22" t="str">
        <f>_xlfn.XLOOKUP(E605,menu!$A$2:$A$37,menu!$B$2:$B$37,"")</f>
        <v>Ethiopia</v>
      </c>
      <c r="G605" t="str">
        <f>_xlfn.XLOOKUP(E605,menu!$A$2:$A$37,menu!$C$2:$C$37,"")</f>
        <v>eth</v>
      </c>
      <c r="H605" t="str">
        <f>_xlfn.LET(_xlpm.x,_xlfn.XLOOKUP(_xlfn.XLOOKUP(D605,beans!$A$2:$A$300,beans!$I$2:$I$300),menu!$E$2:$E$20,menu!$F$2:$F$20),IF(_xlpm.x="","",_xlpm.x))</f>
        <v>natural</v>
      </c>
      <c r="I605">
        <v>200</v>
      </c>
      <c r="J605">
        <v>80</v>
      </c>
      <c r="K605">
        <v>35</v>
      </c>
      <c r="L605">
        <v>90</v>
      </c>
      <c r="M605" s="68" t="s">
        <v>157</v>
      </c>
      <c r="N605">
        <v>83.3</v>
      </c>
      <c r="P605" s="67" t="s">
        <v>449</v>
      </c>
      <c r="Q605" s="68">
        <v>203.2</v>
      </c>
      <c r="R605" s="67" t="s">
        <v>158</v>
      </c>
      <c r="S605" s="68">
        <v>220.1</v>
      </c>
      <c r="T605" s="68">
        <f t="shared" si="74"/>
        <v>16.900000000000006</v>
      </c>
      <c r="U605">
        <f t="shared" si="70"/>
        <v>76</v>
      </c>
      <c r="V605">
        <f t="shared" si="75"/>
        <v>13.3</v>
      </c>
      <c r="W605">
        <f t="shared" si="71"/>
        <v>11.06</v>
      </c>
      <c r="X605" s="19">
        <v>45760</v>
      </c>
      <c r="Y605" s="26">
        <v>414.6</v>
      </c>
      <c r="Z605" s="61">
        <v>0</v>
      </c>
      <c r="AB605" s="28">
        <f t="shared" si="72"/>
        <v>0.14638665843113027</v>
      </c>
      <c r="AE605" s="61" t="str">
        <f t="shared" si="73"/>
        <v/>
      </c>
      <c r="AF605" s="77" t="str">
        <f>_xlfn.XLOOKUP(AD605,menu!$K$2:$K$9,menu!$J$2:$J$9,"",1)</f>
        <v/>
      </c>
      <c r="AG605" s="80" t="str">
        <f>_xlfn.XLOOKUP(AH605,menu!$O$2:$O$9,menu!$H$2:$H$9,"")</f>
        <v/>
      </c>
      <c r="AI605" t="str">
        <f>_xlfn.LET(_xlpm.x,_xlfn.CONCAT(_xlfn.XLOOKUP(D605,beans!$A$2:$A$300,beans!$J$2:$J$300,"")," / ",_xlfn.XLOOKUP(D605,beans!$A$2:$A$300,beans!$K$2:$K$300,"")," - ",_xlfn.XLOOKUP(D605,beans!$A$2:$A$300,beans!$L$2:$L$300,"")),IF(_xlpm.x=" /  - ","",_xlpm.x))</f>
        <v xml:space="preserve">利姆 / 格拉莊園 - </v>
      </c>
      <c r="AJ605" s="23" t="s">
        <v>812</v>
      </c>
    </row>
    <row r="606" spans="1:36" x14ac:dyDescent="0.3">
      <c r="A606">
        <v>589</v>
      </c>
      <c r="B606">
        <v>489</v>
      </c>
      <c r="D606">
        <v>86</v>
      </c>
      <c r="E606" t="str">
        <f>_xlfn.LET(_xlpm.x,_xlfn.XLOOKUP(D606,beans!$A$2:$A$300,beans!$H$2:$H$300,""),IF(_xlpm.x="","",_xlpm.x))</f>
        <v>衣索比亞</v>
      </c>
      <c r="F606" s="22" t="str">
        <f>_xlfn.XLOOKUP(E606,menu!$A$2:$A$37,menu!$B$2:$B$37,"")</f>
        <v>Ethiopia</v>
      </c>
      <c r="G606" t="str">
        <f>_xlfn.XLOOKUP(E606,menu!$A$2:$A$37,menu!$C$2:$C$37,"")</f>
        <v>eth</v>
      </c>
      <c r="H606" t="str">
        <f>_xlfn.LET(_xlpm.x,_xlfn.XLOOKUP(_xlfn.XLOOKUP(D606,beans!$A$2:$A$300,beans!$I$2:$I$300),menu!$E$2:$E$20,menu!$F$2:$F$20),IF(_xlpm.x="","",_xlpm.x))</f>
        <v>natural</v>
      </c>
      <c r="I606">
        <v>200</v>
      </c>
      <c r="J606">
        <v>80</v>
      </c>
      <c r="K606">
        <v>35</v>
      </c>
      <c r="L606">
        <v>90</v>
      </c>
      <c r="M606" s="68" t="s">
        <v>207</v>
      </c>
      <c r="N606">
        <v>83.4</v>
      </c>
      <c r="P606" s="67" t="s">
        <v>40</v>
      </c>
      <c r="Q606" s="68">
        <v>203.7</v>
      </c>
      <c r="R606" s="67" t="s">
        <v>398</v>
      </c>
      <c r="S606" s="68">
        <v>217.9</v>
      </c>
      <c r="T606" s="68">
        <f t="shared" si="74"/>
        <v>14.200000000000017</v>
      </c>
      <c r="U606">
        <f t="shared" si="70"/>
        <v>71</v>
      </c>
      <c r="V606">
        <f t="shared" si="75"/>
        <v>12</v>
      </c>
      <c r="W606">
        <f t="shared" si="71"/>
        <v>10.61</v>
      </c>
      <c r="X606" s="19">
        <v>45760</v>
      </c>
      <c r="Y606" s="26">
        <v>419.8</v>
      </c>
      <c r="Z606" s="61">
        <v>0</v>
      </c>
      <c r="AB606" s="28">
        <f t="shared" si="72"/>
        <v>0.1415132924335378</v>
      </c>
      <c r="AE606" s="61" t="str">
        <f t="shared" si="73"/>
        <v/>
      </c>
      <c r="AF606" s="77" t="str">
        <f>_xlfn.XLOOKUP(AD606,menu!$K$2:$K$9,menu!$J$2:$J$9,"",1)</f>
        <v/>
      </c>
      <c r="AG606" s="80" t="str">
        <f>_xlfn.XLOOKUP(AH606,menu!$O$2:$O$9,menu!$H$2:$H$9,"")</f>
        <v/>
      </c>
      <c r="AI606" t="str">
        <f>_xlfn.LET(_xlpm.x,_xlfn.CONCAT(_xlfn.XLOOKUP(D606,beans!$A$2:$A$300,beans!$J$2:$J$300,"")," / ",_xlfn.XLOOKUP(D606,beans!$A$2:$A$300,beans!$K$2:$K$300,"")," - ",_xlfn.XLOOKUP(D606,beans!$A$2:$A$300,beans!$L$2:$L$300,"")),IF(_xlpm.x=" /  - ","",_xlpm.x))</f>
        <v xml:space="preserve">耶加雪菲 / (沃卡)凱菲亞歐蓓絲  Kefeyalew Obese - </v>
      </c>
      <c r="AJ606" s="23" t="s">
        <v>812</v>
      </c>
    </row>
    <row r="607" spans="1:36" x14ac:dyDescent="0.3">
      <c r="A607">
        <v>590</v>
      </c>
      <c r="B607">
        <v>486</v>
      </c>
      <c r="D607">
        <v>78</v>
      </c>
      <c r="E607" t="str">
        <f>_xlfn.LET(_xlpm.x,_xlfn.XLOOKUP(D607,beans!$A$2:$A$300,beans!$H$2:$H$300,""),IF(_xlpm.x="","",_xlpm.x))</f>
        <v>衣索比亞</v>
      </c>
      <c r="F607" s="22" t="str">
        <f>_xlfn.XLOOKUP(E607,menu!$A$2:$A$37,menu!$B$2:$B$37,"")</f>
        <v>Ethiopia</v>
      </c>
      <c r="G607" t="str">
        <f>_xlfn.XLOOKUP(E607,menu!$A$2:$A$37,menu!$C$2:$C$37,"")</f>
        <v>eth</v>
      </c>
      <c r="H607" t="str">
        <f>_xlfn.LET(_xlpm.x,_xlfn.XLOOKUP(_xlfn.XLOOKUP(D607,beans!$A$2:$A$300,beans!$I$2:$I$300),menu!$E$2:$E$20,menu!$F$2:$F$20),IF(_xlpm.x="","",_xlpm.x))</f>
        <v>honey</v>
      </c>
      <c r="I607">
        <v>200</v>
      </c>
      <c r="J607">
        <v>80</v>
      </c>
      <c r="K607">
        <v>35</v>
      </c>
      <c r="L607">
        <v>90</v>
      </c>
      <c r="M607" s="68" t="s">
        <v>157</v>
      </c>
      <c r="N607">
        <v>82.9</v>
      </c>
      <c r="P607" s="67" t="s">
        <v>436</v>
      </c>
      <c r="Q607" s="68">
        <v>203</v>
      </c>
      <c r="R607" s="67" t="s">
        <v>370</v>
      </c>
      <c r="S607" s="68">
        <v>219.3</v>
      </c>
      <c r="T607" s="68">
        <f t="shared" si="74"/>
        <v>16.300000000000011</v>
      </c>
      <c r="U607">
        <f t="shared" si="70"/>
        <v>74</v>
      </c>
      <c r="V607">
        <f t="shared" si="75"/>
        <v>13.2</v>
      </c>
      <c r="W607">
        <f t="shared" si="71"/>
        <v>10.76</v>
      </c>
      <c r="X607" s="19">
        <v>45760</v>
      </c>
      <c r="Y607" s="26">
        <v>417</v>
      </c>
      <c r="Z607" s="61">
        <v>0</v>
      </c>
      <c r="AB607" s="28">
        <f t="shared" si="72"/>
        <v>0.1419753086419753</v>
      </c>
      <c r="AE607" s="61" t="str">
        <f t="shared" si="73"/>
        <v/>
      </c>
      <c r="AF607" s="77" t="str">
        <f>_xlfn.XLOOKUP(AD607,menu!$K$2:$K$9,menu!$J$2:$J$9,"",1)</f>
        <v/>
      </c>
      <c r="AG607" s="80" t="str">
        <f>_xlfn.XLOOKUP(AH607,menu!$O$2:$O$9,menu!$H$2:$H$9,"")</f>
        <v/>
      </c>
      <c r="AI607" t="str">
        <f>_xlfn.LET(_xlpm.x,_xlfn.CONCAT(_xlfn.XLOOKUP(D607,beans!$A$2:$A$300,beans!$J$2:$J$300,"")," / ",_xlfn.XLOOKUP(D607,beans!$A$2:$A$300,beans!$K$2:$K$300,"")," - ",_xlfn.XLOOKUP(D607,beans!$A$2:$A$300,beans!$L$2:$L$300,"")),IF(_xlpm.x=" /  - ","",_xlpm.x))</f>
        <v xml:space="preserve">耶加雪菲 / 科克 - </v>
      </c>
      <c r="AJ607" s="23" t="s">
        <v>813</v>
      </c>
    </row>
    <row r="608" spans="1:36" x14ac:dyDescent="0.3">
      <c r="A608">
        <v>591</v>
      </c>
      <c r="B608">
        <v>486</v>
      </c>
      <c r="D608">
        <v>79</v>
      </c>
      <c r="E608" t="str">
        <f>_xlfn.LET(_xlpm.x,_xlfn.XLOOKUP(D608,beans!$A$2:$A$300,beans!$H$2:$H$300,""),IF(_xlpm.x="","",_xlpm.x))</f>
        <v>衣索比亞</v>
      </c>
      <c r="F608" s="22" t="str">
        <f>_xlfn.XLOOKUP(E608,menu!$A$2:$A$37,menu!$B$2:$B$37,"")</f>
        <v>Ethiopia</v>
      </c>
      <c r="G608" t="str">
        <f>_xlfn.XLOOKUP(E608,menu!$A$2:$A$37,menu!$C$2:$C$37,"")</f>
        <v>eth</v>
      </c>
      <c r="H608" t="str">
        <f>_xlfn.LET(_xlpm.x,_xlfn.XLOOKUP(_xlfn.XLOOKUP(D608,beans!$A$2:$A$300,beans!$I$2:$I$300),menu!$E$2:$E$20,menu!$F$2:$F$20),IF(_xlpm.x="","",_xlpm.x))</f>
        <v>natural</v>
      </c>
      <c r="I608">
        <v>200</v>
      </c>
      <c r="J608">
        <v>80</v>
      </c>
      <c r="K608">
        <v>35</v>
      </c>
      <c r="L608">
        <v>90</v>
      </c>
      <c r="M608" s="68" t="s">
        <v>157</v>
      </c>
      <c r="N608">
        <v>84.3</v>
      </c>
      <c r="P608" s="67" t="s">
        <v>488</v>
      </c>
      <c r="Q608" s="68">
        <v>204.8</v>
      </c>
      <c r="R608" s="67" t="s">
        <v>405</v>
      </c>
      <c r="S608" s="68">
        <v>219.4</v>
      </c>
      <c r="T608" s="68">
        <f t="shared" si="74"/>
        <v>14.599999999999994</v>
      </c>
      <c r="U608">
        <f t="shared" si="70"/>
        <v>70</v>
      </c>
      <c r="V608">
        <f t="shared" si="75"/>
        <v>12.5</v>
      </c>
      <c r="W608">
        <f t="shared" si="71"/>
        <v>10.029999999999999</v>
      </c>
      <c r="X608" s="19">
        <v>45760</v>
      </c>
      <c r="Y608" s="26">
        <v>417</v>
      </c>
      <c r="Z608" s="61">
        <v>0</v>
      </c>
      <c r="AB608" s="28">
        <f t="shared" si="72"/>
        <v>0.1419753086419753</v>
      </c>
      <c r="AE608" s="61" t="str">
        <f t="shared" si="73"/>
        <v/>
      </c>
      <c r="AF608" s="77" t="str">
        <f>_xlfn.XLOOKUP(AD608,menu!$K$2:$K$9,menu!$J$2:$J$9,"",1)</f>
        <v/>
      </c>
      <c r="AG608" s="80" t="str">
        <f>_xlfn.XLOOKUP(AH608,menu!$O$2:$O$9,menu!$H$2:$H$9,"")</f>
        <v/>
      </c>
      <c r="AI608" t="str">
        <f>_xlfn.LET(_xlpm.x,_xlfn.CONCAT(_xlfn.XLOOKUP(D608,beans!$A$2:$A$300,beans!$J$2:$J$300,"")," / ",_xlfn.XLOOKUP(D608,beans!$A$2:$A$300,beans!$K$2:$K$300,"")," - ",_xlfn.XLOOKUP(D608,beans!$A$2:$A$300,beans!$L$2:$L$300,"")),IF(_xlpm.x=" /  - ","",_xlpm.x))</f>
        <v xml:space="preserve">古吉 烏拉嘎 / 所羅門 - </v>
      </c>
      <c r="AJ608" s="23" t="s">
        <v>814</v>
      </c>
    </row>
    <row r="609" spans="1:36" x14ac:dyDescent="0.3">
      <c r="A609">
        <v>592</v>
      </c>
      <c r="B609">
        <v>245</v>
      </c>
      <c r="D609">
        <v>78</v>
      </c>
      <c r="E609" t="str">
        <f>_xlfn.LET(_xlpm.x,_xlfn.XLOOKUP(D609,beans!$A$2:$A$300,beans!$H$2:$H$300,""),IF(_xlpm.x="","",_xlpm.x))</f>
        <v>衣索比亞</v>
      </c>
      <c r="F609" s="22" t="str">
        <f>_xlfn.XLOOKUP(E609,menu!$A$2:$A$37,menu!$B$2:$B$37,"")</f>
        <v>Ethiopia</v>
      </c>
      <c r="G609" t="str">
        <f>_xlfn.XLOOKUP(E609,menu!$A$2:$A$37,menu!$C$2:$C$37,"")</f>
        <v>eth</v>
      </c>
      <c r="H609" t="str">
        <f>_xlfn.LET(_xlpm.x,_xlfn.XLOOKUP(_xlfn.XLOOKUP(D609,beans!$A$2:$A$300,beans!$I$2:$I$300),menu!$E$2:$E$20,menu!$F$2:$F$20),IF(_xlpm.x="","",_xlpm.x))</f>
        <v>honey</v>
      </c>
      <c r="I609">
        <v>190</v>
      </c>
      <c r="J609">
        <v>75</v>
      </c>
      <c r="K609">
        <v>35</v>
      </c>
      <c r="L609">
        <v>80</v>
      </c>
      <c r="M609" s="68" t="s">
        <v>109</v>
      </c>
      <c r="N609">
        <v>84.5</v>
      </c>
      <c r="P609" s="67" t="s">
        <v>504</v>
      </c>
      <c r="Q609" s="68">
        <v>209.1</v>
      </c>
      <c r="R609" s="67" t="s">
        <v>398</v>
      </c>
      <c r="S609" s="68">
        <v>218.1</v>
      </c>
      <c r="T609" s="68">
        <f t="shared" si="74"/>
        <v>9</v>
      </c>
      <c r="U609">
        <f t="shared" si="70"/>
        <v>52</v>
      </c>
      <c r="V609">
        <f t="shared" si="75"/>
        <v>10.4</v>
      </c>
      <c r="W609">
        <f t="shared" si="71"/>
        <v>7.77</v>
      </c>
      <c r="X609" s="19">
        <v>45760</v>
      </c>
      <c r="Y609" s="26">
        <v>211</v>
      </c>
      <c r="Z609" s="61">
        <v>0</v>
      </c>
      <c r="AB609" s="28">
        <f t="shared" si="72"/>
        <v>0.13877551020408163</v>
      </c>
      <c r="AE609" s="61" t="str">
        <f t="shared" si="73"/>
        <v/>
      </c>
      <c r="AF609" s="77" t="str">
        <f>_xlfn.XLOOKUP(AD609,menu!$K$2:$K$9,menu!$J$2:$J$9,"",1)</f>
        <v/>
      </c>
      <c r="AG609" s="80" t="str">
        <f>_xlfn.XLOOKUP(AH609,menu!$O$2:$O$9,menu!$H$2:$H$9,"")</f>
        <v/>
      </c>
      <c r="AI609" t="str">
        <f>_xlfn.LET(_xlpm.x,_xlfn.CONCAT(_xlfn.XLOOKUP(D609,beans!$A$2:$A$300,beans!$J$2:$J$300,"")," / ",_xlfn.XLOOKUP(D609,beans!$A$2:$A$300,beans!$K$2:$K$300,"")," - ",_xlfn.XLOOKUP(D609,beans!$A$2:$A$300,beans!$L$2:$L$300,"")),IF(_xlpm.x=" /  - ","",_xlpm.x))</f>
        <v xml:space="preserve">耶加雪菲 / 科克 - </v>
      </c>
      <c r="AJ609" s="23" t="s">
        <v>815</v>
      </c>
    </row>
    <row r="610" spans="1:36" x14ac:dyDescent="0.3">
      <c r="A610">
        <v>593</v>
      </c>
      <c r="B610">
        <v>249</v>
      </c>
      <c r="D610">
        <v>91</v>
      </c>
      <c r="E610" t="str">
        <f>_xlfn.LET(_xlpm.x,_xlfn.XLOOKUP(D610,beans!$A$2:$A$300,beans!$H$2:$H$300,""),IF(_xlpm.x="","",_xlpm.x))</f>
        <v>尼加拉瓜</v>
      </c>
      <c r="F610" s="22" t="str">
        <f>_xlfn.XLOOKUP(E610,menu!$A$2:$A$37,menu!$B$2:$B$37,"")</f>
        <v>Nicaragua</v>
      </c>
      <c r="G610" t="str">
        <f>_xlfn.XLOOKUP(E610,menu!$A$2:$A$37,menu!$C$2:$C$37,"")</f>
        <v>nic</v>
      </c>
      <c r="H610" t="str">
        <f>_xlfn.LET(_xlpm.x,_xlfn.XLOOKUP(_xlfn.XLOOKUP(D610,beans!$A$2:$A$300,beans!$I$2:$I$300),menu!$E$2:$E$20,menu!$F$2:$F$20),IF(_xlpm.x="","",_xlpm.x))</f>
        <v>washed</v>
      </c>
      <c r="I610">
        <v>190</v>
      </c>
      <c r="J610">
        <v>75</v>
      </c>
      <c r="K610">
        <v>35</v>
      </c>
      <c r="L610">
        <v>80</v>
      </c>
      <c r="M610" s="68" t="s">
        <v>229</v>
      </c>
      <c r="N610">
        <v>85.7</v>
      </c>
      <c r="P610" s="67" t="s">
        <v>561</v>
      </c>
      <c r="Q610" s="68">
        <v>200.9</v>
      </c>
      <c r="R610" s="67" t="s">
        <v>265</v>
      </c>
      <c r="S610" s="68">
        <v>220</v>
      </c>
      <c r="T610" s="68">
        <f t="shared" si="74"/>
        <v>19.099999999999994</v>
      </c>
      <c r="U610">
        <f t="shared" si="70"/>
        <v>112</v>
      </c>
      <c r="V610">
        <f t="shared" si="75"/>
        <v>10.199999999999999</v>
      </c>
      <c r="W610">
        <f t="shared" si="71"/>
        <v>15.84</v>
      </c>
      <c r="X610" s="19">
        <v>45760</v>
      </c>
      <c r="Y610" s="26">
        <v>213</v>
      </c>
      <c r="Z610" s="61">
        <v>0</v>
      </c>
      <c r="AB610" s="28">
        <f t="shared" si="72"/>
        <v>0.14457831325301204</v>
      </c>
      <c r="AE610" s="61" t="str">
        <f t="shared" si="73"/>
        <v/>
      </c>
      <c r="AF610" s="77" t="str">
        <f>_xlfn.XLOOKUP(AD610,menu!$K$2:$K$9,menu!$J$2:$J$9,"",1)</f>
        <v/>
      </c>
      <c r="AG610" s="80" t="str">
        <f>_xlfn.XLOOKUP(AH610,menu!$O$2:$O$9,menu!$H$2:$H$9,"")</f>
        <v/>
      </c>
      <c r="AI610" t="str">
        <f>_xlfn.LET(_xlpm.x,_xlfn.CONCAT(_xlfn.XLOOKUP(D610,beans!$A$2:$A$300,beans!$J$2:$J$300,"")," / ",_xlfn.XLOOKUP(D610,beans!$A$2:$A$300,beans!$K$2:$K$300,"")," - ",_xlfn.XLOOKUP(D610,beans!$A$2:$A$300,beans!$L$2:$L$300,"")),IF(_xlpm.x=" /  - ","",_xlpm.x))</f>
        <v>希諾特加  / 阿爾蒂普拉諾莊園 - 爪哇長豆</v>
      </c>
      <c r="AJ610" s="23" t="s">
        <v>815</v>
      </c>
    </row>
    <row r="611" spans="1:36" x14ac:dyDescent="0.3">
      <c r="A611">
        <v>594</v>
      </c>
      <c r="B611">
        <v>247</v>
      </c>
      <c r="D611">
        <v>6</v>
      </c>
      <c r="E611" t="str">
        <f>_xlfn.LET(_xlpm.x,_xlfn.XLOOKUP(D611,beans!$A$2:$A$300,beans!$H$2:$H$300,""),IF(_xlpm.x="","",_xlpm.x))</f>
        <v>肯亞</v>
      </c>
      <c r="F611" s="22" t="str">
        <f>_xlfn.XLOOKUP(E611,menu!$A$2:$A$37,menu!$B$2:$B$37,"")</f>
        <v>Kenya</v>
      </c>
      <c r="G611" t="str">
        <f>_xlfn.XLOOKUP(E611,menu!$A$2:$A$37,menu!$C$2:$C$37,"")</f>
        <v>ken</v>
      </c>
      <c r="H611" t="str">
        <f>_xlfn.LET(_xlpm.x,_xlfn.XLOOKUP(_xlfn.XLOOKUP(D611,beans!$A$2:$A$300,beans!$I$2:$I$300),menu!$E$2:$E$20,menu!$F$2:$F$20),IF(_xlpm.x="","",_xlpm.x))</f>
        <v>washed</v>
      </c>
      <c r="I611">
        <v>190</v>
      </c>
      <c r="J611">
        <v>75</v>
      </c>
      <c r="K611">
        <v>35</v>
      </c>
      <c r="L611">
        <v>80</v>
      </c>
      <c r="M611" s="68" t="s">
        <v>157</v>
      </c>
      <c r="N611">
        <v>87.8</v>
      </c>
      <c r="P611" s="67" t="s">
        <v>81</v>
      </c>
      <c r="Q611" s="68">
        <v>198.2</v>
      </c>
      <c r="R611" s="67" t="s">
        <v>77</v>
      </c>
      <c r="S611" s="68">
        <v>218.2</v>
      </c>
      <c r="T611" s="68">
        <f t="shared" si="74"/>
        <v>20</v>
      </c>
      <c r="U611">
        <f t="shared" si="70"/>
        <v>115</v>
      </c>
      <c r="V611">
        <f t="shared" si="75"/>
        <v>10.4</v>
      </c>
      <c r="W611">
        <f t="shared" si="71"/>
        <v>17.829999999999998</v>
      </c>
      <c r="X611" s="19">
        <v>45760</v>
      </c>
      <c r="Y611" s="26">
        <v>210</v>
      </c>
      <c r="Z611" s="61">
        <v>0</v>
      </c>
      <c r="AB611" s="28">
        <f t="shared" si="72"/>
        <v>0.14979757085020243</v>
      </c>
      <c r="AE611" s="61" t="str">
        <f t="shared" si="73"/>
        <v/>
      </c>
      <c r="AF611" s="77" t="str">
        <f>_xlfn.XLOOKUP(AD611,menu!$K$2:$K$9,menu!$J$2:$J$9,"",1)</f>
        <v/>
      </c>
      <c r="AG611" s="80" t="str">
        <f>_xlfn.XLOOKUP(AH611,menu!$O$2:$O$9,menu!$H$2:$H$9,"")</f>
        <v/>
      </c>
      <c r="AI611" t="str">
        <f>_xlfn.LET(_xlpm.x,_xlfn.CONCAT(_xlfn.XLOOKUP(D611,beans!$A$2:$A$300,beans!$J$2:$J$300,"")," / ",_xlfn.XLOOKUP(D611,beans!$A$2:$A$300,beans!$K$2:$K$300,"")," - ",_xlfn.XLOOKUP(D611,beans!$A$2:$A$300,beans!$L$2:$L$300,"")),IF(_xlpm.x=" /  - ","",_xlpm.x))</f>
        <v>東非大裂谷產區 / 烏克栗栗/黑莓皇后 - SL28, SL34, 少許Ruiru以及Batian</v>
      </c>
      <c r="AJ611" s="23" t="s">
        <v>816</v>
      </c>
    </row>
    <row r="612" spans="1:36" x14ac:dyDescent="0.3">
      <c r="A612">
        <v>595</v>
      </c>
      <c r="B612">
        <v>247.9</v>
      </c>
      <c r="D612">
        <v>95</v>
      </c>
      <c r="E612" t="str">
        <f>_xlfn.LET(_xlpm.x,_xlfn.XLOOKUP(D612,beans!$A$2:$A$300,beans!$H$2:$H$300,""),IF(_xlpm.x="","",_xlpm.x))</f>
        <v>瓜地馬拉</v>
      </c>
      <c r="F612" s="22" t="str">
        <f>_xlfn.XLOOKUP(E612,menu!$A$2:$A$37,menu!$B$2:$B$37,"")</f>
        <v>Guatemala</v>
      </c>
      <c r="G612" t="str">
        <f>_xlfn.XLOOKUP(E612,menu!$A$2:$A$37,menu!$C$2:$C$37,"")</f>
        <v>gtm</v>
      </c>
      <c r="H612" t="str">
        <f>_xlfn.LET(_xlpm.x,_xlfn.XLOOKUP(_xlfn.XLOOKUP(D612,beans!$A$2:$A$300,beans!$I$2:$I$300),menu!$E$2:$E$20,menu!$F$2:$F$20),IF(_xlpm.x="","",_xlpm.x))</f>
        <v>Anaerobic Natural</v>
      </c>
      <c r="I612">
        <v>190</v>
      </c>
      <c r="J612">
        <v>75</v>
      </c>
      <c r="K612">
        <v>35</v>
      </c>
      <c r="L612">
        <v>80</v>
      </c>
      <c r="M612" s="68" t="s">
        <v>109</v>
      </c>
      <c r="N612">
        <v>87</v>
      </c>
      <c r="P612" s="67" t="s">
        <v>343</v>
      </c>
      <c r="Q612" s="68">
        <v>209.2</v>
      </c>
      <c r="R612" s="67" t="s">
        <v>509</v>
      </c>
      <c r="S612" s="68">
        <v>220.1</v>
      </c>
      <c r="T612" s="68">
        <f t="shared" si="74"/>
        <v>10.900000000000006</v>
      </c>
      <c r="U612">
        <f t="shared" si="70"/>
        <v>51</v>
      </c>
      <c r="V612">
        <f t="shared" si="75"/>
        <v>12.8</v>
      </c>
      <c r="W612">
        <f t="shared" si="71"/>
        <v>7.97</v>
      </c>
      <c r="X612" s="19">
        <v>45760</v>
      </c>
      <c r="Y612" s="26">
        <v>213.6</v>
      </c>
      <c r="Z612" s="61">
        <v>0</v>
      </c>
      <c r="AB612" s="28">
        <f t="shared" si="72"/>
        <v>0.13836224283985482</v>
      </c>
      <c r="AE612" s="61" t="str">
        <f t="shared" si="73"/>
        <v/>
      </c>
      <c r="AF612" s="77" t="str">
        <f>_xlfn.XLOOKUP(AD612,menu!$K$2:$K$9,menu!$J$2:$J$9,"",1)</f>
        <v/>
      </c>
      <c r="AG612" s="80" t="str">
        <f>_xlfn.XLOOKUP(AH612,menu!$O$2:$O$9,menu!$H$2:$H$9,"")</f>
        <v/>
      </c>
      <c r="AI612" t="str">
        <f>_xlfn.LET(_xlpm.x,_xlfn.CONCAT(_xlfn.XLOOKUP(D612,beans!$A$2:$A$300,beans!$J$2:$J$300,"")," / ",_xlfn.XLOOKUP(D612,beans!$A$2:$A$300,beans!$K$2:$K$300,"")," - ",_xlfn.XLOOKUP(D612,beans!$A$2:$A$300,beans!$L$2:$L$300,"")),IF(_xlpm.x=" /  - ","",_xlpm.x))</f>
        <v>薇薇特南果 / 吉拉莊園 - 波旁</v>
      </c>
      <c r="AJ612" s="23" t="s">
        <v>815</v>
      </c>
    </row>
    <row r="613" spans="1:36" x14ac:dyDescent="0.3">
      <c r="A613">
        <v>596</v>
      </c>
      <c r="B613">
        <v>242</v>
      </c>
      <c r="D613">
        <v>83</v>
      </c>
      <c r="E613" t="str">
        <f>_xlfn.LET(_xlpm.x,_xlfn.XLOOKUP(D613,beans!$A$2:$A$300,beans!$H$2:$H$300,""),IF(_xlpm.x="","",_xlpm.x))</f>
        <v>印尼</v>
      </c>
      <c r="F613" s="22" t="str">
        <f>_xlfn.XLOOKUP(E613,menu!$A$2:$A$37,menu!$B$2:$B$37,"")</f>
        <v>Indonisia</v>
      </c>
      <c r="G613" t="str">
        <f>_xlfn.XLOOKUP(E613,menu!$A$2:$A$37,menu!$C$2:$C$37,"")</f>
        <v>idn</v>
      </c>
      <c r="H613" t="str">
        <f>_xlfn.LET(_xlpm.x,_xlfn.XLOOKUP(_xlfn.XLOOKUP(D613,beans!$A$2:$A$300,beans!$I$2:$I$300),menu!$E$2:$E$20,menu!$F$2:$F$20),IF(_xlpm.x="","",_xlpm.x))</f>
        <v>washed</v>
      </c>
      <c r="I613">
        <v>190</v>
      </c>
      <c r="J613">
        <v>75</v>
      </c>
      <c r="K613">
        <v>35</v>
      </c>
      <c r="L613">
        <v>80</v>
      </c>
      <c r="M613" s="68" t="s">
        <v>146</v>
      </c>
      <c r="N613">
        <v>87.1</v>
      </c>
      <c r="P613" s="67" t="s">
        <v>649</v>
      </c>
      <c r="Q613" s="68">
        <v>203.7</v>
      </c>
      <c r="R613" s="67" t="s">
        <v>457</v>
      </c>
      <c r="S613" s="68">
        <v>220.3</v>
      </c>
      <c r="T613" s="68">
        <f t="shared" si="74"/>
        <v>16.600000000000023</v>
      </c>
      <c r="U613">
        <f t="shared" si="70"/>
        <v>96</v>
      </c>
      <c r="V613">
        <f t="shared" si="75"/>
        <v>10.4</v>
      </c>
      <c r="W613">
        <f t="shared" si="71"/>
        <v>14.39</v>
      </c>
      <c r="X613" s="19">
        <v>45760</v>
      </c>
      <c r="Y613" s="26">
        <v>205.7</v>
      </c>
      <c r="Z613" s="61">
        <v>0</v>
      </c>
      <c r="AB613" s="28">
        <f t="shared" si="72"/>
        <v>0.15000000000000005</v>
      </c>
      <c r="AE613" s="61" t="str">
        <f t="shared" si="73"/>
        <v/>
      </c>
      <c r="AF613" s="77" t="str">
        <f>_xlfn.XLOOKUP(AD613,menu!$K$2:$K$9,menu!$J$2:$J$9,"",1)</f>
        <v/>
      </c>
      <c r="AG613" s="80" t="str">
        <f>_xlfn.XLOOKUP(AH613,menu!$O$2:$O$9,menu!$H$2:$H$9,"")</f>
        <v/>
      </c>
      <c r="AI613" t="str">
        <f>_xlfn.LET(_xlpm.x,_xlfn.CONCAT(_xlfn.XLOOKUP(D613,beans!$A$2:$A$300,beans!$J$2:$J$300,"")," / ",_xlfn.XLOOKUP(D613,beans!$A$2:$A$300,beans!$K$2:$K$300,"")," - ",_xlfn.XLOOKUP(D613,beans!$A$2:$A$300,beans!$L$2:$L$300,"")),IF(_xlpm.x=" /  - ","",_xlpm.x))</f>
        <v xml:space="preserve"> / 曼特寧 - </v>
      </c>
      <c r="AJ613" s="23" t="s">
        <v>815</v>
      </c>
    </row>
    <row r="614" spans="1:36" x14ac:dyDescent="0.3">
      <c r="A614">
        <v>597</v>
      </c>
      <c r="B614">
        <v>496</v>
      </c>
      <c r="D614">
        <v>62</v>
      </c>
      <c r="E614" t="str">
        <f>_xlfn.LET(_xlpm.x,_xlfn.XLOOKUP(D614,beans!$A$2:$A$300,beans!$H$2:$H$300,""),IF(_xlpm.x="","",_xlpm.x))</f>
        <v>瓜地馬拉</v>
      </c>
      <c r="F614" s="22" t="str">
        <f>_xlfn.XLOOKUP(E614,menu!$A$2:$A$37,menu!$B$2:$B$37,"")</f>
        <v>Guatemala</v>
      </c>
      <c r="G614" t="str">
        <f>_xlfn.XLOOKUP(E614,menu!$A$2:$A$37,menu!$C$2:$C$37,"")</f>
        <v>gtm</v>
      </c>
      <c r="H614" t="str">
        <f>_xlfn.LET(_xlpm.x,_xlfn.XLOOKUP(_xlfn.XLOOKUP(D614,beans!$A$2:$A$300,beans!$I$2:$I$300),menu!$E$2:$E$20,menu!$F$2:$F$20),IF(_xlpm.x="","",_xlpm.x))</f>
        <v>washed</v>
      </c>
      <c r="I614">
        <v>200</v>
      </c>
      <c r="J614">
        <v>88</v>
      </c>
      <c r="K614">
        <v>30</v>
      </c>
      <c r="L614">
        <v>90</v>
      </c>
      <c r="M614" s="68" t="s">
        <v>817</v>
      </c>
      <c r="N614">
        <v>90.1</v>
      </c>
      <c r="P614" s="67" t="s">
        <v>818</v>
      </c>
      <c r="Q614" s="68">
        <v>200.6</v>
      </c>
      <c r="R614" s="67" t="s">
        <v>819</v>
      </c>
      <c r="S614" s="68">
        <v>211.7</v>
      </c>
      <c r="T614" s="68">
        <f t="shared" si="74"/>
        <v>11.099999999999994</v>
      </c>
      <c r="U614">
        <f t="shared" si="70"/>
        <v>78</v>
      </c>
      <c r="V614">
        <f t="shared" si="75"/>
        <v>8.5</v>
      </c>
      <c r="W614">
        <f t="shared" si="71"/>
        <v>11.42</v>
      </c>
      <c r="X614" s="19">
        <v>45766</v>
      </c>
      <c r="Y614" s="26">
        <v>427.1</v>
      </c>
      <c r="Z614" s="61">
        <v>200</v>
      </c>
      <c r="AB614" s="28">
        <f t="shared" si="72"/>
        <v>0.13891129032258059</v>
      </c>
      <c r="AE614" s="61" t="str">
        <f t="shared" si="73"/>
        <v/>
      </c>
      <c r="AF614" s="77" t="str">
        <f>_xlfn.XLOOKUP(AD614,menu!$K$2:$K$9,menu!$J$2:$J$9,"",1)</f>
        <v/>
      </c>
      <c r="AG614" s="80" t="str">
        <f>_xlfn.XLOOKUP(AH614,menu!$O$2:$O$9,menu!$H$2:$H$9,"")</f>
        <v/>
      </c>
      <c r="AI614" t="str">
        <f>_xlfn.LET(_xlpm.x,_xlfn.CONCAT(_xlfn.XLOOKUP(D614,beans!$A$2:$A$300,beans!$J$2:$J$300,"")," / ",_xlfn.XLOOKUP(D614,beans!$A$2:$A$300,beans!$K$2:$K$300,"")," - ",_xlfn.XLOOKUP(D614,beans!$A$2:$A$300,beans!$L$2:$L$300,"")),IF(_xlpm.x=" /  - ","",_xlpm.x))</f>
        <v>拉拉波 / 芬卡 - 波旁</v>
      </c>
    </row>
    <row r="615" spans="1:36" x14ac:dyDescent="0.3">
      <c r="A615">
        <v>598</v>
      </c>
      <c r="B615">
        <v>496.1</v>
      </c>
      <c r="D615">
        <v>94</v>
      </c>
      <c r="E615" t="str">
        <f>_xlfn.LET(_xlpm.x,_xlfn.XLOOKUP(D615,beans!$A$2:$A$300,beans!$H$2:$H$300,""),IF(_xlpm.x="","",_xlpm.x))</f>
        <v>巴西</v>
      </c>
      <c r="F615" s="22" t="str">
        <f>_xlfn.XLOOKUP(E615,menu!$A$2:$A$37,menu!$B$2:$B$37,"")</f>
        <v>Brazli</v>
      </c>
      <c r="G615" t="str">
        <f>_xlfn.XLOOKUP(E615,menu!$A$2:$A$37,menu!$C$2:$C$37,"")</f>
        <v>bra</v>
      </c>
      <c r="H615" t="str">
        <f>_xlfn.LET(_xlpm.x,_xlfn.XLOOKUP(_xlfn.XLOOKUP(D615,beans!$A$2:$A$300,beans!$I$2:$I$300),menu!$E$2:$E$20,menu!$F$2:$F$20),IF(_xlpm.x="","",_xlpm.x))</f>
        <v>washed</v>
      </c>
      <c r="I615">
        <v>200</v>
      </c>
      <c r="J615">
        <v>88</v>
      </c>
      <c r="K615">
        <v>30</v>
      </c>
      <c r="L615">
        <v>90</v>
      </c>
      <c r="M615" s="68" t="s">
        <v>820</v>
      </c>
      <c r="N615">
        <v>86.8</v>
      </c>
      <c r="P615" s="67" t="s">
        <v>821</v>
      </c>
      <c r="Q615" s="68">
        <v>202.9</v>
      </c>
      <c r="R615" s="67" t="s">
        <v>822</v>
      </c>
      <c r="S615" s="68">
        <v>230.3</v>
      </c>
      <c r="T615" s="68">
        <f t="shared" si="74"/>
        <v>27.400000000000006</v>
      </c>
      <c r="U615">
        <f t="shared" si="70"/>
        <v>118</v>
      </c>
      <c r="V615">
        <f t="shared" si="75"/>
        <v>13.9</v>
      </c>
      <c r="W615">
        <f t="shared" si="71"/>
        <v>17.05</v>
      </c>
      <c r="X615" s="19">
        <v>45766</v>
      </c>
      <c r="Y615" s="26">
        <v>421</v>
      </c>
      <c r="Z615" s="61">
        <v>300</v>
      </c>
      <c r="AB615" s="28">
        <f t="shared" si="72"/>
        <v>0.15138077000604722</v>
      </c>
      <c r="AE615" s="61" t="str">
        <f t="shared" si="73"/>
        <v/>
      </c>
      <c r="AF615" s="77" t="str">
        <f>_xlfn.XLOOKUP(AD615,menu!$K$2:$K$9,menu!$J$2:$J$9,"",1)</f>
        <v/>
      </c>
      <c r="AG615" s="80" t="str">
        <f>_xlfn.XLOOKUP(AH615,menu!$O$2:$O$9,menu!$H$2:$H$9,"")</f>
        <v/>
      </c>
      <c r="AI615" t="str">
        <f>_xlfn.LET(_xlpm.x,_xlfn.CONCAT(_xlfn.XLOOKUP(D615,beans!$A$2:$A$300,beans!$J$2:$J$300,"")," / ",_xlfn.XLOOKUP(D615,beans!$A$2:$A$300,beans!$K$2:$K$300,"")," - ",_xlfn.XLOOKUP(D615,beans!$A$2:$A$300,beans!$L$2:$L$300,"")),IF(_xlpm.x=" /  - ","",_xlpm.x))</f>
        <v>南米納斯 / 伊帕內瑪莊園 - 黃波本</v>
      </c>
    </row>
    <row r="616" spans="1:36" x14ac:dyDescent="0.3">
      <c r="A616">
        <v>599</v>
      </c>
      <c r="B616">
        <v>495</v>
      </c>
      <c r="D616">
        <v>88</v>
      </c>
      <c r="E616" t="str">
        <f>_xlfn.LET(_xlpm.x,_xlfn.XLOOKUP(D616,beans!$A$2:$A$300,beans!$H$2:$H$300,""),IF(_xlpm.x="","",_xlpm.x))</f>
        <v>衣索比亞</v>
      </c>
      <c r="F616" s="22" t="str">
        <f>_xlfn.XLOOKUP(E616,menu!$A$2:$A$37,menu!$B$2:$B$37,"")</f>
        <v>Ethiopia</v>
      </c>
      <c r="G616" t="str">
        <f>_xlfn.XLOOKUP(E616,menu!$A$2:$A$37,menu!$C$2:$C$37,"")</f>
        <v>eth</v>
      </c>
      <c r="H616" t="str">
        <f>_xlfn.LET(_xlpm.x,_xlfn.XLOOKUP(_xlfn.XLOOKUP(D616,beans!$A$2:$A$300,beans!$I$2:$I$300),menu!$E$2:$E$20,menu!$F$2:$F$20),IF(_xlpm.x="","",_xlpm.x))</f>
        <v>washed</v>
      </c>
      <c r="I616">
        <v>200</v>
      </c>
      <c r="J616">
        <v>88</v>
      </c>
      <c r="K616">
        <v>30</v>
      </c>
      <c r="L616">
        <v>90</v>
      </c>
      <c r="M616" s="68" t="s">
        <v>772</v>
      </c>
      <c r="N616">
        <v>86.9</v>
      </c>
      <c r="P616" s="67" t="s">
        <v>765</v>
      </c>
      <c r="Q616" s="68">
        <v>203.1</v>
      </c>
      <c r="R616" s="67" t="s">
        <v>823</v>
      </c>
      <c r="S616" s="68">
        <v>213.2</v>
      </c>
      <c r="T616" s="68">
        <f t="shared" si="74"/>
        <v>10.099999999999994</v>
      </c>
      <c r="U616">
        <f t="shared" si="70"/>
        <v>57</v>
      </c>
      <c r="V616">
        <f t="shared" si="75"/>
        <v>10.6</v>
      </c>
      <c r="W616">
        <f t="shared" si="71"/>
        <v>8.7200000000000006</v>
      </c>
      <c r="X616" s="19">
        <v>45766</v>
      </c>
      <c r="Y616" s="26">
        <v>427</v>
      </c>
      <c r="Z616" s="61">
        <v>0</v>
      </c>
      <c r="AB616" s="28">
        <f t="shared" si="72"/>
        <v>0.13737373737373737</v>
      </c>
      <c r="AE616" s="61" t="str">
        <f t="shared" si="73"/>
        <v/>
      </c>
      <c r="AF616" s="77" t="str">
        <f>_xlfn.XLOOKUP(AD616,menu!$K$2:$K$9,menu!$J$2:$J$9,"",1)</f>
        <v/>
      </c>
      <c r="AG616" s="80" t="str">
        <f>_xlfn.XLOOKUP(AH616,menu!$O$2:$O$9,menu!$H$2:$H$9,"")</f>
        <v/>
      </c>
      <c r="AI616" t="str">
        <f>_xlfn.LET(_xlpm.x,_xlfn.CONCAT(_xlfn.XLOOKUP(D616,beans!$A$2:$A$300,beans!$J$2:$J$300,"")," / ",_xlfn.XLOOKUP(D616,beans!$A$2:$A$300,beans!$K$2:$K$300,"")," - ",_xlfn.XLOOKUP(D616,beans!$A$2:$A$300,beans!$L$2:$L$300,"")),IF(_xlpm.x=" /  - ","",_xlpm.x))</f>
        <v xml:space="preserve">耶加雪菲 / 柯契爾 畢洛雅 - </v>
      </c>
    </row>
    <row r="617" spans="1:36" x14ac:dyDescent="0.3">
      <c r="A617">
        <v>600</v>
      </c>
      <c r="B617">
        <v>499.8</v>
      </c>
      <c r="D617">
        <v>67</v>
      </c>
      <c r="E617" t="str">
        <f>_xlfn.LET(_xlpm.x,_xlfn.XLOOKUP(D617,beans!$A$2:$A$300,beans!$H$2:$H$300,""),IF(_xlpm.x="","",_xlpm.x))</f>
        <v>衣索比亞</v>
      </c>
      <c r="F617" s="22" t="str">
        <f>_xlfn.XLOOKUP(E617,menu!$A$2:$A$37,menu!$B$2:$B$37,"")</f>
        <v>Ethiopia</v>
      </c>
      <c r="G617" t="str">
        <f>_xlfn.XLOOKUP(E617,menu!$A$2:$A$37,menu!$C$2:$C$37,"")</f>
        <v>eth</v>
      </c>
      <c r="H617" t="str">
        <f>_xlfn.LET(_xlpm.x,_xlfn.XLOOKUP(_xlfn.XLOOKUP(D617,beans!$A$2:$A$300,beans!$I$2:$I$300),menu!$E$2:$E$20,menu!$F$2:$F$20),IF(_xlpm.x="","",_xlpm.x))</f>
        <v>washed</v>
      </c>
      <c r="I617">
        <v>200</v>
      </c>
      <c r="J617">
        <v>88</v>
      </c>
      <c r="K617">
        <v>30</v>
      </c>
      <c r="L617">
        <v>90</v>
      </c>
      <c r="M617" s="68" t="s">
        <v>820</v>
      </c>
      <c r="N617">
        <v>86.9</v>
      </c>
      <c r="P617" s="67" t="s">
        <v>824</v>
      </c>
      <c r="Q617" s="68">
        <v>200.9</v>
      </c>
      <c r="R617" s="67" t="s">
        <v>761</v>
      </c>
      <c r="S617" s="68">
        <v>209.1</v>
      </c>
      <c r="T617" s="68">
        <f t="shared" si="74"/>
        <v>8.1999999999999886</v>
      </c>
      <c r="U617">
        <f t="shared" si="70"/>
        <v>53</v>
      </c>
      <c r="V617">
        <f t="shared" si="75"/>
        <v>9.3000000000000007</v>
      </c>
      <c r="W617">
        <f t="shared" si="71"/>
        <v>8.9700000000000006</v>
      </c>
      <c r="X617" s="19">
        <v>45766</v>
      </c>
      <c r="Y617" s="26">
        <v>447</v>
      </c>
      <c r="Z617" s="61">
        <v>0</v>
      </c>
      <c r="AB617" s="28">
        <f t="shared" si="72"/>
        <v>0.10564225690276112</v>
      </c>
      <c r="AE617" s="61" t="str">
        <f t="shared" si="73"/>
        <v/>
      </c>
      <c r="AF617" s="77" t="str">
        <f>_xlfn.XLOOKUP(AD617,menu!$K$2:$K$9,menu!$J$2:$J$9,"",1)</f>
        <v/>
      </c>
      <c r="AG617" s="80" t="str">
        <f>_xlfn.XLOOKUP(AH617,menu!$O$2:$O$9,menu!$H$2:$H$9,"")</f>
        <v/>
      </c>
      <c r="AI617" t="str">
        <f>_xlfn.LET(_xlpm.x,_xlfn.CONCAT(_xlfn.XLOOKUP(D617,beans!$A$2:$A$300,beans!$J$2:$J$300,"")," / ",_xlfn.XLOOKUP(D617,beans!$A$2:$A$300,beans!$K$2:$K$300,"")," - ",_xlfn.XLOOKUP(D617,beans!$A$2:$A$300,beans!$L$2:$L$300,"")),IF(_xlpm.x=" /  - ","",_xlpm.x))</f>
        <v>古吉 / 茉香柚 - 可如蜜</v>
      </c>
    </row>
    <row r="618" spans="1:36" x14ac:dyDescent="0.3">
      <c r="A618">
        <v>601</v>
      </c>
      <c r="B618">
        <v>500</v>
      </c>
      <c r="D618">
        <v>67</v>
      </c>
      <c r="E618" t="str">
        <f>_xlfn.LET(_xlpm.x,_xlfn.XLOOKUP(D618,beans!$A$2:$A$300,beans!$H$2:$H$300,""),IF(_xlpm.x="","",_xlpm.x))</f>
        <v>衣索比亞</v>
      </c>
      <c r="F618" s="22" t="str">
        <f>_xlfn.XLOOKUP(E618,menu!$A$2:$A$37,menu!$B$2:$B$37,"")</f>
        <v>Ethiopia</v>
      </c>
      <c r="G618" t="str">
        <f>_xlfn.XLOOKUP(E618,menu!$A$2:$A$37,menu!$C$2:$C$37,"")</f>
        <v>eth</v>
      </c>
      <c r="H618" t="str">
        <f>_xlfn.LET(_xlpm.x,_xlfn.XLOOKUP(_xlfn.XLOOKUP(D618,beans!$A$2:$A$300,beans!$I$2:$I$300),menu!$E$2:$E$20,menu!$F$2:$F$20),IF(_xlpm.x="","",_xlpm.x))</f>
        <v>washed</v>
      </c>
      <c r="I618">
        <v>200</v>
      </c>
      <c r="J618">
        <v>88</v>
      </c>
      <c r="K618">
        <v>30</v>
      </c>
      <c r="L618">
        <v>90</v>
      </c>
      <c r="M618" s="68" t="s">
        <v>772</v>
      </c>
      <c r="N618">
        <v>87.1</v>
      </c>
      <c r="P618" s="67" t="s">
        <v>824</v>
      </c>
      <c r="Q618" s="68">
        <v>200.4</v>
      </c>
      <c r="R618" s="67" t="s">
        <v>825</v>
      </c>
      <c r="S618" s="68">
        <v>209.4</v>
      </c>
      <c r="T618" s="68">
        <f t="shared" si="74"/>
        <v>9</v>
      </c>
      <c r="U618">
        <f t="shared" si="70"/>
        <v>61</v>
      </c>
      <c r="V618">
        <f t="shared" si="75"/>
        <v>8.9</v>
      </c>
      <c r="W618">
        <f t="shared" si="71"/>
        <v>10.18</v>
      </c>
      <c r="X618" s="19">
        <v>45766</v>
      </c>
      <c r="Y618" s="26">
        <v>445</v>
      </c>
      <c r="Z618" s="61">
        <v>0</v>
      </c>
      <c r="AB618" s="28">
        <f t="shared" si="72"/>
        <v>0.11</v>
      </c>
      <c r="AE618" s="61" t="str">
        <f t="shared" si="73"/>
        <v/>
      </c>
      <c r="AF618" s="77" t="str">
        <f>_xlfn.XLOOKUP(AD618,menu!$K$2:$K$9,menu!$J$2:$J$9,"",1)</f>
        <v/>
      </c>
      <c r="AG618" s="80" t="str">
        <f>_xlfn.XLOOKUP(AH618,menu!$O$2:$O$9,menu!$H$2:$H$9,"")</f>
        <v/>
      </c>
      <c r="AI618" t="str">
        <f>_xlfn.LET(_xlpm.x,_xlfn.CONCAT(_xlfn.XLOOKUP(D618,beans!$A$2:$A$300,beans!$J$2:$J$300,"")," / ",_xlfn.XLOOKUP(D618,beans!$A$2:$A$300,beans!$K$2:$K$300,"")," - ",_xlfn.XLOOKUP(D618,beans!$A$2:$A$300,beans!$L$2:$L$300,"")),IF(_xlpm.x=" /  - ","",_xlpm.x))</f>
        <v>古吉 / 茉香柚 - 可如蜜</v>
      </c>
    </row>
    <row r="619" spans="1:36" x14ac:dyDescent="0.3">
      <c r="A619">
        <v>602</v>
      </c>
      <c r="B619">
        <v>498.8</v>
      </c>
      <c r="D619">
        <v>92</v>
      </c>
      <c r="E619" t="str">
        <f>_xlfn.LET(_xlpm.x,_xlfn.XLOOKUP(D619,beans!$A$2:$A$300,beans!$H$2:$H$300,""),IF(_xlpm.x="","",_xlpm.x))</f>
        <v>衣索比亞</v>
      </c>
      <c r="F619" s="22" t="str">
        <f>_xlfn.XLOOKUP(E619,menu!$A$2:$A$37,menu!$B$2:$B$37,"")</f>
        <v>Ethiopia</v>
      </c>
      <c r="G619" t="str">
        <f>_xlfn.XLOOKUP(E619,menu!$A$2:$A$37,menu!$C$2:$C$37,"")</f>
        <v>eth</v>
      </c>
      <c r="H619" t="str">
        <f>_xlfn.LET(_xlpm.x,_xlfn.XLOOKUP(_xlfn.XLOOKUP(D619,beans!$A$2:$A$300,beans!$I$2:$I$300),menu!$E$2:$E$20,menu!$F$2:$F$20),IF(_xlpm.x="","",_xlpm.x))</f>
        <v>washed</v>
      </c>
      <c r="I619">
        <v>200</v>
      </c>
      <c r="J619">
        <v>88</v>
      </c>
      <c r="K619">
        <v>30</v>
      </c>
      <c r="L619">
        <v>90</v>
      </c>
      <c r="M619" s="68" t="s">
        <v>775</v>
      </c>
      <c r="N619">
        <v>85.9</v>
      </c>
      <c r="P619" s="67" t="s">
        <v>826</v>
      </c>
      <c r="Q619" s="68">
        <v>203.3</v>
      </c>
      <c r="R619" s="67" t="s">
        <v>827</v>
      </c>
      <c r="S619" s="68">
        <v>218</v>
      </c>
      <c r="T619" s="68">
        <f t="shared" si="74"/>
        <v>14.699999999999989</v>
      </c>
      <c r="U619">
        <f t="shared" si="70"/>
        <v>86</v>
      </c>
      <c r="V619">
        <f t="shared" si="75"/>
        <v>10.3</v>
      </c>
      <c r="W619">
        <f t="shared" si="71"/>
        <v>15.25</v>
      </c>
      <c r="X619" s="19">
        <v>45766</v>
      </c>
      <c r="Y619" s="26">
        <v>432.2</v>
      </c>
      <c r="Z619" s="61">
        <v>0</v>
      </c>
      <c r="AB619" s="28">
        <f t="shared" si="72"/>
        <v>0.13352044907778673</v>
      </c>
      <c r="AE619" s="61" t="str">
        <f t="shared" si="73"/>
        <v/>
      </c>
      <c r="AF619" s="77" t="str">
        <f>_xlfn.XLOOKUP(AD619,menu!$K$2:$K$9,menu!$J$2:$J$9,"",1)</f>
        <v/>
      </c>
      <c r="AG619" s="80" t="str">
        <f>_xlfn.XLOOKUP(AH619,menu!$O$2:$O$9,menu!$H$2:$H$9,"")</f>
        <v/>
      </c>
      <c r="AI619" t="str">
        <f>_xlfn.LET(_xlpm.x,_xlfn.CONCAT(_xlfn.XLOOKUP(D619,beans!$A$2:$A$300,beans!$J$2:$J$300,"")," / ",_xlfn.XLOOKUP(D619,beans!$A$2:$A$300,beans!$K$2:$K$300,"")," - ",_xlfn.XLOOKUP(D619,beans!$A$2:$A$300,beans!$L$2:$L$300,"")),IF(_xlpm.x=" /  - ","",_xlpm.x))</f>
        <v xml:space="preserve">耶加雪菲 / 阿梅德萊洛處理廠 - </v>
      </c>
    </row>
    <row r="620" spans="1:36" x14ac:dyDescent="0.3">
      <c r="A620">
        <v>603</v>
      </c>
      <c r="B620">
        <v>498</v>
      </c>
      <c r="D620">
        <v>92</v>
      </c>
      <c r="E620" t="str">
        <f>_xlfn.LET(_xlpm.x,_xlfn.XLOOKUP(D620,beans!$A$2:$A$300,beans!$H$2:$H$300,""),IF(_xlpm.x="","",_xlpm.x))</f>
        <v>衣索比亞</v>
      </c>
      <c r="F620" s="22" t="str">
        <f>_xlfn.XLOOKUP(E620,menu!$A$2:$A$37,menu!$B$2:$B$37,"")</f>
        <v>Ethiopia</v>
      </c>
      <c r="G620" t="str">
        <f>_xlfn.XLOOKUP(E620,menu!$A$2:$A$37,menu!$C$2:$C$37,"")</f>
        <v>eth</v>
      </c>
      <c r="H620" t="str">
        <f>_xlfn.LET(_xlpm.x,_xlfn.XLOOKUP(_xlfn.XLOOKUP(D620,beans!$A$2:$A$300,beans!$I$2:$I$300),menu!$E$2:$E$20,menu!$F$2:$F$20),IF(_xlpm.x="","",_xlpm.x))</f>
        <v>washed</v>
      </c>
      <c r="T620" s="68" t="str">
        <f t="shared" si="74"/>
        <v/>
      </c>
      <c r="U620" t="str">
        <f t="shared" si="70"/>
        <v/>
      </c>
      <c r="V620">
        <f t="shared" si="75"/>
        <v>0</v>
      </c>
      <c r="W620" t="str">
        <f t="shared" si="71"/>
        <v/>
      </c>
      <c r="X620" s="19">
        <v>45766</v>
      </c>
      <c r="Y620" s="26">
        <v>429</v>
      </c>
      <c r="Z620" s="61">
        <v>0</v>
      </c>
      <c r="AB620" s="28">
        <f t="shared" si="72"/>
        <v>0.13855421686746988</v>
      </c>
      <c r="AE620" s="61" t="str">
        <f t="shared" si="73"/>
        <v/>
      </c>
      <c r="AF620" s="77" t="str">
        <f>_xlfn.XLOOKUP(AD620,menu!$K$2:$K$9,menu!$J$2:$J$9,"",1)</f>
        <v/>
      </c>
      <c r="AG620" s="80" t="str">
        <f>_xlfn.XLOOKUP(AH620,menu!$O$2:$O$9,menu!$H$2:$H$9,"")</f>
        <v/>
      </c>
      <c r="AI620" t="str">
        <f>_xlfn.LET(_xlpm.x,_xlfn.CONCAT(_xlfn.XLOOKUP(D620,beans!$A$2:$A$300,beans!$J$2:$J$300,"")," / ",_xlfn.XLOOKUP(D620,beans!$A$2:$A$300,beans!$K$2:$K$300,"")," - ",_xlfn.XLOOKUP(D620,beans!$A$2:$A$300,beans!$L$2:$L$300,"")),IF(_xlpm.x=" /  - ","",_xlpm.x))</f>
        <v xml:space="preserve">耶加雪菲 / 阿梅德萊洛處理廠 - </v>
      </c>
    </row>
    <row r="621" spans="1:36" x14ac:dyDescent="0.3">
      <c r="A621">
        <v>604</v>
      </c>
      <c r="B621">
        <v>247.5</v>
      </c>
      <c r="D621">
        <v>87</v>
      </c>
      <c r="E621" t="str">
        <f>_xlfn.LET(_xlpm.x,_xlfn.XLOOKUP(D621,beans!$A$2:$A$300,beans!$H$2:$H$300,""),IF(_xlpm.x="","",_xlpm.x))</f>
        <v>衣索比亞</v>
      </c>
      <c r="F621" s="22" t="str">
        <f>_xlfn.XLOOKUP(E621,menu!$A$2:$A$37,menu!$B$2:$B$37,"")</f>
        <v>Ethiopia</v>
      </c>
      <c r="G621" t="str">
        <f>_xlfn.XLOOKUP(E621,menu!$A$2:$A$37,menu!$C$2:$C$37,"")</f>
        <v>eth</v>
      </c>
      <c r="H621" t="str">
        <f>_xlfn.LET(_xlpm.x,_xlfn.XLOOKUP(_xlfn.XLOOKUP(D621,beans!$A$2:$A$300,beans!$I$2:$I$300),menu!$E$2:$E$20,menu!$F$2:$F$20),IF(_xlpm.x="","",_xlpm.x))</f>
        <v>washed</v>
      </c>
      <c r="I621">
        <v>190</v>
      </c>
      <c r="J621">
        <v>85</v>
      </c>
      <c r="K621">
        <v>40</v>
      </c>
      <c r="L621">
        <v>75</v>
      </c>
      <c r="M621" s="68" t="s">
        <v>828</v>
      </c>
      <c r="N621">
        <v>89.3</v>
      </c>
      <c r="P621" s="67" t="s">
        <v>829</v>
      </c>
      <c r="Q621" s="68">
        <v>204.9</v>
      </c>
      <c r="R621" s="67" t="s">
        <v>830</v>
      </c>
      <c r="S621" s="68">
        <v>218.3</v>
      </c>
      <c r="T621" s="68">
        <f t="shared" si="74"/>
        <v>13.400000000000006</v>
      </c>
      <c r="U621">
        <f t="shared" si="70"/>
        <v>71</v>
      </c>
      <c r="V621">
        <f t="shared" si="75"/>
        <v>11.3</v>
      </c>
      <c r="W621">
        <f t="shared" si="71"/>
        <v>11.53</v>
      </c>
      <c r="X621" s="19">
        <v>45766</v>
      </c>
      <c r="Y621" s="26">
        <v>214</v>
      </c>
      <c r="Z621" s="61">
        <v>0</v>
      </c>
      <c r="AB621" s="28">
        <f t="shared" si="72"/>
        <v>0.13535353535353536</v>
      </c>
      <c r="AE621" s="61" t="str">
        <f t="shared" si="73"/>
        <v/>
      </c>
      <c r="AF621" s="77" t="str">
        <f>_xlfn.XLOOKUP(AD621,menu!$K$2:$K$9,menu!$J$2:$J$9,"",1)</f>
        <v/>
      </c>
      <c r="AG621" s="80" t="str">
        <f>_xlfn.XLOOKUP(AH621,menu!$O$2:$O$9,menu!$H$2:$H$9,"")</f>
        <v/>
      </c>
      <c r="AI621" t="str">
        <f>_xlfn.LET(_xlpm.x,_xlfn.CONCAT(_xlfn.XLOOKUP(D621,beans!$A$2:$A$300,beans!$J$2:$J$300,"")," / ",_xlfn.XLOOKUP(D621,beans!$A$2:$A$300,beans!$K$2:$K$300,"")," - ",_xlfn.XLOOKUP(D621,beans!$A$2:$A$300,beans!$L$2:$L$300,"")),IF(_xlpm.x=" /  - ","",_xlpm.x))</f>
        <v xml:space="preserve">烏拉嗄 / 索羅門 - </v>
      </c>
    </row>
    <row r="622" spans="1:36" x14ac:dyDescent="0.3">
      <c r="A622">
        <v>605</v>
      </c>
      <c r="B622">
        <v>494</v>
      </c>
      <c r="D622">
        <v>6</v>
      </c>
      <c r="E622" t="str">
        <f>_xlfn.LET(_xlpm.x,_xlfn.XLOOKUP(D622,beans!$A$2:$A$300,beans!$H$2:$H$300,""),IF(_xlpm.x="","",_xlpm.x))</f>
        <v>肯亞</v>
      </c>
      <c r="F622" s="22" t="str">
        <f>_xlfn.XLOOKUP(E622,menu!$A$2:$A$37,menu!$B$2:$B$37,"")</f>
        <v>Kenya</v>
      </c>
      <c r="G622" t="str">
        <f>_xlfn.XLOOKUP(E622,menu!$A$2:$A$37,menu!$C$2:$C$37,"")</f>
        <v>ken</v>
      </c>
      <c r="H622" t="str">
        <f>_xlfn.LET(_xlpm.x,_xlfn.XLOOKUP(_xlfn.XLOOKUP(D622,beans!$A$2:$A$300,beans!$I$2:$I$300),menu!$E$2:$E$20,menu!$F$2:$F$20),IF(_xlpm.x="","",_xlpm.x))</f>
        <v>washed</v>
      </c>
      <c r="I622">
        <v>200</v>
      </c>
      <c r="J622">
        <v>80</v>
      </c>
      <c r="K622">
        <v>25</v>
      </c>
      <c r="L622">
        <v>90</v>
      </c>
      <c r="M622" s="68" t="s">
        <v>831</v>
      </c>
      <c r="N622">
        <v>88.2</v>
      </c>
      <c r="P622" s="67" t="s">
        <v>832</v>
      </c>
      <c r="Q622" s="68">
        <v>193.6</v>
      </c>
      <c r="R622" s="67" t="s">
        <v>762</v>
      </c>
      <c r="S622" s="68">
        <v>215.9</v>
      </c>
      <c r="T622" s="68">
        <f t="shared" si="74"/>
        <v>22.300000000000011</v>
      </c>
      <c r="U622">
        <f t="shared" si="70"/>
        <v>126</v>
      </c>
      <c r="V622">
        <f t="shared" si="75"/>
        <v>10.6</v>
      </c>
      <c r="W622">
        <f t="shared" si="71"/>
        <v>19.12</v>
      </c>
      <c r="X622" s="19">
        <v>45774</v>
      </c>
      <c r="Y622" s="26">
        <v>420</v>
      </c>
      <c r="Z622" s="61">
        <v>0</v>
      </c>
      <c r="AB622" s="28">
        <f t="shared" si="72"/>
        <v>0.14979757085020243</v>
      </c>
      <c r="AE622" s="61" t="str">
        <f t="shared" si="73"/>
        <v/>
      </c>
      <c r="AF622" s="77" t="str">
        <f>_xlfn.XLOOKUP(AD622,menu!$K$2:$K$9,menu!$J$2:$J$9,"",1)</f>
        <v/>
      </c>
      <c r="AG622" s="80" t="str">
        <f>_xlfn.XLOOKUP(AH622,menu!$O$2:$O$9,menu!$H$2:$H$9,"")</f>
        <v/>
      </c>
      <c r="AI622" t="str">
        <f>_xlfn.LET(_xlpm.x,_xlfn.CONCAT(_xlfn.XLOOKUP(D622,beans!$A$2:$A$300,beans!$J$2:$J$300,"")," / ",_xlfn.XLOOKUP(D622,beans!$A$2:$A$300,beans!$K$2:$K$300,"")," - ",_xlfn.XLOOKUP(D622,beans!$A$2:$A$300,beans!$L$2:$L$300,"")),IF(_xlpm.x=" /  - ","",_xlpm.x))</f>
        <v>東非大裂谷產區 / 烏克栗栗/黑莓皇后 - SL28, SL34, 少許Ruiru以及Batian</v>
      </c>
    </row>
    <row r="623" spans="1:36" x14ac:dyDescent="0.3">
      <c r="A623">
        <v>606</v>
      </c>
      <c r="B623">
        <v>487.8</v>
      </c>
      <c r="D623">
        <v>94</v>
      </c>
      <c r="E623" t="str">
        <f>_xlfn.LET(_xlpm.x,_xlfn.XLOOKUP(D623,beans!$A$2:$A$300,beans!$H$2:$H$300,""),IF(_xlpm.x="","",_xlpm.x))</f>
        <v>巴西</v>
      </c>
      <c r="F623" s="22" t="str">
        <f>_xlfn.XLOOKUP(E623,menu!$A$2:$A$37,menu!$B$2:$B$37,"")</f>
        <v>Brazli</v>
      </c>
      <c r="G623" t="str">
        <f>_xlfn.XLOOKUP(E623,menu!$A$2:$A$37,menu!$C$2:$C$37,"")</f>
        <v>bra</v>
      </c>
      <c r="H623" t="str">
        <f>_xlfn.LET(_xlpm.x,_xlfn.XLOOKUP(_xlfn.XLOOKUP(D623,beans!$A$2:$A$300,beans!$I$2:$I$300),menu!$E$2:$E$20,menu!$F$2:$F$20),IF(_xlpm.x="","",_xlpm.x))</f>
        <v>washed</v>
      </c>
      <c r="I623">
        <v>200</v>
      </c>
      <c r="J623">
        <v>80</v>
      </c>
      <c r="K623">
        <v>25</v>
      </c>
      <c r="L623">
        <v>90</v>
      </c>
      <c r="M623" s="68" t="s">
        <v>760</v>
      </c>
      <c r="N623">
        <v>85.5</v>
      </c>
      <c r="P623" s="67" t="s">
        <v>833</v>
      </c>
      <c r="Q623" s="68">
        <v>199.5</v>
      </c>
      <c r="R623" s="67" t="s">
        <v>834</v>
      </c>
      <c r="S623" s="68">
        <v>217.3</v>
      </c>
      <c r="T623" s="68">
        <f t="shared" si="74"/>
        <v>17.800000000000011</v>
      </c>
      <c r="U623">
        <f t="shared" si="70"/>
        <v>88</v>
      </c>
      <c r="V623">
        <f t="shared" si="75"/>
        <v>12.1</v>
      </c>
      <c r="W623">
        <f t="shared" si="71"/>
        <v>13.54</v>
      </c>
      <c r="X623" s="19">
        <v>45774</v>
      </c>
      <c r="Y623" s="26">
        <v>426.7</v>
      </c>
      <c r="Z623" s="61">
        <v>0</v>
      </c>
      <c r="AB623" s="28">
        <f t="shared" si="72"/>
        <v>0.12525625256252568</v>
      </c>
      <c r="AE623" s="61" t="str">
        <f t="shared" si="73"/>
        <v/>
      </c>
      <c r="AF623" s="77" t="str">
        <f>_xlfn.XLOOKUP(AD623,menu!$K$2:$K$9,menu!$J$2:$J$9,"",1)</f>
        <v/>
      </c>
      <c r="AG623" s="80" t="str">
        <f>_xlfn.XLOOKUP(AH623,menu!$O$2:$O$9,menu!$H$2:$H$9,"")</f>
        <v/>
      </c>
      <c r="AI623" t="str">
        <f>_xlfn.LET(_xlpm.x,_xlfn.CONCAT(_xlfn.XLOOKUP(D623,beans!$A$2:$A$300,beans!$J$2:$J$300,"")," / ",_xlfn.XLOOKUP(D623,beans!$A$2:$A$300,beans!$K$2:$K$300,"")," - ",_xlfn.XLOOKUP(D623,beans!$A$2:$A$300,beans!$L$2:$L$300,"")),IF(_xlpm.x=" /  - ","",_xlpm.x))</f>
        <v>南米納斯 / 伊帕內瑪莊園 - 黃波本</v>
      </c>
    </row>
    <row r="624" spans="1:36" x14ac:dyDescent="0.3">
      <c r="A624">
        <v>607</v>
      </c>
      <c r="B624">
        <v>495</v>
      </c>
      <c r="D624">
        <v>64</v>
      </c>
      <c r="E624" t="str">
        <f>_xlfn.LET(_xlpm.x,_xlfn.XLOOKUP(D624,beans!$A$2:$A$300,beans!$H$2:$H$300,""),IF(_xlpm.x="","",_xlpm.x))</f>
        <v>衣索比亞</v>
      </c>
      <c r="F624" s="22" t="str">
        <f>_xlfn.XLOOKUP(E624,menu!$A$2:$A$37,menu!$B$2:$B$37,"")</f>
        <v>Ethiopia</v>
      </c>
      <c r="G624" t="str">
        <f>_xlfn.XLOOKUP(E624,menu!$A$2:$A$37,menu!$C$2:$C$37,"")</f>
        <v>eth</v>
      </c>
      <c r="H624" t="str">
        <f>_xlfn.LET(_xlpm.x,_xlfn.XLOOKUP(_xlfn.XLOOKUP(D624,beans!$A$2:$A$300,beans!$I$2:$I$300),menu!$E$2:$E$20,menu!$F$2:$F$20),IF(_xlpm.x="","",_xlpm.x))</f>
        <v>washed</v>
      </c>
      <c r="I624">
        <v>200</v>
      </c>
      <c r="J624">
        <v>80</v>
      </c>
      <c r="K624">
        <v>25</v>
      </c>
      <c r="L624">
        <v>90</v>
      </c>
      <c r="M624" s="68" t="s">
        <v>781</v>
      </c>
      <c r="N624">
        <v>85.1</v>
      </c>
      <c r="P624" s="67" t="s">
        <v>827</v>
      </c>
      <c r="Q624" s="68">
        <v>201.5</v>
      </c>
      <c r="R624" s="67" t="s">
        <v>835</v>
      </c>
      <c r="S624" s="68">
        <v>218.2</v>
      </c>
      <c r="T624" s="68">
        <f t="shared" si="74"/>
        <v>16.699999999999989</v>
      </c>
      <c r="U624">
        <f t="shared" si="70"/>
        <v>85</v>
      </c>
      <c r="V624">
        <f t="shared" si="75"/>
        <v>11.8</v>
      </c>
      <c r="W624">
        <f t="shared" si="71"/>
        <v>13.1</v>
      </c>
      <c r="X624" s="19">
        <v>45774</v>
      </c>
      <c r="Y624" s="26">
        <v>426</v>
      </c>
      <c r="Z624" s="61">
        <v>0</v>
      </c>
      <c r="AB624" s="28">
        <f t="shared" si="72"/>
        <v>0.1393939393939394</v>
      </c>
      <c r="AE624" s="61" t="str">
        <f t="shared" si="73"/>
        <v/>
      </c>
      <c r="AF624" s="77" t="str">
        <f>_xlfn.XLOOKUP(AD624,menu!$K$2:$K$9,menu!$J$2:$J$9,"",1)</f>
        <v/>
      </c>
      <c r="AG624" s="80" t="str">
        <f>_xlfn.XLOOKUP(AH624,menu!$O$2:$O$9,menu!$H$2:$H$9,"")</f>
        <v/>
      </c>
      <c r="AI624" t="str">
        <f>_xlfn.LET(_xlpm.x,_xlfn.CONCAT(_xlfn.XLOOKUP(D624,beans!$A$2:$A$300,beans!$J$2:$J$300,"")," / ",_xlfn.XLOOKUP(D624,beans!$A$2:$A$300,beans!$K$2:$K$300,"")," - ",_xlfn.XLOOKUP(D624,beans!$A$2:$A$300,beans!$L$2:$L$300,"")),IF(_xlpm.x=" /  - ","",_xlpm.x))</f>
        <v>西達摩 / 花貝果娜 - 74158</v>
      </c>
    </row>
    <row r="625" spans="1:35" x14ac:dyDescent="0.3">
      <c r="A625">
        <v>608</v>
      </c>
      <c r="B625">
        <v>485</v>
      </c>
      <c r="D625">
        <v>82</v>
      </c>
      <c r="E625" t="str">
        <f>_xlfn.LET(_xlpm.x,_xlfn.XLOOKUP(D625,beans!$A$2:$A$300,beans!$H$2:$H$300,""),IF(_xlpm.x="","",_xlpm.x))</f>
        <v>衣索比亞</v>
      </c>
      <c r="F625" s="22" t="str">
        <f>_xlfn.XLOOKUP(E625,menu!$A$2:$A$37,menu!$B$2:$B$37,"")</f>
        <v>Ethiopia</v>
      </c>
      <c r="G625" t="str">
        <f>_xlfn.XLOOKUP(E625,menu!$A$2:$A$37,menu!$C$2:$C$37,"")</f>
        <v>eth</v>
      </c>
      <c r="H625" t="str">
        <f>_xlfn.LET(_xlpm.x,_xlfn.XLOOKUP(_xlfn.XLOOKUP(D625,beans!$A$2:$A$300,beans!$I$2:$I$300),menu!$E$2:$E$20,menu!$F$2:$F$20),IF(_xlpm.x="","",_xlpm.x))</f>
        <v>Anaerobic Washed</v>
      </c>
      <c r="I625">
        <v>200</v>
      </c>
      <c r="J625">
        <v>80</v>
      </c>
      <c r="K625">
        <v>25</v>
      </c>
      <c r="L625">
        <v>90</v>
      </c>
      <c r="M625" s="68" t="s">
        <v>781</v>
      </c>
      <c r="N625">
        <v>85.1</v>
      </c>
      <c r="P625" s="67" t="s">
        <v>836</v>
      </c>
      <c r="Q625" s="68">
        <v>199.6</v>
      </c>
      <c r="R625" s="67" t="s">
        <v>837</v>
      </c>
      <c r="S625" s="68">
        <v>215.3</v>
      </c>
      <c r="T625" s="68">
        <f t="shared" si="74"/>
        <v>15.700000000000017</v>
      </c>
      <c r="U625">
        <f t="shared" si="70"/>
        <v>68</v>
      </c>
      <c r="V625">
        <f t="shared" si="75"/>
        <v>13.9</v>
      </c>
      <c r="W625">
        <f t="shared" si="71"/>
        <v>10.78</v>
      </c>
      <c r="X625" s="19">
        <v>45774</v>
      </c>
      <c r="Y625" s="26">
        <v>423</v>
      </c>
      <c r="Z625" s="61">
        <v>0</v>
      </c>
      <c r="AB625" s="28">
        <f t="shared" si="72"/>
        <v>0.12783505154639174</v>
      </c>
      <c r="AE625" s="61" t="str">
        <f t="shared" si="73"/>
        <v/>
      </c>
      <c r="AF625" s="77" t="str">
        <f>_xlfn.XLOOKUP(AD625,menu!$K$2:$K$9,menu!$J$2:$J$9,"",1)</f>
        <v/>
      </c>
      <c r="AG625" s="80" t="str">
        <f>_xlfn.XLOOKUP(AH625,menu!$O$2:$O$9,menu!$H$2:$H$9,"")</f>
        <v/>
      </c>
      <c r="AI625" t="str">
        <f>_xlfn.LET(_xlpm.x,_xlfn.CONCAT(_xlfn.XLOOKUP(D625,beans!$A$2:$A$300,beans!$J$2:$J$300,"")," / ",_xlfn.XLOOKUP(D625,beans!$A$2:$A$300,beans!$K$2:$K$300,"")," - ",_xlfn.XLOOKUP(D625,beans!$A$2:$A$300,beans!$L$2:$L$300,"")),IF(_xlpm.x=" /  - ","",_xlpm.x))</f>
        <v xml:space="preserve">烏拉嗄 / 香水月季 - </v>
      </c>
    </row>
    <row r="626" spans="1:35" x14ac:dyDescent="0.3">
      <c r="A626">
        <v>609</v>
      </c>
      <c r="B626">
        <v>494.6</v>
      </c>
      <c r="D626">
        <v>63</v>
      </c>
      <c r="E626" t="str">
        <f>_xlfn.LET(_xlpm.x,_xlfn.XLOOKUP(D626,beans!$A$2:$A$300,beans!$H$2:$H$300,""),IF(_xlpm.x="","",_xlpm.x))</f>
        <v>衣索比亞</v>
      </c>
      <c r="F626" s="22" t="str">
        <f>_xlfn.XLOOKUP(E626,menu!$A$2:$A$37,menu!$B$2:$B$37,"")</f>
        <v>Ethiopia</v>
      </c>
      <c r="G626" t="str">
        <f>_xlfn.XLOOKUP(E626,menu!$A$2:$A$37,menu!$C$2:$C$37,"")</f>
        <v>eth</v>
      </c>
      <c r="H626" t="str">
        <f>_xlfn.LET(_xlpm.x,_xlfn.XLOOKUP(_xlfn.XLOOKUP(D626,beans!$A$2:$A$300,beans!$I$2:$I$300),menu!$E$2:$E$20,menu!$F$2:$F$20),IF(_xlpm.x="","",_xlpm.x))</f>
        <v>washed</v>
      </c>
      <c r="I626">
        <v>200</v>
      </c>
      <c r="J626">
        <v>80</v>
      </c>
      <c r="K626">
        <v>25</v>
      </c>
      <c r="L626">
        <v>90</v>
      </c>
      <c r="M626" s="68" t="s">
        <v>764</v>
      </c>
      <c r="N626">
        <v>84.9</v>
      </c>
      <c r="P626" s="67" t="s">
        <v>838</v>
      </c>
      <c r="Q626" s="68">
        <v>198.7</v>
      </c>
      <c r="R626" s="67" t="s">
        <v>834</v>
      </c>
      <c r="S626" s="68">
        <v>212.9</v>
      </c>
      <c r="T626" s="68">
        <f t="shared" si="74"/>
        <v>14.200000000000017</v>
      </c>
      <c r="U626">
        <f t="shared" si="70"/>
        <v>90</v>
      </c>
      <c r="V626">
        <f t="shared" si="75"/>
        <v>9.5</v>
      </c>
      <c r="W626">
        <f t="shared" si="71"/>
        <v>13.85</v>
      </c>
      <c r="X626" s="19">
        <v>45774</v>
      </c>
      <c r="Y626" s="26">
        <v>432</v>
      </c>
      <c r="Z626" s="61">
        <v>0</v>
      </c>
      <c r="AB626" s="28">
        <f t="shared" si="72"/>
        <v>0.12656692276587145</v>
      </c>
      <c r="AE626" s="61" t="str">
        <f t="shared" si="73"/>
        <v/>
      </c>
      <c r="AF626" s="77" t="str">
        <f>_xlfn.XLOOKUP(AD626,menu!$K$2:$K$9,menu!$J$2:$J$9,"",1)</f>
        <v/>
      </c>
      <c r="AG626" s="80" t="str">
        <f>_xlfn.XLOOKUP(AH626,menu!$O$2:$O$9,menu!$H$2:$H$9,"")</f>
        <v/>
      </c>
      <c r="AI626" t="str">
        <f>_xlfn.LET(_xlpm.x,_xlfn.CONCAT(_xlfn.XLOOKUP(D626,beans!$A$2:$A$300,beans!$J$2:$J$300,"")," / ",_xlfn.XLOOKUP(D626,beans!$A$2:$A$300,beans!$K$2:$K$300,"")," - ",_xlfn.XLOOKUP(D626,beans!$A$2:$A$300,beans!$L$2:$L$300,"")),IF(_xlpm.x=" /  - ","",_xlpm.x))</f>
        <v>班奇 馬吉 / 露西 - Geisha</v>
      </c>
    </row>
    <row r="627" spans="1:35" x14ac:dyDescent="0.3">
      <c r="A627">
        <v>610</v>
      </c>
      <c r="B627">
        <v>493.7</v>
      </c>
      <c r="D627">
        <v>63</v>
      </c>
      <c r="E627" t="str">
        <f>_xlfn.LET(_xlpm.x,_xlfn.XLOOKUP(D627,beans!$A$2:$A$300,beans!$H$2:$H$300,""),IF(_xlpm.x="","",_xlpm.x))</f>
        <v>衣索比亞</v>
      </c>
      <c r="F627" s="22" t="str">
        <f>_xlfn.XLOOKUP(E627,menu!$A$2:$A$37,menu!$B$2:$B$37,"")</f>
        <v>Ethiopia</v>
      </c>
      <c r="G627" t="str">
        <f>_xlfn.XLOOKUP(E627,menu!$A$2:$A$37,menu!$C$2:$C$37,"")</f>
        <v>eth</v>
      </c>
      <c r="H627" t="str">
        <f>_xlfn.LET(_xlpm.x,_xlfn.XLOOKUP(_xlfn.XLOOKUP(D627,beans!$A$2:$A$300,beans!$I$2:$I$300),menu!$E$2:$E$20,menu!$F$2:$F$20),IF(_xlpm.x="","",_xlpm.x))</f>
        <v>washed</v>
      </c>
      <c r="I627">
        <v>200</v>
      </c>
      <c r="J627">
        <v>80</v>
      </c>
      <c r="K627">
        <v>25</v>
      </c>
      <c r="L627">
        <v>90</v>
      </c>
      <c r="M627" s="68" t="s">
        <v>781</v>
      </c>
      <c r="N627">
        <v>85</v>
      </c>
      <c r="P627" s="67" t="s">
        <v>836</v>
      </c>
      <c r="Q627" s="68">
        <v>199.9</v>
      </c>
      <c r="R627" s="67" t="s">
        <v>823</v>
      </c>
      <c r="S627" s="68">
        <v>216.3</v>
      </c>
      <c r="T627" s="68">
        <f t="shared" si="74"/>
        <v>16.400000000000006</v>
      </c>
      <c r="U627">
        <f t="shared" si="70"/>
        <v>91</v>
      </c>
      <c r="V627">
        <f t="shared" si="75"/>
        <v>10.8</v>
      </c>
      <c r="W627">
        <f t="shared" si="71"/>
        <v>13.91</v>
      </c>
      <c r="X627" s="19">
        <v>45774</v>
      </c>
      <c r="Y627" s="26">
        <v>428</v>
      </c>
      <c r="Z627" s="61">
        <v>0</v>
      </c>
      <c r="AB627" s="28">
        <f t="shared" si="72"/>
        <v>0.13307676726757137</v>
      </c>
      <c r="AE627" s="61" t="str">
        <f t="shared" si="73"/>
        <v/>
      </c>
      <c r="AF627" s="77" t="str">
        <f>_xlfn.XLOOKUP(AD627,menu!$K$2:$K$9,menu!$J$2:$J$9,"",1)</f>
        <v/>
      </c>
      <c r="AG627" s="80" t="str">
        <f>_xlfn.XLOOKUP(AH627,menu!$O$2:$O$9,menu!$H$2:$H$9,"")</f>
        <v/>
      </c>
      <c r="AI627" t="str">
        <f>_xlfn.LET(_xlpm.x,_xlfn.CONCAT(_xlfn.XLOOKUP(D627,beans!$A$2:$A$300,beans!$J$2:$J$300,"")," / ",_xlfn.XLOOKUP(D627,beans!$A$2:$A$300,beans!$K$2:$K$300,"")," - ",_xlfn.XLOOKUP(D627,beans!$A$2:$A$300,beans!$L$2:$L$300,"")),IF(_xlpm.x=" /  - ","",_xlpm.x))</f>
        <v>班奇 馬吉 / 露西 - Geisha</v>
      </c>
    </row>
    <row r="628" spans="1:35" x14ac:dyDescent="0.3">
      <c r="A628">
        <v>611</v>
      </c>
      <c r="B628">
        <v>488</v>
      </c>
      <c r="D628">
        <v>103</v>
      </c>
      <c r="E628" t="str">
        <f>_xlfn.LET(_xlpm.x,_xlfn.XLOOKUP(D628,beans!$A$2:$A$300,beans!$H$2:$H$300,""),IF(_xlpm.x="","",_xlpm.x))</f>
        <v>薩爾瓦多</v>
      </c>
      <c r="F628" s="22" t="str">
        <f>_xlfn.XLOOKUP(E628,menu!$A$2:$A$37,menu!$B$2:$B$37,"")</f>
        <v>Salvador</v>
      </c>
      <c r="G628" t="str">
        <f>_xlfn.XLOOKUP(E628,menu!$A$2:$A$37,menu!$C$2:$C$37,"")</f>
        <v>slv</v>
      </c>
      <c r="H628" t="str">
        <f>_xlfn.LET(_xlpm.x,_xlfn.XLOOKUP(_xlfn.XLOOKUP(D628,beans!$A$2:$A$300,beans!$I$2:$I$300),menu!$E$2:$E$20,menu!$F$2:$F$20),IF(_xlpm.x="","",_xlpm.x))</f>
        <v>semi-washed</v>
      </c>
      <c r="I628">
        <v>200</v>
      </c>
      <c r="J628">
        <v>80</v>
      </c>
      <c r="K628">
        <v>25</v>
      </c>
      <c r="L628">
        <v>90</v>
      </c>
      <c r="M628" s="68" t="s">
        <v>756</v>
      </c>
      <c r="N628">
        <v>87.4</v>
      </c>
      <c r="P628" s="67" t="s">
        <v>769</v>
      </c>
      <c r="Q628" s="68">
        <v>202.5</v>
      </c>
      <c r="R628" s="67" t="s">
        <v>834</v>
      </c>
      <c r="S628" s="68">
        <v>219.3</v>
      </c>
      <c r="T628" s="68">
        <f t="shared" si="74"/>
        <v>16.800000000000011</v>
      </c>
      <c r="U628" cm="1">
        <f t="array" ref="U628">_xlfn.LET(_xlpm.x,(TIMEVALUE("0:"&amp;SUBSTITUTE(R628,"'",":"))-TIMEVALUE("0:"&amp;SUBSTITUTE(P628,"'",":")))*86400,IF(_xlpm.x=0,"",ROUND(_xlpm.x,2)))</f>
        <v>89</v>
      </c>
      <c r="V628">
        <f t="shared" si="75"/>
        <v>11.3</v>
      </c>
      <c r="W628">
        <f t="shared" si="71"/>
        <v>13.69</v>
      </c>
      <c r="X628" s="19">
        <v>45774</v>
      </c>
      <c r="Y628" s="26">
        <v>419.4</v>
      </c>
      <c r="Z628" s="61">
        <v>0</v>
      </c>
      <c r="AB628" s="28">
        <f t="shared" si="72"/>
        <v>0.14057377049180333</v>
      </c>
      <c r="AE628" s="61" t="str">
        <f t="shared" si="73"/>
        <v/>
      </c>
      <c r="AF628" s="77" t="str">
        <f>_xlfn.XLOOKUP(AD628,menu!$K$2:$K$9,menu!$J$2:$J$9,"",1)</f>
        <v/>
      </c>
      <c r="AG628" s="80" t="str">
        <f>_xlfn.XLOOKUP(AH628,menu!$O$2:$O$9,menu!$H$2:$H$9,"")</f>
        <v/>
      </c>
      <c r="AI628" t="str">
        <f>_xlfn.LET(_xlpm.x,_xlfn.CONCAT(_xlfn.XLOOKUP(D628,beans!$A$2:$A$300,beans!$J$2:$J$300,"")," / ",_xlfn.XLOOKUP(D628,beans!$A$2:$A$300,beans!$K$2:$K$300,"")," - ",_xlfn.XLOOKUP(D628,beans!$A$2:$A$300,beans!$L$2:$L$300,"")),IF(_xlpm.x=" /  - ","",_xlpm.x))</f>
        <v xml:space="preserve"> / 巧克力情人 - </v>
      </c>
    </row>
    <row r="629" spans="1:35" x14ac:dyDescent="0.3">
      <c r="A629">
        <v>612</v>
      </c>
      <c r="B629">
        <v>494.8</v>
      </c>
      <c r="D629">
        <v>93</v>
      </c>
      <c r="E629" t="str">
        <f>_xlfn.LET(_xlpm.x,_xlfn.XLOOKUP(D629,beans!$A$2:$A$300,beans!$H$2:$H$300,""),IF(_xlpm.x="","",_xlpm.x))</f>
        <v>巴拿馬</v>
      </c>
      <c r="F629" s="22" t="str">
        <f>_xlfn.XLOOKUP(E629,menu!$A$2:$A$37,menu!$B$2:$B$37,"")</f>
        <v>Panama</v>
      </c>
      <c r="G629" t="str">
        <f>_xlfn.XLOOKUP(E629,menu!$A$2:$A$37,menu!$C$2:$C$37,"")</f>
        <v>pan</v>
      </c>
      <c r="H629" t="str">
        <f>_xlfn.LET(_xlpm.x,_xlfn.XLOOKUP(_xlfn.XLOOKUP(D629,beans!$A$2:$A$300,beans!$I$2:$I$300),menu!$E$2:$E$20,menu!$F$2:$F$20),IF(_xlpm.x="","",_xlpm.x))</f>
        <v>natural</v>
      </c>
      <c r="I629">
        <v>200</v>
      </c>
      <c r="J629">
        <v>85</v>
      </c>
      <c r="K629">
        <v>25</v>
      </c>
      <c r="L629">
        <v>90</v>
      </c>
      <c r="M629" s="68" t="s">
        <v>831</v>
      </c>
      <c r="N629">
        <v>85.7</v>
      </c>
      <c r="P629" s="67" t="s">
        <v>773</v>
      </c>
      <c r="Q629" s="68">
        <v>204.9</v>
      </c>
      <c r="R629" s="67" t="s">
        <v>839</v>
      </c>
      <c r="S629" s="68">
        <v>218.7</v>
      </c>
      <c r="T629" s="68">
        <f t="shared" si="74"/>
        <v>13.799999999999983</v>
      </c>
      <c r="U629">
        <f t="shared" si="70"/>
        <v>68</v>
      </c>
      <c r="V629">
        <f t="shared" si="75"/>
        <v>12.2</v>
      </c>
      <c r="W629">
        <f t="shared" si="71"/>
        <v>10.71</v>
      </c>
      <c r="X629" s="19">
        <v>45774</v>
      </c>
      <c r="Y629" s="26">
        <v>426</v>
      </c>
      <c r="Z629" s="61">
        <v>0</v>
      </c>
      <c r="AB629" s="28">
        <f t="shared" si="72"/>
        <v>0.13904607922392889</v>
      </c>
      <c r="AE629" s="61" t="str">
        <f t="shared" si="73"/>
        <v/>
      </c>
      <c r="AF629" s="77" t="str">
        <f>_xlfn.XLOOKUP(AD629,menu!$K$2:$K$9,menu!$J$2:$J$9,"",1)</f>
        <v/>
      </c>
      <c r="AG629" s="80" t="str">
        <f>_xlfn.XLOOKUP(AH629,menu!$O$2:$O$9,menu!$H$2:$H$9,"")</f>
        <v/>
      </c>
      <c r="AI629" t="str">
        <f>_xlfn.LET(_xlpm.x,_xlfn.CONCAT(_xlfn.XLOOKUP(D629,beans!$A$2:$A$300,beans!$J$2:$J$300,"")," / ",_xlfn.XLOOKUP(D629,beans!$A$2:$A$300,beans!$K$2:$K$300,"")," - ",_xlfn.XLOOKUP(D629,beans!$A$2:$A$300,beans!$L$2:$L$300,"")),IF(_xlpm.x=" /  - ","",_xlpm.x))</f>
        <v xml:space="preserve">波奎特 / 百合花 - </v>
      </c>
    </row>
    <row r="630" spans="1:35" x14ac:dyDescent="0.3">
      <c r="A630">
        <v>613</v>
      </c>
      <c r="B630">
        <v>496</v>
      </c>
      <c r="D630">
        <v>95</v>
      </c>
      <c r="E630" t="str">
        <f>_xlfn.LET(_xlpm.x,_xlfn.XLOOKUP(D630,beans!$A$2:$A$300,beans!$H$2:$H$300,""),IF(_xlpm.x="","",_xlpm.x))</f>
        <v>瓜地馬拉</v>
      </c>
      <c r="F630" s="22" t="str">
        <f>_xlfn.XLOOKUP(E630,menu!$A$2:$A$37,menu!$B$2:$B$37,"")</f>
        <v>Guatemala</v>
      </c>
      <c r="G630" t="str">
        <f>_xlfn.XLOOKUP(E630,menu!$A$2:$A$37,menu!$C$2:$C$37,"")</f>
        <v>gtm</v>
      </c>
      <c r="H630" t="str">
        <f>_xlfn.LET(_xlpm.x,_xlfn.XLOOKUP(_xlfn.XLOOKUP(D630,beans!$A$2:$A$300,beans!$I$2:$I$300),menu!$E$2:$E$20,menu!$F$2:$F$20),IF(_xlpm.x="","",_xlpm.x))</f>
        <v>Anaerobic Natural</v>
      </c>
      <c r="I630">
        <v>200</v>
      </c>
      <c r="J630">
        <v>80</v>
      </c>
      <c r="K630">
        <v>25</v>
      </c>
      <c r="L630">
        <v>90</v>
      </c>
      <c r="M630" s="68" t="s">
        <v>840</v>
      </c>
      <c r="N630">
        <v>86</v>
      </c>
      <c r="P630" s="67" t="s">
        <v>841</v>
      </c>
      <c r="Q630" s="68">
        <v>207.9</v>
      </c>
      <c r="R630" s="67" t="s">
        <v>842</v>
      </c>
      <c r="S630" s="68">
        <v>219.7</v>
      </c>
      <c r="T630" s="68">
        <f t="shared" si="74"/>
        <v>11.799999999999983</v>
      </c>
      <c r="U630">
        <f t="shared" si="70"/>
        <v>47</v>
      </c>
      <c r="V630">
        <f t="shared" si="75"/>
        <v>15.1</v>
      </c>
      <c r="W630">
        <f t="shared" si="71"/>
        <v>7.53</v>
      </c>
      <c r="X630" s="19">
        <v>45774</v>
      </c>
      <c r="Y630" s="26">
        <v>428</v>
      </c>
      <c r="Z630" s="61">
        <v>0</v>
      </c>
      <c r="AB630" s="28">
        <f t="shared" si="72"/>
        <v>0.13709677419354838</v>
      </c>
      <c r="AE630" s="61" t="str">
        <f t="shared" si="73"/>
        <v/>
      </c>
      <c r="AF630" s="77" t="str">
        <f>_xlfn.XLOOKUP(AD630,menu!$K$2:$K$9,menu!$J$2:$J$9,"",1)</f>
        <v/>
      </c>
      <c r="AG630" s="80" t="str">
        <f>_xlfn.XLOOKUP(AH630,menu!$O$2:$O$9,menu!$H$2:$H$9,"")</f>
        <v/>
      </c>
      <c r="AI630" t="str">
        <f>_xlfn.LET(_xlpm.x,_xlfn.CONCAT(_xlfn.XLOOKUP(D630,beans!$A$2:$A$300,beans!$J$2:$J$300,"")," / ",_xlfn.XLOOKUP(D630,beans!$A$2:$A$300,beans!$K$2:$K$300,"")," - ",_xlfn.XLOOKUP(D630,beans!$A$2:$A$300,beans!$L$2:$L$300,"")),IF(_xlpm.x=" /  - ","",_xlpm.x))</f>
        <v>薇薇特南果 / 吉拉莊園 - 波旁</v>
      </c>
    </row>
    <row r="631" spans="1:35" x14ac:dyDescent="0.3">
      <c r="A631">
        <v>614</v>
      </c>
      <c r="B631">
        <v>475.7</v>
      </c>
      <c r="D631">
        <v>99</v>
      </c>
      <c r="E631" t="str">
        <f>_xlfn.LET(_xlpm.x,_xlfn.XLOOKUP(D631,beans!$A$2:$A$300,beans!$H$2:$H$300,""),IF(_xlpm.x="","",_xlpm.x))</f>
        <v>肯亞</v>
      </c>
      <c r="F631" s="22" t="str">
        <f>_xlfn.XLOOKUP(E631,menu!$A$2:$A$37,menu!$B$2:$B$37,"")</f>
        <v>Kenya</v>
      </c>
      <c r="G631" t="str">
        <f>_xlfn.XLOOKUP(E631,menu!$A$2:$A$37,menu!$C$2:$C$37,"")</f>
        <v>ken</v>
      </c>
      <c r="H631" t="str">
        <f>_xlfn.LET(_xlpm.x,_xlfn.XLOOKUP(_xlfn.XLOOKUP(D631,beans!$A$2:$A$300,beans!$I$2:$I$300),menu!$E$2:$E$20,menu!$F$2:$F$20),IF(_xlpm.x="","",_xlpm.x))</f>
        <v/>
      </c>
      <c r="I631">
        <v>200</v>
      </c>
      <c r="T631" s="68" t="str">
        <f t="shared" si="74"/>
        <v/>
      </c>
      <c r="U631" t="str">
        <f t="shared" si="70"/>
        <v/>
      </c>
      <c r="V631">
        <f t="shared" si="75"/>
        <v>0</v>
      </c>
      <c r="W631" t="str">
        <f t="shared" si="71"/>
        <v/>
      </c>
      <c r="Y631" s="26">
        <v>412.4</v>
      </c>
      <c r="Z631" s="61">
        <v>0</v>
      </c>
      <c r="AB631" s="28">
        <f t="shared" si="72"/>
        <v>0.13306705907084299</v>
      </c>
      <c r="AE631" s="61" t="str">
        <f t="shared" si="73"/>
        <v/>
      </c>
      <c r="AF631" s="77" t="str">
        <f>_xlfn.XLOOKUP(AD631,menu!$K$2:$K$9,menu!$J$2:$J$9,"",1)</f>
        <v/>
      </c>
      <c r="AG631" s="80" t="str">
        <f>_xlfn.XLOOKUP(AH631,menu!$O$2:$O$9,menu!$H$2:$H$9,"")</f>
        <v/>
      </c>
      <c r="AI631" t="str">
        <f>_xlfn.LET(_xlpm.x,_xlfn.CONCAT(_xlfn.XLOOKUP(D631,beans!$A$2:$A$300,beans!$J$2:$J$300,"")," / ",_xlfn.XLOOKUP(D631,beans!$A$2:$A$300,beans!$K$2:$K$300,"")," - ",_xlfn.XLOOKUP(D631,beans!$A$2:$A$300,beans!$L$2:$L$300,"")),IF(_xlpm.x=" /  - ","",_xlpm.x))</f>
        <v xml:space="preserve"> / 辛巴藝妓 - </v>
      </c>
    </row>
    <row r="632" spans="1:35" x14ac:dyDescent="0.3">
      <c r="A632">
        <v>615</v>
      </c>
      <c r="B632">
        <v>477.5</v>
      </c>
      <c r="D632">
        <v>99</v>
      </c>
      <c r="E632" t="str">
        <f>_xlfn.LET(_xlpm.x,_xlfn.XLOOKUP(D632,beans!$A$2:$A$300,beans!$H$2:$H$300,""),IF(_xlpm.x="","",_xlpm.x))</f>
        <v>肯亞</v>
      </c>
      <c r="F632" s="22" t="str">
        <f>_xlfn.XLOOKUP(E632,menu!$A$2:$A$37,menu!$B$2:$B$37,"")</f>
        <v>Kenya</v>
      </c>
      <c r="G632" t="str">
        <f>_xlfn.XLOOKUP(E632,menu!$A$2:$A$37,menu!$C$2:$C$37,"")</f>
        <v>ken</v>
      </c>
      <c r="H632" t="str">
        <f>_xlfn.LET(_xlpm.x,_xlfn.XLOOKUP(_xlfn.XLOOKUP(D632,beans!$A$2:$A$300,beans!$I$2:$I$300),menu!$E$2:$E$20,menu!$F$2:$F$20),IF(_xlpm.x="","",_xlpm.x))</f>
        <v/>
      </c>
      <c r="I632">
        <v>200</v>
      </c>
      <c r="J632">
        <v>80</v>
      </c>
      <c r="K632">
        <v>25</v>
      </c>
      <c r="L632">
        <v>90</v>
      </c>
      <c r="M632" s="68" t="s">
        <v>764</v>
      </c>
      <c r="N632">
        <v>86.8</v>
      </c>
      <c r="P632" s="67" t="s">
        <v>843</v>
      </c>
      <c r="Q632" s="68">
        <v>205.3</v>
      </c>
      <c r="R632" s="67" t="s">
        <v>844</v>
      </c>
      <c r="S632" s="68">
        <v>219.7</v>
      </c>
      <c r="T632" s="68">
        <f t="shared" si="74"/>
        <v>14.399999999999977</v>
      </c>
      <c r="U632">
        <f t="shared" si="70"/>
        <v>66</v>
      </c>
      <c r="V632">
        <f t="shared" si="75"/>
        <v>13.1</v>
      </c>
      <c r="W632">
        <f t="shared" si="71"/>
        <v>10.7</v>
      </c>
      <c r="X632" s="19">
        <v>45774</v>
      </c>
      <c r="Y632" s="26">
        <v>412</v>
      </c>
      <c r="Z632" s="61">
        <v>0</v>
      </c>
      <c r="AB632" s="28">
        <f t="shared" si="72"/>
        <v>0.13717277486910995</v>
      </c>
      <c r="AE632" s="61" t="str">
        <f t="shared" si="73"/>
        <v/>
      </c>
      <c r="AF632" s="77" t="str">
        <f>_xlfn.XLOOKUP(AD632,menu!$K$2:$K$9,menu!$J$2:$J$9,"",1)</f>
        <v/>
      </c>
      <c r="AG632" s="80" t="str">
        <f>_xlfn.XLOOKUP(AH632,menu!$O$2:$O$9,menu!$H$2:$H$9,"")</f>
        <v/>
      </c>
      <c r="AI632" t="str">
        <f>_xlfn.LET(_xlpm.x,_xlfn.CONCAT(_xlfn.XLOOKUP(D632,beans!$A$2:$A$300,beans!$J$2:$J$300,"")," / ",_xlfn.XLOOKUP(D632,beans!$A$2:$A$300,beans!$K$2:$K$300,"")," - ",_xlfn.XLOOKUP(D632,beans!$A$2:$A$300,beans!$L$2:$L$300,"")),IF(_xlpm.x=" /  - ","",_xlpm.x))</f>
        <v xml:space="preserve"> / 辛巴藝妓 - </v>
      </c>
    </row>
    <row r="633" spans="1:35" x14ac:dyDescent="0.3">
      <c r="A633">
        <v>616</v>
      </c>
      <c r="B633">
        <v>487</v>
      </c>
      <c r="D633">
        <v>96</v>
      </c>
      <c r="E633" t="str">
        <f>_xlfn.LET(_xlpm.x,_xlfn.XLOOKUP(D633,beans!$A$2:$A$300,beans!$H$2:$H$300,""),IF(_xlpm.x="","",_xlpm.x))</f>
        <v>印尼</v>
      </c>
      <c r="F633" s="22" t="str">
        <f>_xlfn.XLOOKUP(E633,menu!$A$2:$A$37,menu!$B$2:$B$37,"")</f>
        <v>Indonisia</v>
      </c>
      <c r="G633" t="str">
        <f>_xlfn.XLOOKUP(E633,menu!$A$2:$A$37,menu!$C$2:$C$37,"")</f>
        <v>idn</v>
      </c>
      <c r="H633" t="str">
        <f>_xlfn.LET(_xlpm.x,_xlfn.XLOOKUP(_xlfn.XLOOKUP(D633,beans!$A$2:$A$300,beans!$I$2:$I$300),menu!$E$2:$E$20,menu!$F$2:$F$20),IF(_xlpm.x="","",_xlpm.x))</f>
        <v>natural</v>
      </c>
      <c r="I633">
        <v>200</v>
      </c>
      <c r="J633">
        <v>88</v>
      </c>
      <c r="K633">
        <v>25</v>
      </c>
      <c r="L633">
        <v>90</v>
      </c>
      <c r="M633" s="68" t="s">
        <v>820</v>
      </c>
      <c r="N633">
        <v>86.4</v>
      </c>
      <c r="P633" s="67" t="s">
        <v>845</v>
      </c>
      <c r="Q633" s="68">
        <v>211.1</v>
      </c>
      <c r="R633" s="67" t="s">
        <v>846</v>
      </c>
      <c r="S633" s="68">
        <v>217.1</v>
      </c>
      <c r="T633" s="68">
        <f t="shared" si="74"/>
        <v>6</v>
      </c>
      <c r="U633">
        <f t="shared" si="70"/>
        <v>35</v>
      </c>
      <c r="V633">
        <f t="shared" si="75"/>
        <v>10.3</v>
      </c>
      <c r="W633">
        <f t="shared" si="71"/>
        <v>5.5</v>
      </c>
      <c r="X633" s="19">
        <v>45774</v>
      </c>
      <c r="Y633" s="26">
        <v>423</v>
      </c>
      <c r="Z633" s="61">
        <v>0</v>
      </c>
      <c r="AB633" s="28">
        <f t="shared" si="72"/>
        <v>0.13141683778234087</v>
      </c>
      <c r="AE633" s="61" t="str">
        <f t="shared" si="73"/>
        <v/>
      </c>
      <c r="AF633" s="77" t="str">
        <f>_xlfn.XLOOKUP(AD633,menu!$K$2:$K$9,menu!$J$2:$J$9,"",1)</f>
        <v/>
      </c>
      <c r="AG633" s="80" t="str">
        <f>_xlfn.XLOOKUP(AH633,menu!$O$2:$O$9,menu!$H$2:$H$9,"")</f>
        <v/>
      </c>
      <c r="AI633" t="str">
        <f>_xlfn.LET(_xlpm.x,_xlfn.CONCAT(_xlfn.XLOOKUP(D633,beans!$A$2:$A$300,beans!$J$2:$J$300,"")," / ",_xlfn.XLOOKUP(D633,beans!$A$2:$A$300,beans!$K$2:$K$300,"")," - ",_xlfn.XLOOKUP(D633,beans!$A$2:$A$300,beans!$L$2:$L$300,"")),IF(_xlpm.x=" /  - ","",_xlpm.x))</f>
        <v>瓜哇 / 金色百林莊園 - s579</v>
      </c>
    </row>
    <row r="634" spans="1:35" x14ac:dyDescent="0.3">
      <c r="A634">
        <v>617</v>
      </c>
      <c r="B634">
        <v>488</v>
      </c>
      <c r="D634">
        <v>37</v>
      </c>
      <c r="E634" t="str">
        <f>_xlfn.LET(_xlpm.x,_xlfn.XLOOKUP(D634,beans!$A$2:$A$300,beans!$H$2:$H$300,""),IF(_xlpm.x="","",_xlpm.x))</f>
        <v>哥倫比亞</v>
      </c>
      <c r="F634" s="22" t="str">
        <f>_xlfn.XLOOKUP(E634,menu!$A$2:$A$37,menu!$B$2:$B$37,"")</f>
        <v>Colombia</v>
      </c>
      <c r="G634" t="str">
        <f>_xlfn.XLOOKUP(E634,menu!$A$2:$A$37,menu!$C$2:$C$37,"")</f>
        <v>col</v>
      </c>
      <c r="H634" t="str">
        <f>_xlfn.LET(_xlpm.x,_xlfn.XLOOKUP(_xlfn.XLOOKUP(D634,beans!$A$2:$A$300,beans!$I$2:$I$300),menu!$E$2:$E$20,menu!$F$2:$F$20),IF(_xlpm.x="","",_xlpm.x))</f>
        <v>Lactic Natural</v>
      </c>
      <c r="I634">
        <v>200</v>
      </c>
      <c r="J634">
        <v>85</v>
      </c>
      <c r="K634">
        <v>30</v>
      </c>
      <c r="L634">
        <v>90</v>
      </c>
      <c r="M634" s="68" t="s">
        <v>764</v>
      </c>
      <c r="N634">
        <v>88</v>
      </c>
      <c r="P634" s="67" t="s">
        <v>847</v>
      </c>
      <c r="Q634" s="68">
        <v>204.4</v>
      </c>
      <c r="R634" s="67" t="s">
        <v>848</v>
      </c>
      <c r="S634" s="68">
        <v>213.1</v>
      </c>
      <c r="T634" s="68">
        <f t="shared" si="74"/>
        <v>8.6999999999999886</v>
      </c>
      <c r="U634">
        <f t="shared" si="70"/>
        <v>60</v>
      </c>
      <c r="V634">
        <f t="shared" si="75"/>
        <v>8.6999999999999993</v>
      </c>
      <c r="W634">
        <f t="shared" si="71"/>
        <v>9.1999999999999993</v>
      </c>
      <c r="X634" s="19">
        <v>45774</v>
      </c>
      <c r="Y634" s="26">
        <v>421</v>
      </c>
      <c r="Z634" s="61">
        <v>0</v>
      </c>
      <c r="AB634" s="28">
        <f t="shared" si="72"/>
        <v>0.13729508196721313</v>
      </c>
      <c r="AE634" s="61" t="str">
        <f t="shared" si="73"/>
        <v/>
      </c>
      <c r="AF634" s="77" t="str">
        <f>_xlfn.XLOOKUP(AD634,menu!$K$2:$K$9,menu!$J$2:$J$9,"",1)</f>
        <v/>
      </c>
      <c r="AG634" s="80" t="str">
        <f>_xlfn.XLOOKUP(AH634,menu!$O$2:$O$9,menu!$H$2:$H$9,"")</f>
        <v/>
      </c>
      <c r="AI634" t="str">
        <f>_xlfn.LET(_xlpm.x,_xlfn.CONCAT(_xlfn.XLOOKUP(D634,beans!$A$2:$A$300,beans!$J$2:$J$300,"")," / ",_xlfn.XLOOKUP(D634,beans!$A$2:$A$300,beans!$K$2:$K$300,"")," - ",_xlfn.XLOOKUP(D634,beans!$A$2:$A$300,beans!$L$2:$L$300,"")),IF(_xlpm.x=" /  - ","",_xlpm.x))</f>
        <v>Tolima / 卡里斯奧莊園 - San Bernardo、YellowBourbon、Castillo</v>
      </c>
    </row>
    <row r="635" spans="1:35" x14ac:dyDescent="0.3">
      <c r="A635">
        <v>618</v>
      </c>
      <c r="B635">
        <v>495</v>
      </c>
      <c r="D635">
        <v>55</v>
      </c>
      <c r="E635" t="str">
        <f>_xlfn.LET(_xlpm.x,_xlfn.XLOOKUP(D635,beans!$A$2:$A$300,beans!$H$2:$H$300,""),IF(_xlpm.x="","",_xlpm.x))</f>
        <v>衣索比亞</v>
      </c>
      <c r="F635" s="22" t="str">
        <f>_xlfn.XLOOKUP(E635,menu!$A$2:$A$37,menu!$B$2:$B$37,"")</f>
        <v>Ethiopia</v>
      </c>
      <c r="G635" t="str">
        <f>_xlfn.XLOOKUP(E635,menu!$A$2:$A$37,menu!$C$2:$C$37,"")</f>
        <v>eth</v>
      </c>
      <c r="H635" t="str">
        <f>_xlfn.LET(_xlpm.x,_xlfn.XLOOKUP(_xlfn.XLOOKUP(D635,beans!$A$2:$A$300,beans!$I$2:$I$300),menu!$E$2:$E$20,menu!$F$2:$F$20),IF(_xlpm.x="","",_xlpm.x))</f>
        <v>natural</v>
      </c>
      <c r="I635">
        <v>200</v>
      </c>
      <c r="J635">
        <v>85</v>
      </c>
      <c r="K635">
        <v>30</v>
      </c>
      <c r="L635">
        <v>90</v>
      </c>
      <c r="M635" s="68" t="s">
        <v>1834</v>
      </c>
      <c r="N635">
        <v>86.1</v>
      </c>
      <c r="P635" s="67" t="s">
        <v>1835</v>
      </c>
      <c r="Q635" s="68">
        <v>207</v>
      </c>
      <c r="R635" s="67" t="s">
        <v>1836</v>
      </c>
      <c r="S635" s="68">
        <v>217.3</v>
      </c>
      <c r="T635" s="68">
        <f t="shared" si="74"/>
        <v>10.300000000000011</v>
      </c>
      <c r="U635">
        <f t="shared" si="70"/>
        <v>57</v>
      </c>
      <c r="V635">
        <f t="shared" si="75"/>
        <v>10.8</v>
      </c>
      <c r="W635">
        <f t="shared" si="71"/>
        <v>8.89</v>
      </c>
      <c r="X635" s="19">
        <v>45788</v>
      </c>
      <c r="Y635" s="26">
        <v>421</v>
      </c>
      <c r="Z635" s="61">
        <v>100</v>
      </c>
      <c r="AB635" s="28">
        <f t="shared" si="72"/>
        <v>0.14949494949494949</v>
      </c>
      <c r="AE635" s="61" t="str">
        <f t="shared" si="73"/>
        <v/>
      </c>
      <c r="AF635" s="77" t="str">
        <f>_xlfn.XLOOKUP(AD635,menu!$K$2:$K$9,menu!$J$2:$J$9,"",1)</f>
        <v/>
      </c>
      <c r="AG635" s="80" t="str">
        <f>_xlfn.XLOOKUP(AH635,menu!$O$2:$O$9,menu!$H$2:$H$9,"")</f>
        <v/>
      </c>
      <c r="AI635" t="str">
        <f>_xlfn.LET(_xlpm.x,_xlfn.CONCAT(_xlfn.XLOOKUP(D635,beans!$A$2:$A$300,beans!$J$2:$J$300,"")," / ",_xlfn.XLOOKUP(D635,beans!$A$2:$A$300,beans!$K$2:$K$300,"")," - ",_xlfn.XLOOKUP(D635,beans!$A$2:$A$300,beans!$L$2:$L$300,"")),IF(_xlpm.x=" /  - ","",_xlpm.x))</f>
        <v>歐若米亞 古吉 / 莎奇恰 - Heirloom</v>
      </c>
    </row>
    <row r="636" spans="1:35" x14ac:dyDescent="0.3">
      <c r="A636">
        <v>619</v>
      </c>
      <c r="B636">
        <v>487</v>
      </c>
      <c r="D636">
        <v>85</v>
      </c>
      <c r="E636" t="str">
        <f>_xlfn.LET(_xlpm.x,_xlfn.XLOOKUP(D636,beans!$A$2:$A$300,beans!$H$2:$H$300,""),IF(_xlpm.x="","",_xlpm.x))</f>
        <v>衣索比亞</v>
      </c>
      <c r="F636" s="22" t="str">
        <f>_xlfn.XLOOKUP(E636,menu!$A$2:$A$37,menu!$B$2:$B$37,"")</f>
        <v>Ethiopia</v>
      </c>
      <c r="G636" t="str">
        <f>_xlfn.XLOOKUP(E636,menu!$A$2:$A$37,menu!$C$2:$C$37,"")</f>
        <v>eth</v>
      </c>
      <c r="H636" t="str">
        <f>_xlfn.LET(_xlpm.x,_xlfn.XLOOKUP(_xlfn.XLOOKUP(D636,beans!$A$2:$A$300,beans!$I$2:$I$300),menu!$E$2:$E$20,menu!$F$2:$F$20),IF(_xlpm.x="","",_xlpm.x))</f>
        <v>natural</v>
      </c>
      <c r="I636">
        <v>200</v>
      </c>
      <c r="J636">
        <v>85</v>
      </c>
      <c r="K636">
        <v>30</v>
      </c>
      <c r="L636">
        <v>90</v>
      </c>
      <c r="M636" s="68" t="s">
        <v>1837</v>
      </c>
      <c r="N636">
        <v>85.8</v>
      </c>
      <c r="P636" s="67" t="s">
        <v>1838</v>
      </c>
      <c r="Q636" s="68">
        <v>204.1</v>
      </c>
      <c r="R636" s="67" t="s">
        <v>1839</v>
      </c>
      <c r="S636" s="68">
        <v>213.9</v>
      </c>
      <c r="T636" s="68">
        <f t="shared" si="74"/>
        <v>9.8000000000000114</v>
      </c>
      <c r="U636">
        <f t="shared" si="70"/>
        <v>47</v>
      </c>
      <c r="V636">
        <f t="shared" si="75"/>
        <v>12.5</v>
      </c>
      <c r="W636">
        <f t="shared" si="71"/>
        <v>7.69</v>
      </c>
      <c r="X636" s="19">
        <v>45788</v>
      </c>
      <c r="Y636" s="26">
        <v>421</v>
      </c>
      <c r="Z636" s="61">
        <v>0</v>
      </c>
      <c r="AB636" s="28">
        <f t="shared" si="72"/>
        <v>0.13552361396303902</v>
      </c>
      <c r="AE636" s="61" t="str">
        <f t="shared" si="73"/>
        <v/>
      </c>
      <c r="AF636" s="77" t="str">
        <f>_xlfn.XLOOKUP(AD636,menu!$K$2:$K$9,menu!$J$2:$J$9,"",1)</f>
        <v/>
      </c>
      <c r="AG636" s="80" t="str">
        <f>_xlfn.XLOOKUP(AH636,menu!$O$2:$O$9,menu!$H$2:$H$9,"")</f>
        <v/>
      </c>
      <c r="AI636" t="str">
        <f>_xlfn.LET(_xlpm.x,_xlfn.CONCAT(_xlfn.XLOOKUP(D636,beans!$A$2:$A$300,beans!$J$2:$J$300,"")," / ",_xlfn.XLOOKUP(D636,beans!$A$2:$A$300,beans!$K$2:$K$300,"")," - ",_xlfn.XLOOKUP(D636,beans!$A$2:$A$300,beans!$L$2:$L$300,"")),IF(_xlpm.x=" /  - ","",_xlpm.x))</f>
        <v xml:space="preserve">古吉 烏拉嘎 / 寇巴 - </v>
      </c>
    </row>
    <row r="637" spans="1:35" x14ac:dyDescent="0.3">
      <c r="A637">
        <v>620</v>
      </c>
      <c r="B637">
        <v>495.5</v>
      </c>
      <c r="D637">
        <v>63</v>
      </c>
      <c r="E637" t="str">
        <f>_xlfn.LET(_xlpm.x,_xlfn.XLOOKUP(D637,beans!$A$2:$A$300,beans!$H$2:$H$300,""),IF(_xlpm.x="","",_xlpm.x))</f>
        <v>衣索比亞</v>
      </c>
      <c r="F637" s="22" t="str">
        <f>_xlfn.XLOOKUP(E637,menu!$A$2:$A$37,menu!$B$2:$B$37,"")</f>
        <v>Ethiopia</v>
      </c>
      <c r="G637" t="str">
        <f>_xlfn.XLOOKUP(E637,menu!$A$2:$A$37,menu!$C$2:$C$37,"")</f>
        <v>eth</v>
      </c>
      <c r="H637" t="str">
        <f>_xlfn.LET(_xlpm.x,_xlfn.XLOOKUP(_xlfn.XLOOKUP(D637,beans!$A$2:$A$300,beans!$I$2:$I$300),menu!$E$2:$E$20,menu!$F$2:$F$20),IF(_xlpm.x="","",_xlpm.x))</f>
        <v>washed</v>
      </c>
      <c r="I637">
        <v>200</v>
      </c>
      <c r="J637">
        <v>85</v>
      </c>
      <c r="K637">
        <v>30</v>
      </c>
      <c r="L637">
        <v>90</v>
      </c>
      <c r="M637" s="68" t="s">
        <v>1837</v>
      </c>
      <c r="N637">
        <v>84.6</v>
      </c>
      <c r="P637" s="67" t="s">
        <v>1840</v>
      </c>
      <c r="Q637" s="68">
        <v>200.7</v>
      </c>
      <c r="R637" s="67" t="s">
        <v>1841</v>
      </c>
      <c r="S637" s="68">
        <v>209.9</v>
      </c>
      <c r="T637" s="68">
        <f t="shared" si="74"/>
        <v>9.2000000000000171</v>
      </c>
      <c r="U637">
        <f t="shared" si="70"/>
        <v>56</v>
      </c>
      <c r="V637">
        <f t="shared" si="75"/>
        <v>9.9</v>
      </c>
      <c r="W637">
        <f t="shared" si="71"/>
        <v>8.8699999999999992</v>
      </c>
      <c r="X637" s="19">
        <v>45788</v>
      </c>
      <c r="Y637" s="26">
        <v>437</v>
      </c>
      <c r="Z637" s="61">
        <v>0</v>
      </c>
      <c r="AB637" s="28">
        <f t="shared" si="72"/>
        <v>0.11806256306760847</v>
      </c>
      <c r="AE637" s="61" t="str">
        <f t="shared" si="73"/>
        <v/>
      </c>
      <c r="AF637" s="77" t="str">
        <f>_xlfn.XLOOKUP(AD637,menu!$K$2:$K$9,menu!$J$2:$J$9,"",1)</f>
        <v/>
      </c>
      <c r="AG637" s="80" t="str">
        <f>_xlfn.XLOOKUP(AH637,menu!$O$2:$O$9,menu!$H$2:$H$9,"")</f>
        <v/>
      </c>
      <c r="AI637" t="str">
        <f>_xlfn.LET(_xlpm.x,_xlfn.CONCAT(_xlfn.XLOOKUP(D637,beans!$A$2:$A$300,beans!$J$2:$J$300,"")," / ",_xlfn.XLOOKUP(D637,beans!$A$2:$A$300,beans!$K$2:$K$300,"")," - ",_xlfn.XLOOKUP(D637,beans!$A$2:$A$300,beans!$L$2:$L$300,"")),IF(_xlpm.x=" /  - ","",_xlpm.x))</f>
        <v>班奇 馬吉 / 露西 - Geisha</v>
      </c>
    </row>
    <row r="638" spans="1:35" x14ac:dyDescent="0.3">
      <c r="A638">
        <v>621</v>
      </c>
      <c r="B638">
        <v>251.2</v>
      </c>
      <c r="D638">
        <v>45</v>
      </c>
      <c r="E638" t="str">
        <f>_xlfn.LET(_xlpm.x,_xlfn.XLOOKUP(D638,beans!$A$2:$A$300,beans!$H$2:$H$300,""),IF(_xlpm.x="","",_xlpm.x))</f>
        <v>哥倫比亞</v>
      </c>
      <c r="F638" s="22" t="str">
        <f>_xlfn.XLOOKUP(E638,menu!$A$2:$A$37,menu!$B$2:$B$37,"")</f>
        <v>Colombia</v>
      </c>
      <c r="G638" t="str">
        <f>_xlfn.XLOOKUP(E638,menu!$A$2:$A$37,menu!$C$2:$C$37,"")</f>
        <v>col</v>
      </c>
      <c r="H638" t="str">
        <f>_xlfn.LET(_xlpm.x,_xlfn.XLOOKUP(_xlfn.XLOOKUP(D638,beans!$A$2:$A$300,beans!$I$2:$I$300),menu!$E$2:$E$20,menu!$F$2:$F$20),IF(_xlpm.x="","",_xlpm.x))</f>
        <v>Special</v>
      </c>
      <c r="I638">
        <v>200</v>
      </c>
      <c r="J638">
        <v>85</v>
      </c>
      <c r="K638">
        <v>30</v>
      </c>
      <c r="L638">
        <v>70</v>
      </c>
      <c r="M638" s="68" t="s">
        <v>1842</v>
      </c>
      <c r="N638">
        <v>92.5</v>
      </c>
      <c r="P638" s="67" t="s">
        <v>1843</v>
      </c>
      <c r="Q638" s="68">
        <v>208.4</v>
      </c>
      <c r="R638" s="67" t="s">
        <v>1844</v>
      </c>
      <c r="S638" s="68">
        <v>217.3</v>
      </c>
      <c r="T638" s="68">
        <f t="shared" si="74"/>
        <v>8.9000000000000057</v>
      </c>
      <c r="U638">
        <f t="shared" si="70"/>
        <v>47</v>
      </c>
      <c r="V638">
        <f t="shared" si="75"/>
        <v>11.4</v>
      </c>
      <c r="W638">
        <f t="shared" si="71"/>
        <v>7.79</v>
      </c>
      <c r="X638" s="19">
        <v>45788</v>
      </c>
      <c r="Y638" s="26">
        <v>217</v>
      </c>
      <c r="Z638" s="61">
        <v>0</v>
      </c>
      <c r="AB638" s="28">
        <f t="shared" si="72"/>
        <v>0.13614649681528659</v>
      </c>
      <c r="AE638" s="61" t="str">
        <f t="shared" si="73"/>
        <v/>
      </c>
      <c r="AF638" s="77" t="str">
        <f>_xlfn.XLOOKUP(AD638,menu!$K$2:$K$9,menu!$J$2:$J$9,"",1)</f>
        <v/>
      </c>
      <c r="AG638" s="80" t="str">
        <f>_xlfn.XLOOKUP(AH638,menu!$O$2:$O$9,menu!$H$2:$H$9,"")</f>
        <v/>
      </c>
      <c r="AI638" t="str">
        <f>_xlfn.LET(_xlpm.x,_xlfn.CONCAT(_xlfn.XLOOKUP(D638,beans!$A$2:$A$300,beans!$J$2:$J$300,"")," / ",_xlfn.XLOOKUP(D638,beans!$A$2:$A$300,beans!$K$2:$K$300,"")," - ",_xlfn.XLOOKUP(D638,beans!$A$2:$A$300,beans!$L$2:$L$300,"")),IF(_xlpm.x=" /  - ","",_xlpm.x))</f>
        <v>薇拉省 / 蒙大布蘭蔻莊園 - 紫卡杜拉</v>
      </c>
    </row>
    <row r="639" spans="1:35" x14ac:dyDescent="0.3">
      <c r="A639">
        <v>622</v>
      </c>
      <c r="B639">
        <v>248.7</v>
      </c>
      <c r="D639">
        <v>68</v>
      </c>
      <c r="E639" t="str">
        <f>_xlfn.LET(_xlpm.x,_xlfn.XLOOKUP(D639,beans!$A$2:$A$300,beans!$H$2:$H$300,""),IF(_xlpm.x="","",_xlpm.x))</f>
        <v>哥倫比亞</v>
      </c>
      <c r="F639" s="22" t="str">
        <f>_xlfn.XLOOKUP(E639,menu!$A$2:$A$37,menu!$B$2:$B$37,"")</f>
        <v>Colombia</v>
      </c>
      <c r="G639" t="str">
        <f>_xlfn.XLOOKUP(E639,menu!$A$2:$A$37,menu!$C$2:$C$37,"")</f>
        <v>col</v>
      </c>
      <c r="H639" t="str">
        <f>_xlfn.LET(_xlpm.x,_xlfn.XLOOKUP(_xlfn.XLOOKUP(D639,beans!$A$2:$A$300,beans!$I$2:$I$300),menu!$E$2:$E$20,menu!$F$2:$F$20),IF(_xlpm.x="","",_xlpm.x))</f>
        <v>Anaerobic Natural</v>
      </c>
      <c r="I639">
        <v>195</v>
      </c>
      <c r="J639">
        <v>85</v>
      </c>
      <c r="K639">
        <v>30</v>
      </c>
      <c r="L639">
        <v>70</v>
      </c>
      <c r="M639" s="68" t="s">
        <v>1845</v>
      </c>
      <c r="N639">
        <v>91.2</v>
      </c>
      <c r="P639" s="67" t="s">
        <v>1846</v>
      </c>
      <c r="Q639" s="68">
        <v>204</v>
      </c>
      <c r="R639" s="67" t="s">
        <v>1835</v>
      </c>
      <c r="S639" s="68">
        <v>211.8</v>
      </c>
      <c r="T639" s="68">
        <f t="shared" si="74"/>
        <v>7.8000000000000114</v>
      </c>
      <c r="U639">
        <f t="shared" si="70"/>
        <v>51</v>
      </c>
      <c r="V639">
        <f t="shared" si="75"/>
        <v>9.1999999999999993</v>
      </c>
      <c r="W639">
        <f t="shared" si="71"/>
        <v>8.73</v>
      </c>
      <c r="X639" s="19">
        <v>45788</v>
      </c>
      <c r="Y639" s="26">
        <v>219.5</v>
      </c>
      <c r="Z639" s="61">
        <v>0</v>
      </c>
      <c r="AB639" s="28">
        <f t="shared" si="72"/>
        <v>0.11741053478086043</v>
      </c>
      <c r="AE639" s="61" t="str">
        <f t="shared" si="73"/>
        <v/>
      </c>
      <c r="AF639" s="77" t="str">
        <f>_xlfn.XLOOKUP(AD639,menu!$K$2:$K$9,menu!$J$2:$J$9,"",1)</f>
        <v/>
      </c>
      <c r="AG639" s="80" t="str">
        <f>_xlfn.XLOOKUP(AH639,menu!$O$2:$O$9,menu!$H$2:$H$9,"")</f>
        <v/>
      </c>
      <c r="AI639" t="str">
        <f>_xlfn.LET(_xlpm.x,_xlfn.CONCAT(_xlfn.XLOOKUP(D639,beans!$A$2:$A$300,beans!$J$2:$J$300,"")," / ",_xlfn.XLOOKUP(D639,beans!$A$2:$A$300,beans!$K$2:$K$300,"")," - ",_xlfn.XLOOKUP(D639,beans!$A$2:$A$300,beans!$L$2:$L$300,"")),IF(_xlpm.x=" /  - ","",_xlpm.x))</f>
        <v xml:space="preserve"> / 天堂莊園-日出桂花香 - </v>
      </c>
    </row>
    <row r="640" spans="1:35" x14ac:dyDescent="0.3">
      <c r="A640">
        <v>623</v>
      </c>
      <c r="B640">
        <v>484.9</v>
      </c>
      <c r="D640">
        <v>96</v>
      </c>
      <c r="E640" t="str">
        <f>_xlfn.LET(_xlpm.x,_xlfn.XLOOKUP(D640,beans!$A$2:$A$300,beans!$H$2:$H$300,""),IF(_xlpm.x="","",_xlpm.x))</f>
        <v>印尼</v>
      </c>
      <c r="F640" s="22" t="str">
        <f>_xlfn.XLOOKUP(E640,menu!$A$2:$A$37,menu!$B$2:$B$37,"")</f>
        <v>Indonisia</v>
      </c>
      <c r="G640" t="str">
        <f>_xlfn.XLOOKUP(E640,menu!$A$2:$A$37,menu!$C$2:$C$37,"")</f>
        <v>idn</v>
      </c>
      <c r="H640" t="str">
        <f>_xlfn.LET(_xlpm.x,_xlfn.XLOOKUP(_xlfn.XLOOKUP(D640,beans!$A$2:$A$300,beans!$I$2:$I$300),menu!$E$2:$E$20,menu!$F$2:$F$20),IF(_xlpm.x="","",_xlpm.x))</f>
        <v>natural</v>
      </c>
      <c r="I640">
        <v>200</v>
      </c>
      <c r="J640">
        <v>85</v>
      </c>
      <c r="K640">
        <v>30</v>
      </c>
      <c r="L640">
        <v>90</v>
      </c>
      <c r="M640" s="68" t="s">
        <v>1847</v>
      </c>
      <c r="N640">
        <v>86.1</v>
      </c>
      <c r="P640" s="67" t="s">
        <v>1848</v>
      </c>
      <c r="Q640" s="68">
        <v>207.7</v>
      </c>
      <c r="R640" s="67" t="s">
        <v>1849</v>
      </c>
      <c r="S640" s="68">
        <v>218.4</v>
      </c>
      <c r="T640" s="68">
        <f t="shared" si="74"/>
        <v>10.700000000000017</v>
      </c>
      <c r="U640">
        <f t="shared" si="70"/>
        <v>53</v>
      </c>
      <c r="V640">
        <f t="shared" si="75"/>
        <v>12.1</v>
      </c>
      <c r="W640">
        <f t="shared" si="71"/>
        <v>8.5500000000000007</v>
      </c>
      <c r="X640" s="19">
        <v>45788</v>
      </c>
      <c r="Y640" s="26">
        <v>418.8</v>
      </c>
      <c r="Z640" s="61">
        <v>0</v>
      </c>
      <c r="AB640" s="28">
        <f t="shared" si="72"/>
        <v>0.13631676634357592</v>
      </c>
      <c r="AE640" s="61" t="str">
        <f t="shared" si="73"/>
        <v/>
      </c>
      <c r="AF640" s="77" t="str">
        <f>_xlfn.XLOOKUP(AD640,menu!$K$2:$K$9,menu!$J$2:$J$9,"",1)</f>
        <v/>
      </c>
      <c r="AG640" s="80" t="str">
        <f>_xlfn.XLOOKUP(AH640,menu!$O$2:$O$9,menu!$H$2:$H$9,"")</f>
        <v/>
      </c>
      <c r="AI640" t="str">
        <f>_xlfn.LET(_xlpm.x,_xlfn.CONCAT(_xlfn.XLOOKUP(D640,beans!$A$2:$A$300,beans!$J$2:$J$300,"")," / ",_xlfn.XLOOKUP(D640,beans!$A$2:$A$300,beans!$K$2:$K$300,"")," - ",_xlfn.XLOOKUP(D640,beans!$A$2:$A$300,beans!$L$2:$L$300,"")),IF(_xlpm.x=" /  - ","",_xlpm.x))</f>
        <v>瓜哇 / 金色百林莊園 - s579</v>
      </c>
    </row>
    <row r="641" spans="1:36" x14ac:dyDescent="0.3">
      <c r="A641">
        <v>624</v>
      </c>
      <c r="B641">
        <v>491</v>
      </c>
      <c r="D641">
        <v>88</v>
      </c>
      <c r="E641" t="str">
        <f>_xlfn.LET(_xlpm.x,_xlfn.XLOOKUP(D641,beans!$A$2:$A$300,beans!$H$2:$H$300,""),IF(_xlpm.x="","",_xlpm.x))</f>
        <v>衣索比亞</v>
      </c>
      <c r="F641" s="22" t="str">
        <f>_xlfn.XLOOKUP(E641,menu!$A$2:$A$37,menu!$B$2:$B$37,"")</f>
        <v>Ethiopia</v>
      </c>
      <c r="G641" t="str">
        <f>_xlfn.XLOOKUP(E641,menu!$A$2:$A$37,menu!$C$2:$C$37,"")</f>
        <v>eth</v>
      </c>
      <c r="H641" t="str">
        <f>_xlfn.LET(_xlpm.x,_xlfn.XLOOKUP(_xlfn.XLOOKUP(D641,beans!$A$2:$A$300,beans!$I$2:$I$300),menu!$E$2:$E$20,menu!$F$2:$F$20),IF(_xlpm.x="","",_xlpm.x))</f>
        <v>washed</v>
      </c>
      <c r="I641">
        <v>200</v>
      </c>
      <c r="J641">
        <v>85</v>
      </c>
      <c r="K641">
        <v>30</v>
      </c>
      <c r="L641">
        <v>90</v>
      </c>
      <c r="M641" s="68" t="s">
        <v>1851</v>
      </c>
      <c r="N641">
        <v>84.8</v>
      </c>
      <c r="P641" s="67" t="s">
        <v>1852</v>
      </c>
      <c r="Q641" s="68">
        <v>199</v>
      </c>
      <c r="R641" s="67" t="s">
        <v>1853</v>
      </c>
      <c r="S641" s="68">
        <v>219</v>
      </c>
      <c r="T641" s="68">
        <f t="shared" si="74"/>
        <v>20</v>
      </c>
      <c r="U641">
        <f t="shared" si="70"/>
        <v>104</v>
      </c>
      <c r="V641">
        <f t="shared" si="75"/>
        <v>11.5</v>
      </c>
      <c r="W641">
        <f t="shared" si="71"/>
        <v>15.98</v>
      </c>
      <c r="X641" s="19">
        <v>45802</v>
      </c>
      <c r="Y641" s="26">
        <v>417</v>
      </c>
      <c r="Z641" s="61">
        <v>0</v>
      </c>
      <c r="AB641" s="28">
        <f t="shared" si="72"/>
        <v>0.15071283095723015</v>
      </c>
      <c r="AE641" s="61" t="str">
        <f t="shared" si="73"/>
        <v/>
      </c>
      <c r="AF641" s="77" t="str">
        <f>_xlfn.XLOOKUP(AD641,menu!$K$2:$K$9,menu!$J$2:$J$9,"",1)</f>
        <v/>
      </c>
      <c r="AG641" s="80" t="str">
        <f>_xlfn.XLOOKUP(AH641,menu!$O$2:$O$9,menu!$H$2:$H$9,"")</f>
        <v/>
      </c>
      <c r="AI641" t="str">
        <f>_xlfn.LET(_xlpm.x,_xlfn.CONCAT(_xlfn.XLOOKUP(D641,beans!$A$2:$A$300,beans!$J$2:$J$300,"")," / ",_xlfn.XLOOKUP(D641,beans!$A$2:$A$300,beans!$K$2:$K$300,"")," - ",_xlfn.XLOOKUP(D641,beans!$A$2:$A$300,beans!$L$2:$L$300,"")),IF(_xlpm.x=" /  - ","",_xlpm.x))</f>
        <v xml:space="preserve">耶加雪菲 / 柯契爾 畢洛雅 - </v>
      </c>
    </row>
    <row r="642" spans="1:36" x14ac:dyDescent="0.3">
      <c r="A642">
        <v>625</v>
      </c>
      <c r="B642">
        <v>492</v>
      </c>
      <c r="D642">
        <v>101</v>
      </c>
      <c r="E642" t="str">
        <f>_xlfn.LET(_xlpm.x,_xlfn.XLOOKUP(D642,beans!$A$2:$A$300,beans!$H$2:$H$300,""),IF(_xlpm.x="","",_xlpm.x))</f>
        <v>衣索比亞</v>
      </c>
      <c r="F642" s="22" t="str">
        <f>_xlfn.XLOOKUP(E642,menu!$A$2:$A$37,menu!$B$2:$B$37,"")</f>
        <v>Ethiopia</v>
      </c>
      <c r="G642" t="str">
        <f>_xlfn.XLOOKUP(E642,menu!$A$2:$A$37,menu!$C$2:$C$37,"")</f>
        <v>eth</v>
      </c>
      <c r="H642" t="str">
        <f>_xlfn.LET(_xlpm.x,_xlfn.XLOOKUP(_xlfn.XLOOKUP(D642,beans!$A$2:$A$300,beans!$I$2:$I$300),menu!$E$2:$E$20,menu!$F$2:$F$20),IF(_xlpm.x="","",_xlpm.x))</f>
        <v>natural</v>
      </c>
      <c r="I642">
        <v>200</v>
      </c>
      <c r="J642">
        <v>85</v>
      </c>
      <c r="K642">
        <v>30</v>
      </c>
      <c r="L642">
        <v>90</v>
      </c>
      <c r="M642" s="68" t="s">
        <v>1854</v>
      </c>
      <c r="N642">
        <v>83.1</v>
      </c>
      <c r="P642" s="67" t="s">
        <v>1855</v>
      </c>
      <c r="Q642" s="68">
        <v>199.6</v>
      </c>
      <c r="R642" s="67" t="s">
        <v>1856</v>
      </c>
      <c r="S642" s="68">
        <v>218.3</v>
      </c>
      <c r="T642" s="68">
        <f t="shared" si="74"/>
        <v>18.700000000000017</v>
      </c>
      <c r="U642">
        <f t="shared" ref="U642:U705" si="76">_xlfn.LET(_xlpm.x,(TIMEVALUE("0:"&amp;SUBSTITUTE(R642,"'",":"))-TIMEVALUE("0:"&amp;SUBSTITUTE(P642,"'",":")))*86400,IF(_xlpm.x=0,"",ROUND(_xlpm.x,2)))</f>
        <v>83</v>
      </c>
      <c r="V642">
        <f t="shared" si="75"/>
        <v>13.5</v>
      </c>
      <c r="W642">
        <f t="shared" ref="W642:W705" si="77">_xlfn.LET(_xlpm.x,(TIMEVALUE("0:"&amp;SUBSTITUTE(R642,"'",":"))-TIMEVALUE("0:"&amp;SUBSTITUTE(P642,"'",":")))*86400,IF(_xlpm.x=0,"",ROUND(_xlpm.x/((TIMEVALUE("0:"&amp;SUBSTITUTE(R642,"'",":"))-TIMEVALUE("0:0:0"))*864),2)))</f>
        <v>13.47</v>
      </c>
      <c r="X642" s="19">
        <v>45802</v>
      </c>
      <c r="Y642" s="26">
        <v>421</v>
      </c>
      <c r="Z642" s="61">
        <v>0</v>
      </c>
      <c r="AB642" s="28">
        <f t="shared" ref="AB642:AB705" si="78">IF(Y642 &gt; 0,(B642-Y642)/B642," ")</f>
        <v>0.1443089430894309</v>
      </c>
      <c r="AE642" s="61" t="str">
        <f t="shared" ref="AE642:AE705" si="79">_xlfn.LET(_xlpm.x,AD642-AC642,IF(_xlpm.x=0,"",_xlpm.x))</f>
        <v/>
      </c>
      <c r="AF642" s="77" t="str">
        <f>_xlfn.XLOOKUP(AD642,menu!$K$2:$K$9,menu!$J$2:$J$9,"",1)</f>
        <v/>
      </c>
      <c r="AG642" s="80" t="str">
        <f>_xlfn.XLOOKUP(AH642,menu!$O$2:$O$9,menu!$H$2:$H$9,"")</f>
        <v/>
      </c>
      <c r="AI642" t="str">
        <f>_xlfn.LET(_xlpm.x,_xlfn.CONCAT(_xlfn.XLOOKUP(D642,beans!$A$2:$A$300,beans!$J$2:$J$300,"")," / ",_xlfn.XLOOKUP(D642,beans!$A$2:$A$300,beans!$K$2:$K$300,"")," - ",_xlfn.XLOOKUP(D642,beans!$A$2:$A$300,beans!$L$2:$L$300,"")),IF(_xlpm.x=" /  - ","",_xlpm.x))</f>
        <v xml:space="preserve">古吉 / 紫風鈴 - </v>
      </c>
    </row>
    <row r="643" spans="1:36" x14ac:dyDescent="0.3">
      <c r="A643">
        <v>626</v>
      </c>
      <c r="B643">
        <v>484</v>
      </c>
      <c r="D643">
        <v>92</v>
      </c>
      <c r="E643" t="str">
        <f>_xlfn.LET(_xlpm.x,_xlfn.XLOOKUP(D643,beans!$A$2:$A$300,beans!$H$2:$H$300,""),IF(_xlpm.x="","",_xlpm.x))</f>
        <v>衣索比亞</v>
      </c>
      <c r="F643" s="22" t="str">
        <f>_xlfn.XLOOKUP(E643,menu!$A$2:$A$37,menu!$B$2:$B$37,"")</f>
        <v>Ethiopia</v>
      </c>
      <c r="G643" t="str">
        <f>_xlfn.XLOOKUP(E643,menu!$A$2:$A$37,menu!$C$2:$C$37,"")</f>
        <v>eth</v>
      </c>
      <c r="H643" t="str">
        <f>_xlfn.LET(_xlpm.x,_xlfn.XLOOKUP(_xlfn.XLOOKUP(D643,beans!$A$2:$A$300,beans!$I$2:$I$300),menu!$E$2:$E$20,menu!$F$2:$F$20),IF(_xlpm.x="","",_xlpm.x))</f>
        <v>washed</v>
      </c>
      <c r="I643">
        <v>200</v>
      </c>
      <c r="J643">
        <v>85</v>
      </c>
      <c r="K643">
        <v>30</v>
      </c>
      <c r="L643">
        <v>90</v>
      </c>
      <c r="M643" s="68" t="s">
        <v>1854</v>
      </c>
      <c r="N643">
        <v>86.4</v>
      </c>
      <c r="P643" s="67" t="s">
        <v>1857</v>
      </c>
      <c r="Q643" s="68">
        <v>201.9</v>
      </c>
      <c r="R643" s="67" t="s">
        <v>1858</v>
      </c>
      <c r="S643" s="68">
        <v>213.2</v>
      </c>
      <c r="T643" s="68">
        <f t="shared" ref="T643:T706" si="80">_xlfn.LET(_xlpm.x,S643-Q643,IF(_xlpm.x=0,"",_xlpm.x))</f>
        <v>11.299999999999983</v>
      </c>
      <c r="U643">
        <f t="shared" si="76"/>
        <v>51</v>
      </c>
      <c r="V643">
        <f t="shared" ref="V643:V706" si="81">IFERROR(ROUND(T643*60/U643,1), )</f>
        <v>13.3</v>
      </c>
      <c r="W643">
        <f t="shared" si="77"/>
        <v>8.3699999999999992</v>
      </c>
      <c r="X643" s="19">
        <v>45802</v>
      </c>
      <c r="Y643" s="26">
        <v>426.2</v>
      </c>
      <c r="Z643" s="61">
        <v>0</v>
      </c>
      <c r="AB643" s="28">
        <f t="shared" si="78"/>
        <v>0.11942148760330581</v>
      </c>
      <c r="AE643" s="61" t="str">
        <f t="shared" si="79"/>
        <v/>
      </c>
      <c r="AF643" s="77" t="str">
        <f>_xlfn.XLOOKUP(AD643,menu!$K$2:$K$9,menu!$J$2:$J$9,"",1)</f>
        <v/>
      </c>
      <c r="AG643" s="80" t="str">
        <f>_xlfn.XLOOKUP(AH643,menu!$O$2:$O$9,menu!$H$2:$H$9,"")</f>
        <v/>
      </c>
      <c r="AI643" t="str">
        <f>_xlfn.LET(_xlpm.x,_xlfn.CONCAT(_xlfn.XLOOKUP(D643,beans!$A$2:$A$300,beans!$J$2:$J$300,"")," / ",_xlfn.XLOOKUP(D643,beans!$A$2:$A$300,beans!$K$2:$K$300,"")," - ",_xlfn.XLOOKUP(D643,beans!$A$2:$A$300,beans!$L$2:$L$300,"")),IF(_xlpm.x=" /  - ","",_xlpm.x))</f>
        <v xml:space="preserve">耶加雪菲 / 阿梅德萊洛處理廠 - </v>
      </c>
    </row>
    <row r="644" spans="1:36" x14ac:dyDescent="0.3">
      <c r="A644">
        <v>627</v>
      </c>
      <c r="B644">
        <v>495</v>
      </c>
      <c r="D644">
        <v>97</v>
      </c>
      <c r="E644" t="str">
        <f>_xlfn.LET(_xlpm.x,_xlfn.XLOOKUP(D644,beans!$A$2:$A$300,beans!$H$2:$H$300,""),IF(_xlpm.x="","",_xlpm.x))</f>
        <v>衣索比亞</v>
      </c>
      <c r="F644" s="22" t="str">
        <f>_xlfn.XLOOKUP(E644,menu!$A$2:$A$37,menu!$B$2:$B$37,"")</f>
        <v>Ethiopia</v>
      </c>
      <c r="G644" t="str">
        <f>_xlfn.XLOOKUP(E644,menu!$A$2:$A$37,menu!$C$2:$C$37,"")</f>
        <v>eth</v>
      </c>
      <c r="H644" t="str">
        <f>_xlfn.LET(_xlpm.x,_xlfn.XLOOKUP(_xlfn.XLOOKUP(D644,beans!$A$2:$A$300,beans!$I$2:$I$300),menu!$E$2:$E$20,menu!$F$2:$F$20),IF(_xlpm.x="","",_xlpm.x))</f>
        <v>natural</v>
      </c>
      <c r="I644">
        <v>200</v>
      </c>
      <c r="J644">
        <v>85</v>
      </c>
      <c r="K644">
        <v>30</v>
      </c>
      <c r="L644">
        <v>90</v>
      </c>
      <c r="M644" s="68" t="s">
        <v>1859</v>
      </c>
      <c r="N644">
        <v>85</v>
      </c>
      <c r="P644" s="67" t="s">
        <v>1860</v>
      </c>
      <c r="Q644" s="68">
        <v>204.5</v>
      </c>
      <c r="R644" s="67" t="s">
        <v>1861</v>
      </c>
      <c r="S644" s="68">
        <v>217.6</v>
      </c>
      <c r="T644" s="68">
        <f t="shared" si="80"/>
        <v>13.099999999999994</v>
      </c>
      <c r="U644">
        <f t="shared" si="76"/>
        <v>54</v>
      </c>
      <c r="V644">
        <f t="shared" si="81"/>
        <v>14.6</v>
      </c>
      <c r="W644">
        <f t="shared" si="77"/>
        <v>9.08</v>
      </c>
      <c r="X644" s="19">
        <v>45802</v>
      </c>
      <c r="Y644" s="26">
        <v>425.9</v>
      </c>
      <c r="Z644" s="61">
        <v>0</v>
      </c>
      <c r="AB644" s="28">
        <f t="shared" si="78"/>
        <v>0.13959595959595963</v>
      </c>
      <c r="AE644" s="61" t="str">
        <f t="shared" si="79"/>
        <v/>
      </c>
      <c r="AF644" s="77" t="str">
        <f>_xlfn.XLOOKUP(AD644,menu!$K$2:$K$9,menu!$J$2:$J$9,"",1)</f>
        <v/>
      </c>
      <c r="AG644" s="80" t="str">
        <f>_xlfn.XLOOKUP(AH644,menu!$O$2:$O$9,menu!$H$2:$H$9,"")</f>
        <v/>
      </c>
      <c r="AI644" t="str">
        <f>_xlfn.LET(_xlpm.x,_xlfn.CONCAT(_xlfn.XLOOKUP(D644,beans!$A$2:$A$300,beans!$J$2:$J$300,"")," / ",_xlfn.XLOOKUP(D644,beans!$A$2:$A$300,beans!$K$2:$K$300,"")," - ",_xlfn.XLOOKUP(D644,beans!$A$2:$A$300,beans!$L$2:$L$300,"")),IF(_xlpm.x=" /  - ","",_xlpm.x))</f>
        <v xml:space="preserve">南希寶 / 雷菲莎 - </v>
      </c>
    </row>
    <row r="645" spans="1:36" x14ac:dyDescent="0.3">
      <c r="A645">
        <v>628</v>
      </c>
      <c r="B645">
        <v>497</v>
      </c>
      <c r="D645">
        <v>86</v>
      </c>
      <c r="E645" t="str">
        <f>_xlfn.LET(_xlpm.x,_xlfn.XLOOKUP(D645,beans!$A$2:$A$300,beans!$H$2:$H$300,""),IF(_xlpm.x="","",_xlpm.x))</f>
        <v>衣索比亞</v>
      </c>
      <c r="F645" s="22" t="str">
        <f>_xlfn.XLOOKUP(E645,menu!$A$2:$A$37,menu!$B$2:$B$37,"")</f>
        <v>Ethiopia</v>
      </c>
      <c r="G645" t="str">
        <f>_xlfn.XLOOKUP(E645,menu!$A$2:$A$37,menu!$C$2:$C$37,"")</f>
        <v>eth</v>
      </c>
      <c r="H645" t="str">
        <f>_xlfn.LET(_xlpm.x,_xlfn.XLOOKUP(_xlfn.XLOOKUP(D645,beans!$A$2:$A$300,beans!$I$2:$I$300),menu!$E$2:$E$20,menu!$F$2:$F$20),IF(_xlpm.x="","",_xlpm.x))</f>
        <v>natural</v>
      </c>
      <c r="I645">
        <v>200</v>
      </c>
      <c r="J645">
        <v>85</v>
      </c>
      <c r="K645">
        <v>30</v>
      </c>
      <c r="L645">
        <v>30</v>
      </c>
      <c r="M645" s="68" t="s">
        <v>1851</v>
      </c>
      <c r="N645">
        <v>88.2</v>
      </c>
      <c r="P645" s="67" t="s">
        <v>1862</v>
      </c>
      <c r="Q645" s="68">
        <v>199</v>
      </c>
      <c r="R645" s="67" t="s">
        <v>1863</v>
      </c>
      <c r="S645" s="68">
        <v>218.8</v>
      </c>
      <c r="T645" s="68">
        <f t="shared" si="80"/>
        <v>19.800000000000011</v>
      </c>
      <c r="U645">
        <f t="shared" si="76"/>
        <v>77</v>
      </c>
      <c r="V645">
        <f t="shared" si="81"/>
        <v>15.4</v>
      </c>
      <c r="W645">
        <f t="shared" si="77"/>
        <v>13.23</v>
      </c>
      <c r="X645" s="19">
        <v>45802</v>
      </c>
      <c r="Y645" s="26">
        <v>426.8</v>
      </c>
      <c r="Z645" s="61">
        <v>0</v>
      </c>
      <c r="AB645" s="28">
        <f t="shared" si="78"/>
        <v>0.14124748490945671</v>
      </c>
      <c r="AE645" s="61" t="str">
        <f t="shared" si="79"/>
        <v/>
      </c>
      <c r="AF645" s="77" t="str">
        <f>_xlfn.XLOOKUP(AD645,menu!$K$2:$K$9,menu!$J$2:$J$9,"",1)</f>
        <v/>
      </c>
      <c r="AG645" s="80" t="str">
        <f>_xlfn.XLOOKUP(AH645,menu!$O$2:$O$9,menu!$H$2:$H$9,"")</f>
        <v/>
      </c>
      <c r="AI645" t="str">
        <f>_xlfn.LET(_xlpm.x,_xlfn.CONCAT(_xlfn.XLOOKUP(D645,beans!$A$2:$A$300,beans!$J$2:$J$300,"")," / ",_xlfn.XLOOKUP(D645,beans!$A$2:$A$300,beans!$K$2:$K$300,"")," - ",_xlfn.XLOOKUP(D645,beans!$A$2:$A$300,beans!$L$2:$L$300,"")),IF(_xlpm.x=" /  - ","",_xlpm.x))</f>
        <v xml:space="preserve">耶加雪菲 / (沃卡)凱菲亞歐蓓絲  Kefeyalew Obese - </v>
      </c>
    </row>
    <row r="646" spans="1:36" x14ac:dyDescent="0.3">
      <c r="A646">
        <v>629</v>
      </c>
      <c r="B646">
        <v>495.7</v>
      </c>
      <c r="D646">
        <v>103</v>
      </c>
      <c r="E646" t="str">
        <f>_xlfn.LET(_xlpm.x,_xlfn.XLOOKUP(D646,beans!$A$2:$A$300,beans!$H$2:$H$300,""),IF(_xlpm.x="","",_xlpm.x))</f>
        <v>薩爾瓦多</v>
      </c>
      <c r="F646" s="22" t="str">
        <f>_xlfn.XLOOKUP(E646,menu!$A$2:$A$37,menu!$B$2:$B$37,"")</f>
        <v>Salvador</v>
      </c>
      <c r="G646" t="str">
        <f>_xlfn.XLOOKUP(E646,menu!$A$2:$A$37,menu!$C$2:$C$37,"")</f>
        <v>slv</v>
      </c>
      <c r="H646" t="str">
        <f>_xlfn.LET(_xlpm.x,_xlfn.XLOOKUP(_xlfn.XLOOKUP(D646,beans!$A$2:$A$300,beans!$I$2:$I$300),menu!$E$2:$E$20,menu!$F$2:$F$20),IF(_xlpm.x="","",_xlpm.x))</f>
        <v>semi-washed</v>
      </c>
      <c r="I646">
        <v>200</v>
      </c>
      <c r="J646">
        <v>85</v>
      </c>
      <c r="K646">
        <v>30</v>
      </c>
      <c r="L646">
        <v>90</v>
      </c>
      <c r="M646" s="68" t="s">
        <v>1864</v>
      </c>
      <c r="N646">
        <v>89.9</v>
      </c>
      <c r="P646" s="67" t="s">
        <v>1865</v>
      </c>
      <c r="Q646" s="68">
        <v>203.6</v>
      </c>
      <c r="R646" s="67" t="s">
        <v>1858</v>
      </c>
      <c r="S646" s="68">
        <v>217.7</v>
      </c>
      <c r="T646" s="68">
        <f t="shared" si="80"/>
        <v>14.099999999999994</v>
      </c>
      <c r="U646">
        <f t="shared" si="76"/>
        <v>64</v>
      </c>
      <c r="V646">
        <f t="shared" si="81"/>
        <v>13.2</v>
      </c>
      <c r="W646">
        <f t="shared" si="77"/>
        <v>10.51</v>
      </c>
      <c r="X646" s="19">
        <v>45802</v>
      </c>
      <c r="Y646" s="26">
        <v>426.2</v>
      </c>
      <c r="Z646" s="61">
        <v>0</v>
      </c>
      <c r="AB646" s="28">
        <f t="shared" si="78"/>
        <v>0.140205769618721</v>
      </c>
      <c r="AE646" s="61" t="str">
        <f t="shared" si="79"/>
        <v/>
      </c>
      <c r="AF646" s="77" t="str">
        <f>_xlfn.XLOOKUP(AD646,menu!$K$2:$K$9,menu!$J$2:$J$9,"",1)</f>
        <v/>
      </c>
      <c r="AG646" s="80" t="str">
        <f>_xlfn.XLOOKUP(AH646,menu!$O$2:$O$9,menu!$H$2:$H$9,"")</f>
        <v/>
      </c>
      <c r="AI646" t="str">
        <f>_xlfn.LET(_xlpm.x,_xlfn.CONCAT(_xlfn.XLOOKUP(D646,beans!$A$2:$A$300,beans!$J$2:$J$300,"")," / ",_xlfn.XLOOKUP(D646,beans!$A$2:$A$300,beans!$K$2:$K$300,"")," - ",_xlfn.XLOOKUP(D646,beans!$A$2:$A$300,beans!$L$2:$L$300,"")),IF(_xlpm.x=" /  - ","",_xlpm.x))</f>
        <v xml:space="preserve"> / 巧克力情人 - </v>
      </c>
    </row>
    <row r="647" spans="1:36" x14ac:dyDescent="0.3">
      <c r="A647">
        <v>630</v>
      </c>
      <c r="B647">
        <v>495</v>
      </c>
      <c r="D647">
        <v>85</v>
      </c>
      <c r="E647" t="str">
        <f>_xlfn.LET(_xlpm.x,_xlfn.XLOOKUP(D647,beans!$A$2:$A$300,beans!$H$2:$H$300,""),IF(_xlpm.x="","",_xlpm.x))</f>
        <v>衣索比亞</v>
      </c>
      <c r="F647" s="22" t="str">
        <f>_xlfn.XLOOKUP(E647,menu!$A$2:$A$37,menu!$B$2:$B$37,"")</f>
        <v>Ethiopia</v>
      </c>
      <c r="G647" t="str">
        <f>_xlfn.XLOOKUP(E647,menu!$A$2:$A$37,menu!$C$2:$C$37,"")</f>
        <v>eth</v>
      </c>
      <c r="H647" t="str">
        <f>_xlfn.LET(_xlpm.x,_xlfn.XLOOKUP(_xlfn.XLOOKUP(D647,beans!$A$2:$A$300,beans!$I$2:$I$300),menu!$E$2:$E$20,menu!$F$2:$F$20),IF(_xlpm.x="","",_xlpm.x))</f>
        <v>natural</v>
      </c>
      <c r="I647">
        <v>200</v>
      </c>
      <c r="J647">
        <v>85</v>
      </c>
      <c r="K647">
        <v>30</v>
      </c>
      <c r="L647">
        <v>90</v>
      </c>
      <c r="M647" s="68" t="s">
        <v>1866</v>
      </c>
      <c r="N647">
        <v>87.4</v>
      </c>
      <c r="P647" s="67" t="s">
        <v>1860</v>
      </c>
      <c r="Q647" s="68">
        <v>206</v>
      </c>
      <c r="R647" s="67" t="s">
        <v>1867</v>
      </c>
      <c r="S647" s="68">
        <v>214.4</v>
      </c>
      <c r="T647" s="68">
        <f t="shared" si="80"/>
        <v>8.4000000000000057</v>
      </c>
      <c r="U647">
        <f t="shared" si="76"/>
        <v>27</v>
      </c>
      <c r="V647">
        <f t="shared" si="81"/>
        <v>18.7</v>
      </c>
      <c r="W647">
        <f t="shared" si="77"/>
        <v>4.75</v>
      </c>
      <c r="X647" s="19">
        <v>45802</v>
      </c>
      <c r="Y647" s="26">
        <v>429</v>
      </c>
      <c r="Z647" s="61">
        <v>0</v>
      </c>
      <c r="AB647" s="28">
        <f t="shared" si="78"/>
        <v>0.13333333333333333</v>
      </c>
      <c r="AE647" s="61" t="str">
        <f t="shared" si="79"/>
        <v/>
      </c>
      <c r="AF647" s="77" t="str">
        <f>_xlfn.XLOOKUP(AD647,menu!$K$2:$K$9,menu!$J$2:$J$9,"",1)</f>
        <v/>
      </c>
      <c r="AG647" s="80" t="str">
        <f>_xlfn.XLOOKUP(AH647,menu!$O$2:$O$9,menu!$H$2:$H$9,"")</f>
        <v/>
      </c>
      <c r="AI647" t="str">
        <f>_xlfn.LET(_xlpm.x,_xlfn.CONCAT(_xlfn.XLOOKUP(D647,beans!$A$2:$A$300,beans!$J$2:$J$300,"")," / ",_xlfn.XLOOKUP(D647,beans!$A$2:$A$300,beans!$K$2:$K$300,"")," - ",_xlfn.XLOOKUP(D647,beans!$A$2:$A$300,beans!$L$2:$L$300,"")),IF(_xlpm.x=" /  - ","",_xlpm.x))</f>
        <v xml:space="preserve">古吉 烏拉嘎 / 寇巴 - </v>
      </c>
    </row>
    <row r="648" spans="1:36" x14ac:dyDescent="0.3">
      <c r="A648">
        <v>631</v>
      </c>
      <c r="B648">
        <v>494</v>
      </c>
      <c r="D648">
        <v>85</v>
      </c>
      <c r="E648" t="str">
        <f>_xlfn.LET(_xlpm.x,_xlfn.XLOOKUP(D648,beans!$A$2:$A$300,beans!$H$2:$H$300,""),IF(_xlpm.x="","",_xlpm.x))</f>
        <v>衣索比亞</v>
      </c>
      <c r="F648" s="22" t="str">
        <f>_xlfn.XLOOKUP(E648,menu!$A$2:$A$37,menu!$B$2:$B$37,"")</f>
        <v>Ethiopia</v>
      </c>
      <c r="G648" t="str">
        <f>_xlfn.XLOOKUP(E648,menu!$A$2:$A$37,menu!$C$2:$C$37,"")</f>
        <v>eth</v>
      </c>
      <c r="H648" t="str">
        <f>_xlfn.LET(_xlpm.x,_xlfn.XLOOKUP(_xlfn.XLOOKUP(D648,beans!$A$2:$A$300,beans!$I$2:$I$300),menu!$E$2:$E$20,menu!$F$2:$F$20),IF(_xlpm.x="","",_xlpm.x))</f>
        <v>natural</v>
      </c>
      <c r="I648">
        <v>200</v>
      </c>
      <c r="J648">
        <v>85</v>
      </c>
      <c r="K648">
        <v>30</v>
      </c>
      <c r="L648">
        <v>90</v>
      </c>
      <c r="M648" s="68" t="s">
        <v>1851</v>
      </c>
      <c r="N648">
        <v>87.1</v>
      </c>
      <c r="P648" s="67" t="s">
        <v>1868</v>
      </c>
      <c r="Q648" s="68">
        <v>203.4</v>
      </c>
      <c r="R648" s="67" t="s">
        <v>1869</v>
      </c>
      <c r="S648" s="68">
        <v>219.8</v>
      </c>
      <c r="T648" s="68">
        <f t="shared" si="80"/>
        <v>16.400000000000006</v>
      </c>
      <c r="U648">
        <f t="shared" si="76"/>
        <v>75</v>
      </c>
      <c r="V648">
        <f t="shared" si="81"/>
        <v>13.1</v>
      </c>
      <c r="W648">
        <f t="shared" si="77"/>
        <v>11.96</v>
      </c>
      <c r="X648" s="19">
        <v>45802</v>
      </c>
      <c r="Y648" s="26">
        <v>422</v>
      </c>
      <c r="Z648" s="61">
        <v>0</v>
      </c>
      <c r="AB648" s="28">
        <f t="shared" si="78"/>
        <v>0.145748987854251</v>
      </c>
      <c r="AE648" s="61" t="str">
        <f t="shared" si="79"/>
        <v/>
      </c>
      <c r="AF648" s="77" t="str">
        <f>_xlfn.XLOOKUP(AD648,menu!$K$2:$K$9,menu!$J$2:$J$9,"",1)</f>
        <v/>
      </c>
      <c r="AG648" s="80" t="str">
        <f>_xlfn.XLOOKUP(AH648,menu!$O$2:$O$9,menu!$H$2:$H$9,"")</f>
        <v/>
      </c>
      <c r="AI648" t="str">
        <f>_xlfn.LET(_xlpm.x,_xlfn.CONCAT(_xlfn.XLOOKUP(D648,beans!$A$2:$A$300,beans!$J$2:$J$300,"")," / ",_xlfn.XLOOKUP(D648,beans!$A$2:$A$300,beans!$K$2:$K$300,"")," - ",_xlfn.XLOOKUP(D648,beans!$A$2:$A$300,beans!$L$2:$L$300,"")),IF(_xlpm.x=" /  - ","",_xlpm.x))</f>
        <v xml:space="preserve">古吉 烏拉嘎 / 寇巴 - </v>
      </c>
    </row>
    <row r="649" spans="1:36" x14ac:dyDescent="0.3">
      <c r="A649">
        <v>632</v>
      </c>
      <c r="B649">
        <v>494</v>
      </c>
      <c r="D649">
        <v>75</v>
      </c>
      <c r="E649" t="str">
        <f>_xlfn.LET(_xlpm.x,_xlfn.XLOOKUP(D649,beans!$A$2:$A$300,beans!$H$2:$H$300,""),IF(_xlpm.x="","",_xlpm.x))</f>
        <v>瓜地馬拉</v>
      </c>
      <c r="F649" s="22" t="str">
        <f>_xlfn.XLOOKUP(E649,menu!$A$2:$A$37,menu!$B$2:$B$37,"")</f>
        <v>Guatemala</v>
      </c>
      <c r="G649" t="str">
        <f>_xlfn.XLOOKUP(E649,menu!$A$2:$A$37,menu!$C$2:$C$37,"")</f>
        <v>gtm</v>
      </c>
      <c r="H649" t="str">
        <f>_xlfn.LET(_xlpm.x,_xlfn.XLOOKUP(_xlfn.XLOOKUP(D649,beans!$A$2:$A$300,beans!$I$2:$I$300),menu!$E$2:$E$20,menu!$F$2:$F$20),IF(_xlpm.x="","",_xlpm.x))</f>
        <v>Anaerobic Natural</v>
      </c>
      <c r="I649">
        <v>200</v>
      </c>
      <c r="J649">
        <v>85</v>
      </c>
      <c r="K649">
        <v>30</v>
      </c>
      <c r="L649">
        <v>90</v>
      </c>
      <c r="M649" s="68" t="s">
        <v>1870</v>
      </c>
      <c r="N649">
        <v>87.4</v>
      </c>
      <c r="P649" s="67" t="s">
        <v>1871</v>
      </c>
      <c r="Q649" s="68">
        <v>207.6</v>
      </c>
      <c r="R649" s="67" t="s">
        <v>1872</v>
      </c>
      <c r="S649" s="68">
        <v>220.9</v>
      </c>
      <c r="T649" s="68">
        <f t="shared" si="80"/>
        <v>13.300000000000011</v>
      </c>
      <c r="U649">
        <f t="shared" si="76"/>
        <v>60</v>
      </c>
      <c r="V649">
        <f t="shared" si="81"/>
        <v>13.3</v>
      </c>
      <c r="W649">
        <f t="shared" si="77"/>
        <v>9.6300000000000008</v>
      </c>
      <c r="X649" s="19">
        <v>45802</v>
      </c>
      <c r="Y649" s="26">
        <v>427.8</v>
      </c>
      <c r="Z649" s="61">
        <v>0</v>
      </c>
      <c r="AB649" s="28">
        <f t="shared" si="78"/>
        <v>0.13400809716599188</v>
      </c>
      <c r="AE649" s="61" t="str">
        <f t="shared" si="79"/>
        <v/>
      </c>
      <c r="AF649" s="77" t="str">
        <f>_xlfn.XLOOKUP(AD649,menu!$K$2:$K$9,menu!$J$2:$J$9,"",1)</f>
        <v/>
      </c>
      <c r="AG649" s="80" t="str">
        <f>_xlfn.XLOOKUP(AH649,menu!$O$2:$O$9,menu!$H$2:$H$9,"")</f>
        <v/>
      </c>
      <c r="AI649" t="str">
        <f>_xlfn.LET(_xlpm.x,_xlfn.CONCAT(_xlfn.XLOOKUP(D649,beans!$A$2:$A$300,beans!$J$2:$J$300,"")," / ",_xlfn.XLOOKUP(D649,beans!$A$2:$A$300,beans!$K$2:$K$300,"")," - ",_xlfn.XLOOKUP(D649,beans!$A$2:$A$300,beans!$L$2:$L$300,"")),IF(_xlpm.x=" /  - ","",_xlpm.x))</f>
        <v xml:space="preserve">新東方 / 小農批次 - </v>
      </c>
    </row>
    <row r="650" spans="1:36" x14ac:dyDescent="0.3">
      <c r="A650">
        <v>633</v>
      </c>
      <c r="B650">
        <v>491</v>
      </c>
      <c r="D650">
        <v>100</v>
      </c>
      <c r="E650" t="str">
        <f>_xlfn.LET(_xlpm.x,_xlfn.XLOOKUP(D650,beans!$A$2:$A$300,beans!$H$2:$H$300,""),IF(_xlpm.x="","",_xlpm.x))</f>
        <v>衣索比亞</v>
      </c>
      <c r="F650" s="22" t="str">
        <f>_xlfn.XLOOKUP(E650,menu!$A$2:$A$37,menu!$B$2:$B$37,"")</f>
        <v>Ethiopia</v>
      </c>
      <c r="G650" t="str">
        <f>_xlfn.XLOOKUP(E650,menu!$A$2:$A$37,menu!$C$2:$C$37,"")</f>
        <v>eth</v>
      </c>
      <c r="H650" t="str">
        <f>_xlfn.LET(_xlpm.x,_xlfn.XLOOKUP(_xlfn.XLOOKUP(D650,beans!$A$2:$A$300,beans!$I$2:$I$300),menu!$E$2:$E$20,menu!$F$2:$F$20),IF(_xlpm.x="","",_xlpm.x))</f>
        <v/>
      </c>
      <c r="I650">
        <v>200</v>
      </c>
      <c r="J650">
        <v>85</v>
      </c>
      <c r="K650">
        <v>30</v>
      </c>
      <c r="L650">
        <v>90</v>
      </c>
      <c r="M650" s="68" t="s">
        <v>1870</v>
      </c>
      <c r="N650">
        <v>88.6</v>
      </c>
      <c r="P650" s="67" t="s">
        <v>1873</v>
      </c>
      <c r="Q650" s="68">
        <v>204.2</v>
      </c>
      <c r="R650" s="67" t="s">
        <v>1874</v>
      </c>
      <c r="S650" s="68">
        <v>215.7</v>
      </c>
      <c r="T650" s="68">
        <f t="shared" si="80"/>
        <v>11.5</v>
      </c>
      <c r="U650">
        <f t="shared" si="76"/>
        <v>42</v>
      </c>
      <c r="V650">
        <f t="shared" si="81"/>
        <v>16.399999999999999</v>
      </c>
      <c r="W650">
        <f t="shared" si="77"/>
        <v>7.29</v>
      </c>
      <c r="X650" s="19">
        <v>45802</v>
      </c>
      <c r="Y650" s="26">
        <v>424</v>
      </c>
      <c r="Z650" s="61">
        <v>0</v>
      </c>
      <c r="AB650" s="28">
        <f t="shared" si="78"/>
        <v>0.13645621181262729</v>
      </c>
      <c r="AE650" s="61" t="str">
        <f t="shared" si="79"/>
        <v/>
      </c>
      <c r="AF650" s="77" t="str">
        <f>_xlfn.XLOOKUP(AD650,menu!$K$2:$K$9,menu!$J$2:$J$9,"",1)</f>
        <v/>
      </c>
      <c r="AG650" s="80" t="str">
        <f>_xlfn.XLOOKUP(AH650,menu!$O$2:$O$9,menu!$H$2:$H$9,"")</f>
        <v/>
      </c>
      <c r="AI650" t="str">
        <f>_xlfn.LET(_xlpm.x,_xlfn.CONCAT(_xlfn.XLOOKUP(D650,beans!$A$2:$A$300,beans!$J$2:$J$300,"")," / ",_xlfn.XLOOKUP(D650,beans!$A$2:$A$300,beans!$K$2:$K$300,"")," - ",_xlfn.XLOOKUP(D650,beans!$A$2:$A$300,beans!$L$2:$L$300,"")),IF(_xlpm.x=" /  - ","",_xlpm.x))</f>
        <v xml:space="preserve"> / 露西酒香 - </v>
      </c>
    </row>
    <row r="651" spans="1:36" x14ac:dyDescent="0.3">
      <c r="A651">
        <v>634</v>
      </c>
      <c r="B651">
        <v>246.6</v>
      </c>
      <c r="D651">
        <v>30</v>
      </c>
      <c r="E651" t="str">
        <f>_xlfn.LET(_xlpm.x,_xlfn.XLOOKUP(D651,beans!$A$2:$A$300,beans!$H$2:$H$300,""),IF(_xlpm.x="","",_xlpm.x))</f>
        <v>肯亞</v>
      </c>
      <c r="F651" s="22" t="str">
        <f>_xlfn.XLOOKUP(E651,menu!$A$2:$A$37,menu!$B$2:$B$37,"")</f>
        <v>Kenya</v>
      </c>
      <c r="G651" t="str">
        <f>_xlfn.XLOOKUP(E651,menu!$A$2:$A$37,menu!$C$2:$C$37,"")</f>
        <v>ken</v>
      </c>
      <c r="H651" t="str">
        <f>_xlfn.LET(_xlpm.x,_xlfn.XLOOKUP(_xlfn.XLOOKUP(D651,beans!$A$2:$A$300,beans!$I$2:$I$300),menu!$E$2:$E$20,menu!$F$2:$F$20),IF(_xlpm.x="","",_xlpm.x))</f>
        <v>washed</v>
      </c>
      <c r="I651">
        <v>200</v>
      </c>
      <c r="J651">
        <v>80</v>
      </c>
      <c r="K651">
        <v>30</v>
      </c>
      <c r="L651">
        <v>80</v>
      </c>
      <c r="M651" s="68" t="s">
        <v>1878</v>
      </c>
      <c r="N651">
        <v>93.6</v>
      </c>
      <c r="P651" s="67" t="s">
        <v>1879</v>
      </c>
      <c r="Q651" s="68">
        <v>198</v>
      </c>
      <c r="R651" s="67" t="s">
        <v>1880</v>
      </c>
      <c r="S651" s="68">
        <v>213</v>
      </c>
      <c r="T651" s="68">
        <f t="shared" si="80"/>
        <v>15</v>
      </c>
      <c r="U651">
        <f t="shared" si="76"/>
        <v>83</v>
      </c>
      <c r="V651">
        <f t="shared" si="81"/>
        <v>10.8</v>
      </c>
      <c r="W651">
        <f t="shared" si="77"/>
        <v>14.24</v>
      </c>
      <c r="X651" s="19">
        <v>45809</v>
      </c>
      <c r="Y651" s="26">
        <v>216.8</v>
      </c>
      <c r="Z651" s="61">
        <v>0</v>
      </c>
      <c r="AB651" s="28">
        <f t="shared" si="78"/>
        <v>0.12084347120843465</v>
      </c>
      <c r="AE651" s="61" t="str">
        <f t="shared" si="79"/>
        <v/>
      </c>
      <c r="AF651" s="77" t="str">
        <f>_xlfn.XLOOKUP(AD651,menu!$K$2:$K$9,menu!$J$2:$J$9,"",1)</f>
        <v/>
      </c>
      <c r="AG651" s="80" t="str">
        <f>_xlfn.XLOOKUP(AH651,menu!$O$2:$O$9,menu!$H$2:$H$9,"")</f>
        <v/>
      </c>
      <c r="AI651" t="str">
        <f>_xlfn.LET(_xlpm.x,_xlfn.CONCAT(_xlfn.XLOOKUP(D651,beans!$A$2:$A$300,beans!$J$2:$J$300,"")," / ",_xlfn.XLOOKUP(D651,beans!$A$2:$A$300,beans!$K$2:$K$300,"")," - ",_xlfn.XLOOKUP(D651,beans!$A$2:$A$300,beans!$L$2:$L$300,"")),IF(_xlpm.x=" /  - ","",_xlpm.x))</f>
        <v>涅里 / 卡拉蒂那處理廠  - Ruiru 11 / SL28 / Batian</v>
      </c>
      <c r="AJ651" s="23" t="s">
        <v>1918</v>
      </c>
    </row>
    <row r="652" spans="1:36" x14ac:dyDescent="0.3">
      <c r="A652">
        <v>635</v>
      </c>
      <c r="B652">
        <v>225</v>
      </c>
      <c r="D652">
        <v>84</v>
      </c>
      <c r="E652" t="str">
        <f>_xlfn.LET(_xlpm.x,_xlfn.XLOOKUP(D652,beans!$A$2:$A$300,beans!$H$2:$H$300,""),IF(_xlpm.x="","",_xlpm.x))</f>
        <v>哥倫比亞</v>
      </c>
      <c r="F652" s="22" t="str">
        <f>_xlfn.XLOOKUP(E652,menu!$A$2:$A$37,menu!$B$2:$B$37,"")</f>
        <v>Colombia</v>
      </c>
      <c r="G652" t="str">
        <f>_xlfn.XLOOKUP(E652,menu!$A$2:$A$37,menu!$C$2:$C$37,"")</f>
        <v>col</v>
      </c>
      <c r="H652" t="str">
        <f>_xlfn.LET(_xlpm.x,_xlfn.XLOOKUP(_xlfn.XLOOKUP(D652,beans!$A$2:$A$300,beans!$I$2:$I$300),menu!$E$2:$E$20,menu!$F$2:$F$20),IF(_xlpm.x="","",_xlpm.x))</f>
        <v>Anaerobic Washed</v>
      </c>
      <c r="I652">
        <v>190</v>
      </c>
      <c r="J652">
        <v>75</v>
      </c>
      <c r="K652">
        <v>35</v>
      </c>
      <c r="L652">
        <v>70</v>
      </c>
      <c r="M652" s="68" t="s">
        <v>1881</v>
      </c>
      <c r="N652">
        <v>90.5</v>
      </c>
      <c r="P652" s="67" t="s">
        <v>1882</v>
      </c>
      <c r="Q652" s="68">
        <v>203.7</v>
      </c>
      <c r="R652" s="67" t="s">
        <v>1883</v>
      </c>
      <c r="S652" s="68">
        <v>215.3</v>
      </c>
      <c r="T652" s="68">
        <f t="shared" si="80"/>
        <v>11.600000000000023</v>
      </c>
      <c r="U652">
        <f t="shared" si="76"/>
        <v>46</v>
      </c>
      <c r="V652">
        <f t="shared" si="81"/>
        <v>15.1</v>
      </c>
      <c r="W652">
        <f t="shared" si="77"/>
        <v>7.81</v>
      </c>
      <c r="X652" s="19">
        <v>45809</v>
      </c>
      <c r="Y652" s="26">
        <v>196.5</v>
      </c>
      <c r="Z652" s="61">
        <v>0</v>
      </c>
      <c r="AB652" s="28">
        <f t="shared" si="78"/>
        <v>0.12666666666666668</v>
      </c>
      <c r="AE652" s="61" t="str">
        <f t="shared" si="79"/>
        <v/>
      </c>
      <c r="AF652" s="77" t="str">
        <f>_xlfn.XLOOKUP(AD652,menu!$K$2:$K$9,menu!$J$2:$J$9,"",1)</f>
        <v/>
      </c>
      <c r="AG652" s="80" t="str">
        <f>_xlfn.XLOOKUP(AH652,menu!$O$2:$O$9,menu!$H$2:$H$9,"")</f>
        <v/>
      </c>
      <c r="AI652" t="str">
        <f>_xlfn.LET(_xlpm.x,_xlfn.CONCAT(_xlfn.XLOOKUP(D652,beans!$A$2:$A$300,beans!$J$2:$J$300,"")," / ",_xlfn.XLOOKUP(D652,beans!$A$2:$A$300,beans!$K$2:$K$300,"")," - ",_xlfn.XLOOKUP(D652,beans!$A$2:$A$300,beans!$L$2:$L$300,"")),IF(_xlpm.x=" /  - ","",_xlpm.x))</f>
        <v xml:space="preserve">瑪格麗特 / 玉荷包荔枝 - </v>
      </c>
      <c r="AJ652" s="23" t="s">
        <v>1919</v>
      </c>
    </row>
    <row r="653" spans="1:36" x14ac:dyDescent="0.3">
      <c r="A653">
        <v>636</v>
      </c>
      <c r="B653">
        <v>494</v>
      </c>
      <c r="D653">
        <v>88</v>
      </c>
      <c r="E653" t="str">
        <f>_xlfn.LET(_xlpm.x,_xlfn.XLOOKUP(D653,beans!$A$2:$A$300,beans!$H$2:$H$300,""),IF(_xlpm.x="","",_xlpm.x))</f>
        <v>衣索比亞</v>
      </c>
      <c r="F653" s="22" t="str">
        <f>_xlfn.XLOOKUP(E653,menu!$A$2:$A$37,menu!$B$2:$B$37,"")</f>
        <v>Ethiopia</v>
      </c>
      <c r="G653" t="str">
        <f>_xlfn.XLOOKUP(E653,menu!$A$2:$A$37,menu!$C$2:$C$37,"")</f>
        <v>eth</v>
      </c>
      <c r="H653" t="str">
        <f>_xlfn.LET(_xlpm.x,_xlfn.XLOOKUP(_xlfn.XLOOKUP(D653,beans!$A$2:$A$300,beans!$I$2:$I$300),menu!$E$2:$E$20,menu!$F$2:$F$20),IF(_xlpm.x="","",_xlpm.x))</f>
        <v>washed</v>
      </c>
      <c r="I653">
        <v>190</v>
      </c>
      <c r="J653">
        <v>75</v>
      </c>
      <c r="K653">
        <v>35</v>
      </c>
      <c r="L653">
        <v>90</v>
      </c>
      <c r="M653" s="68" t="s">
        <v>1884</v>
      </c>
      <c r="N653">
        <v>85</v>
      </c>
      <c r="P653" s="67" t="s">
        <v>1885</v>
      </c>
      <c r="Q653" s="68">
        <v>201.7</v>
      </c>
      <c r="R653" s="67" t="s">
        <v>1886</v>
      </c>
      <c r="S653" s="68">
        <v>215.5</v>
      </c>
      <c r="T653" s="68">
        <f t="shared" si="80"/>
        <v>13.800000000000011</v>
      </c>
      <c r="U653">
        <f t="shared" si="76"/>
        <v>63</v>
      </c>
      <c r="V653">
        <f t="shared" si="81"/>
        <v>13.1</v>
      </c>
      <c r="W653">
        <f t="shared" si="77"/>
        <v>9.7200000000000006</v>
      </c>
      <c r="X653" s="19">
        <v>45809</v>
      </c>
      <c r="Y653" s="26">
        <v>424.9</v>
      </c>
      <c r="Z653" s="61">
        <v>0</v>
      </c>
      <c r="AB653" s="28">
        <f t="shared" si="78"/>
        <v>0.1398785425101215</v>
      </c>
      <c r="AE653" s="61" t="str">
        <f t="shared" si="79"/>
        <v/>
      </c>
      <c r="AF653" s="77" t="str">
        <f>_xlfn.XLOOKUP(AD653,menu!$K$2:$K$9,menu!$J$2:$J$9,"",1)</f>
        <v/>
      </c>
      <c r="AG653" s="80" t="str">
        <f>_xlfn.XLOOKUP(AH653,menu!$O$2:$O$9,menu!$H$2:$H$9,"")</f>
        <v/>
      </c>
      <c r="AI653" t="str">
        <f>_xlfn.LET(_xlpm.x,_xlfn.CONCAT(_xlfn.XLOOKUP(D653,beans!$A$2:$A$300,beans!$J$2:$J$300,"")," / ",_xlfn.XLOOKUP(D653,beans!$A$2:$A$300,beans!$K$2:$K$300,"")," - ",_xlfn.XLOOKUP(D653,beans!$A$2:$A$300,beans!$L$2:$L$300,"")),IF(_xlpm.x=" /  - ","",_xlpm.x))</f>
        <v xml:space="preserve">耶加雪菲 / 柯契爾 畢洛雅 - </v>
      </c>
      <c r="AJ653" s="23" t="s">
        <v>1920</v>
      </c>
    </row>
    <row r="654" spans="1:36" x14ac:dyDescent="0.3">
      <c r="A654">
        <v>637</v>
      </c>
      <c r="B654">
        <v>464</v>
      </c>
      <c r="D654">
        <v>88</v>
      </c>
      <c r="E654" t="str">
        <f>_xlfn.LET(_xlpm.x,_xlfn.XLOOKUP(D654,beans!$A$2:$A$300,beans!$H$2:$H$300,""),IF(_xlpm.x="","",_xlpm.x))</f>
        <v>衣索比亞</v>
      </c>
      <c r="F654" s="22" t="str">
        <f>_xlfn.XLOOKUP(E654,menu!$A$2:$A$37,menu!$B$2:$B$37,"")</f>
        <v>Ethiopia</v>
      </c>
      <c r="G654" t="str">
        <f>_xlfn.XLOOKUP(E654,menu!$A$2:$A$37,menu!$C$2:$C$37,"")</f>
        <v>eth</v>
      </c>
      <c r="H654" t="str">
        <f>_xlfn.LET(_xlpm.x,_xlfn.XLOOKUP(_xlfn.XLOOKUP(D654,beans!$A$2:$A$300,beans!$I$2:$I$300),menu!$E$2:$E$20,menu!$F$2:$F$20),IF(_xlpm.x="","",_xlpm.x))</f>
        <v>washed</v>
      </c>
      <c r="I654">
        <v>190</v>
      </c>
      <c r="J654">
        <v>75</v>
      </c>
      <c r="K654">
        <v>35</v>
      </c>
      <c r="L654">
        <v>90</v>
      </c>
      <c r="M654" s="68" t="s">
        <v>1884</v>
      </c>
      <c r="N654">
        <v>85.2</v>
      </c>
      <c r="P654" s="67" t="s">
        <v>1887</v>
      </c>
      <c r="Q654" s="68">
        <v>202.4</v>
      </c>
      <c r="R654" s="67" t="s">
        <v>1888</v>
      </c>
      <c r="S654" s="68">
        <v>215.3</v>
      </c>
      <c r="T654" s="68">
        <f t="shared" si="80"/>
        <v>12.900000000000006</v>
      </c>
      <c r="U654">
        <f t="shared" si="76"/>
        <v>63</v>
      </c>
      <c r="V654">
        <f t="shared" si="81"/>
        <v>12.3</v>
      </c>
      <c r="W654">
        <f t="shared" si="77"/>
        <v>9.86</v>
      </c>
      <c r="X654" s="19">
        <v>45809</v>
      </c>
      <c r="Y654" s="26">
        <v>400.8</v>
      </c>
      <c r="Z654" s="61">
        <v>0</v>
      </c>
      <c r="AB654" s="28">
        <f t="shared" si="78"/>
        <v>0.1362068965517241</v>
      </c>
      <c r="AE654" s="61" t="str">
        <f t="shared" si="79"/>
        <v/>
      </c>
      <c r="AF654" s="77" t="str">
        <f>_xlfn.XLOOKUP(AD654,menu!$K$2:$K$9,menu!$J$2:$J$9,"",1)</f>
        <v/>
      </c>
      <c r="AG654" s="80" t="str">
        <f>_xlfn.XLOOKUP(AH654,menu!$O$2:$O$9,menu!$H$2:$H$9,"")</f>
        <v/>
      </c>
      <c r="AI654" t="str">
        <f>_xlfn.LET(_xlpm.x,_xlfn.CONCAT(_xlfn.XLOOKUP(D654,beans!$A$2:$A$300,beans!$J$2:$J$300,"")," / ",_xlfn.XLOOKUP(D654,beans!$A$2:$A$300,beans!$K$2:$K$300,"")," - ",_xlfn.XLOOKUP(D654,beans!$A$2:$A$300,beans!$L$2:$L$300,"")),IF(_xlpm.x=" /  - ","",_xlpm.x))</f>
        <v xml:space="preserve">耶加雪菲 / 柯契爾 畢洛雅 - </v>
      </c>
      <c r="AJ654" s="23" t="s">
        <v>1921</v>
      </c>
    </row>
    <row r="655" spans="1:36" x14ac:dyDescent="0.3">
      <c r="A655">
        <v>638</v>
      </c>
      <c r="B655">
        <v>500</v>
      </c>
      <c r="D655">
        <v>30</v>
      </c>
      <c r="E655" t="str">
        <f>_xlfn.LET(_xlpm.x,_xlfn.XLOOKUP(D655,beans!$A$2:$A$300,beans!$H$2:$H$300,""),IF(_xlpm.x="","",_xlpm.x))</f>
        <v>肯亞</v>
      </c>
      <c r="F655" s="22" t="str">
        <f>_xlfn.XLOOKUP(E655,menu!$A$2:$A$37,menu!$B$2:$B$37,"")</f>
        <v>Kenya</v>
      </c>
      <c r="G655" t="str">
        <f>_xlfn.XLOOKUP(E655,menu!$A$2:$A$37,menu!$C$2:$C$37,"")</f>
        <v>ken</v>
      </c>
      <c r="H655" t="str">
        <f>_xlfn.LET(_xlpm.x,_xlfn.XLOOKUP(_xlfn.XLOOKUP(D655,beans!$A$2:$A$300,beans!$I$2:$I$300),menu!$E$2:$E$20,menu!$F$2:$F$20),IF(_xlpm.x="","",_xlpm.x))</f>
        <v>washed</v>
      </c>
      <c r="I655">
        <v>190</v>
      </c>
      <c r="J655">
        <v>80</v>
      </c>
      <c r="K655">
        <v>35</v>
      </c>
      <c r="L655">
        <v>90</v>
      </c>
      <c r="M655" s="68" t="s">
        <v>1889</v>
      </c>
      <c r="N655">
        <v>87</v>
      </c>
      <c r="P655" s="67" t="s">
        <v>1890</v>
      </c>
      <c r="Q655" s="68">
        <v>199.2</v>
      </c>
      <c r="R655" s="67" t="s">
        <v>1886</v>
      </c>
      <c r="S655" s="68">
        <v>213.7</v>
      </c>
      <c r="T655" s="68">
        <f t="shared" si="80"/>
        <v>14.5</v>
      </c>
      <c r="U655">
        <f t="shared" si="76"/>
        <v>94</v>
      </c>
      <c r="V655">
        <f t="shared" si="81"/>
        <v>9.3000000000000007</v>
      </c>
      <c r="W655">
        <f t="shared" si="77"/>
        <v>14.51</v>
      </c>
      <c r="X655" s="19">
        <v>45809</v>
      </c>
      <c r="Y655" s="26">
        <v>435.7</v>
      </c>
      <c r="Z655" s="61">
        <v>0</v>
      </c>
      <c r="AB655" s="28">
        <f t="shared" si="78"/>
        <v>0.12860000000000002</v>
      </c>
      <c r="AE655" s="61" t="str">
        <f t="shared" si="79"/>
        <v/>
      </c>
      <c r="AF655" s="77" t="str">
        <f>_xlfn.XLOOKUP(AD655,menu!$K$2:$K$9,menu!$J$2:$J$9,"",1)</f>
        <v/>
      </c>
      <c r="AG655" s="80" t="str">
        <f>_xlfn.XLOOKUP(AH655,menu!$O$2:$O$9,menu!$H$2:$H$9,"")</f>
        <v/>
      </c>
      <c r="AI655" t="str">
        <f>_xlfn.LET(_xlpm.x,_xlfn.CONCAT(_xlfn.XLOOKUP(D655,beans!$A$2:$A$300,beans!$J$2:$J$300,"")," / ",_xlfn.XLOOKUP(D655,beans!$A$2:$A$300,beans!$K$2:$K$300,"")," - ",_xlfn.XLOOKUP(D655,beans!$A$2:$A$300,beans!$L$2:$L$300,"")),IF(_xlpm.x=" /  - ","",_xlpm.x))</f>
        <v>涅里 / 卡拉蒂那處理廠  - Ruiru 11 / SL28 / Batian</v>
      </c>
      <c r="AJ655" s="23" t="s">
        <v>1922</v>
      </c>
    </row>
    <row r="656" spans="1:36" x14ac:dyDescent="0.3">
      <c r="A656">
        <v>639</v>
      </c>
      <c r="B656">
        <v>469</v>
      </c>
      <c r="D656">
        <v>55</v>
      </c>
      <c r="E656" t="str">
        <f>_xlfn.LET(_xlpm.x,_xlfn.XLOOKUP(D656,beans!$A$2:$A$300,beans!$H$2:$H$300,""),IF(_xlpm.x="","",_xlpm.x))</f>
        <v>衣索比亞</v>
      </c>
      <c r="F656" s="22" t="str">
        <f>_xlfn.XLOOKUP(E656,menu!$A$2:$A$37,menu!$B$2:$B$37,"")</f>
        <v>Ethiopia</v>
      </c>
      <c r="G656" t="str">
        <f>_xlfn.XLOOKUP(E656,menu!$A$2:$A$37,menu!$C$2:$C$37,"")</f>
        <v>eth</v>
      </c>
      <c r="H656" t="str">
        <f>_xlfn.LET(_xlpm.x,_xlfn.XLOOKUP(_xlfn.XLOOKUP(D656,beans!$A$2:$A$300,beans!$I$2:$I$300),menu!$E$2:$E$20,menu!$F$2:$F$20),IF(_xlpm.x="","",_xlpm.x))</f>
        <v>natural</v>
      </c>
      <c r="I656">
        <v>190</v>
      </c>
      <c r="J656">
        <v>80</v>
      </c>
      <c r="K656">
        <v>35</v>
      </c>
      <c r="L656">
        <v>90</v>
      </c>
      <c r="M656" s="68" t="s">
        <v>1891</v>
      </c>
      <c r="N656">
        <v>85.6</v>
      </c>
      <c r="P656" s="67" t="s">
        <v>1892</v>
      </c>
      <c r="Q656" s="68">
        <v>199.8</v>
      </c>
      <c r="R656" s="67" t="s">
        <v>1893</v>
      </c>
      <c r="S656" s="68">
        <v>219.5</v>
      </c>
      <c r="T656" s="68">
        <f t="shared" si="80"/>
        <v>19.699999999999989</v>
      </c>
      <c r="U656">
        <f t="shared" si="76"/>
        <v>83</v>
      </c>
      <c r="V656">
        <f t="shared" si="81"/>
        <v>14.2</v>
      </c>
      <c r="W656">
        <f t="shared" si="77"/>
        <v>13.28</v>
      </c>
      <c r="X656" s="19">
        <v>45809</v>
      </c>
      <c r="Y656" s="26">
        <v>399</v>
      </c>
      <c r="Z656" s="61">
        <v>0</v>
      </c>
      <c r="AB656" s="28">
        <f t="shared" si="78"/>
        <v>0.14925373134328357</v>
      </c>
      <c r="AE656" s="61" t="str">
        <f t="shared" si="79"/>
        <v/>
      </c>
      <c r="AF656" s="77" t="str">
        <f>_xlfn.XLOOKUP(AD656,menu!$K$2:$K$9,menu!$J$2:$J$9,"",1)</f>
        <v/>
      </c>
      <c r="AG656" s="80" t="str">
        <f>_xlfn.XLOOKUP(AH656,menu!$O$2:$O$9,menu!$H$2:$H$9,"")</f>
        <v/>
      </c>
      <c r="AI656" t="str">
        <f>_xlfn.LET(_xlpm.x,_xlfn.CONCAT(_xlfn.XLOOKUP(D656,beans!$A$2:$A$300,beans!$J$2:$J$300,"")," / ",_xlfn.XLOOKUP(D656,beans!$A$2:$A$300,beans!$K$2:$K$300,"")," - ",_xlfn.XLOOKUP(D656,beans!$A$2:$A$300,beans!$L$2:$L$300,"")),IF(_xlpm.x=" /  - ","",_xlpm.x))</f>
        <v>歐若米亞 古吉 / 莎奇恰 - Heirloom</v>
      </c>
      <c r="AJ656" s="23" t="s">
        <v>1922</v>
      </c>
    </row>
    <row r="657" spans="1:36" x14ac:dyDescent="0.3">
      <c r="A657">
        <v>640</v>
      </c>
      <c r="B657">
        <v>496.5</v>
      </c>
      <c r="D657">
        <v>78</v>
      </c>
      <c r="E657" t="str">
        <f>_xlfn.LET(_xlpm.x,_xlfn.XLOOKUP(D657,beans!$A$2:$A$300,beans!$H$2:$H$300,""),IF(_xlpm.x="","",_xlpm.x))</f>
        <v>衣索比亞</v>
      </c>
      <c r="F657" s="22" t="str">
        <f>_xlfn.XLOOKUP(E657,menu!$A$2:$A$37,menu!$B$2:$B$37,"")</f>
        <v>Ethiopia</v>
      </c>
      <c r="G657" t="str">
        <f>_xlfn.XLOOKUP(E657,menu!$A$2:$A$37,menu!$C$2:$C$37,"")</f>
        <v>eth</v>
      </c>
      <c r="H657" t="str">
        <f>_xlfn.LET(_xlpm.x,_xlfn.XLOOKUP(_xlfn.XLOOKUP(D657,beans!$A$2:$A$300,beans!$I$2:$I$300),menu!$E$2:$E$20,menu!$F$2:$F$20),IF(_xlpm.x="","",_xlpm.x))</f>
        <v>honey</v>
      </c>
      <c r="I657">
        <v>190</v>
      </c>
      <c r="J657">
        <v>80</v>
      </c>
      <c r="K657">
        <v>35</v>
      </c>
      <c r="L657">
        <v>90</v>
      </c>
      <c r="M657" s="68" t="s">
        <v>1881</v>
      </c>
      <c r="N657">
        <v>86.4</v>
      </c>
      <c r="P657" s="67" t="s">
        <v>1894</v>
      </c>
      <c r="Q657" s="68">
        <v>203.7</v>
      </c>
      <c r="R657" s="67" t="s">
        <v>1895</v>
      </c>
      <c r="S657" s="68">
        <v>216.6</v>
      </c>
      <c r="T657" s="68">
        <f t="shared" si="80"/>
        <v>12.900000000000006</v>
      </c>
      <c r="U657">
        <f t="shared" si="76"/>
        <v>51</v>
      </c>
      <c r="V657">
        <f t="shared" si="81"/>
        <v>15.2</v>
      </c>
      <c r="W657">
        <f t="shared" si="77"/>
        <v>8.27</v>
      </c>
      <c r="X657" s="19">
        <v>45809</v>
      </c>
      <c r="Y657" s="26">
        <v>426</v>
      </c>
      <c r="Z657" s="61">
        <v>0</v>
      </c>
      <c r="AB657" s="28">
        <f t="shared" si="78"/>
        <v>0.1419939577039275</v>
      </c>
      <c r="AE657" s="61" t="str">
        <f t="shared" si="79"/>
        <v/>
      </c>
      <c r="AF657" s="77" t="str">
        <f>_xlfn.XLOOKUP(AD657,menu!$K$2:$K$9,menu!$J$2:$J$9,"",1)</f>
        <v/>
      </c>
      <c r="AG657" s="80" t="str">
        <f>_xlfn.XLOOKUP(AH657,menu!$O$2:$O$9,menu!$H$2:$H$9,"")</f>
        <v/>
      </c>
      <c r="AI657" t="str">
        <f>_xlfn.LET(_xlpm.x,_xlfn.CONCAT(_xlfn.XLOOKUP(D657,beans!$A$2:$A$300,beans!$J$2:$J$300,"")," / ",_xlfn.XLOOKUP(D657,beans!$A$2:$A$300,beans!$K$2:$K$300,"")," - ",_xlfn.XLOOKUP(D657,beans!$A$2:$A$300,beans!$L$2:$L$300,"")),IF(_xlpm.x=" /  - ","",_xlpm.x))</f>
        <v xml:space="preserve">耶加雪菲 / 科克 - </v>
      </c>
      <c r="AJ657" s="23" t="s">
        <v>1923</v>
      </c>
    </row>
    <row r="658" spans="1:36" x14ac:dyDescent="0.3">
      <c r="A658">
        <v>641</v>
      </c>
      <c r="B658">
        <v>496</v>
      </c>
      <c r="D658">
        <v>103</v>
      </c>
      <c r="E658" t="str">
        <f>_xlfn.LET(_xlpm.x,_xlfn.XLOOKUP(D658,beans!$A$2:$A$300,beans!$H$2:$H$300,""),IF(_xlpm.x="","",_xlpm.x))</f>
        <v>薩爾瓦多</v>
      </c>
      <c r="F658" s="22" t="str">
        <f>_xlfn.XLOOKUP(E658,menu!$A$2:$A$37,menu!$B$2:$B$37,"")</f>
        <v>Salvador</v>
      </c>
      <c r="G658" t="str">
        <f>_xlfn.XLOOKUP(E658,menu!$A$2:$A$37,menu!$C$2:$C$37,"")</f>
        <v>slv</v>
      </c>
      <c r="H658" t="str">
        <f>_xlfn.LET(_xlpm.x,_xlfn.XLOOKUP(_xlfn.XLOOKUP(D658,beans!$A$2:$A$300,beans!$I$2:$I$300),menu!$E$2:$E$20,menu!$F$2:$F$20),IF(_xlpm.x="","",_xlpm.x))</f>
        <v>semi-washed</v>
      </c>
      <c r="I658">
        <v>190</v>
      </c>
      <c r="J658">
        <v>80</v>
      </c>
      <c r="K658">
        <v>35</v>
      </c>
      <c r="L658">
        <v>90</v>
      </c>
      <c r="M658" s="68" t="s">
        <v>1896</v>
      </c>
      <c r="N658">
        <v>89.6</v>
      </c>
      <c r="P658" s="67" t="s">
        <v>1897</v>
      </c>
      <c r="Q658" s="68">
        <v>204</v>
      </c>
      <c r="R658" s="67" t="s">
        <v>1898</v>
      </c>
      <c r="S658" s="68">
        <v>220.2</v>
      </c>
      <c r="T658" s="68">
        <f t="shared" si="80"/>
        <v>16.199999999999989</v>
      </c>
      <c r="U658">
        <f t="shared" si="76"/>
        <v>78</v>
      </c>
      <c r="V658">
        <f t="shared" si="81"/>
        <v>12.5</v>
      </c>
      <c r="W658">
        <f t="shared" si="77"/>
        <v>12.15</v>
      </c>
      <c r="X658" s="19">
        <v>45809</v>
      </c>
      <c r="Y658" s="26">
        <v>424.5</v>
      </c>
      <c r="Z658" s="61">
        <v>200</v>
      </c>
      <c r="AB658" s="28">
        <f t="shared" si="78"/>
        <v>0.14415322580645162</v>
      </c>
      <c r="AE658" s="61" t="str">
        <f t="shared" si="79"/>
        <v/>
      </c>
      <c r="AF658" s="77" t="str">
        <f>_xlfn.XLOOKUP(AD658,menu!$K$2:$K$9,menu!$J$2:$J$9,"",1)</f>
        <v/>
      </c>
      <c r="AG658" s="80" t="str">
        <f>_xlfn.XLOOKUP(AH658,menu!$O$2:$O$9,menu!$H$2:$H$9,"")</f>
        <v/>
      </c>
      <c r="AI658" t="str">
        <f>_xlfn.LET(_xlpm.x,_xlfn.CONCAT(_xlfn.XLOOKUP(D658,beans!$A$2:$A$300,beans!$J$2:$J$300,"")," / ",_xlfn.XLOOKUP(D658,beans!$A$2:$A$300,beans!$K$2:$K$300,"")," - ",_xlfn.XLOOKUP(D658,beans!$A$2:$A$300,beans!$L$2:$L$300,"")),IF(_xlpm.x=" /  - ","",_xlpm.x))</f>
        <v xml:space="preserve"> / 巧克力情人 - </v>
      </c>
      <c r="AJ658" s="23" t="s">
        <v>1924</v>
      </c>
    </row>
    <row r="659" spans="1:36" x14ac:dyDescent="0.3">
      <c r="A659">
        <v>642</v>
      </c>
      <c r="B659">
        <v>478.6</v>
      </c>
      <c r="D659">
        <v>100</v>
      </c>
      <c r="E659" t="str">
        <f>_xlfn.LET(_xlpm.x,_xlfn.XLOOKUP(D659,beans!$A$2:$A$300,beans!$H$2:$H$300,""),IF(_xlpm.x="","",_xlpm.x))</f>
        <v>衣索比亞</v>
      </c>
      <c r="F659" s="22" t="str">
        <f>_xlfn.XLOOKUP(E659,menu!$A$2:$A$37,menu!$B$2:$B$37,"")</f>
        <v>Ethiopia</v>
      </c>
      <c r="G659" t="str">
        <f>_xlfn.XLOOKUP(E659,menu!$A$2:$A$37,menu!$C$2:$C$37,"")</f>
        <v>eth</v>
      </c>
      <c r="H659" t="str">
        <f>_xlfn.LET(_xlpm.x,_xlfn.XLOOKUP(_xlfn.XLOOKUP(D659,beans!$A$2:$A$300,beans!$I$2:$I$300),menu!$E$2:$E$20,menu!$F$2:$F$20),IF(_xlpm.x="","",_xlpm.x))</f>
        <v/>
      </c>
      <c r="I659">
        <v>190</v>
      </c>
      <c r="J659">
        <v>80</v>
      </c>
      <c r="K659">
        <v>35</v>
      </c>
      <c r="L659">
        <v>90</v>
      </c>
      <c r="M659" s="68" t="s">
        <v>1881</v>
      </c>
      <c r="N659">
        <v>87</v>
      </c>
      <c r="P659" s="67" t="s">
        <v>1899</v>
      </c>
      <c r="Q659" s="68">
        <v>203.6</v>
      </c>
      <c r="R659" s="67" t="s">
        <v>1900</v>
      </c>
      <c r="S659" s="68">
        <v>216</v>
      </c>
      <c r="T659" s="68">
        <f t="shared" si="80"/>
        <v>12.400000000000006</v>
      </c>
      <c r="U659">
        <f t="shared" si="76"/>
        <v>53</v>
      </c>
      <c r="V659">
        <f t="shared" si="81"/>
        <v>14</v>
      </c>
      <c r="W659">
        <f t="shared" si="77"/>
        <v>8.6</v>
      </c>
      <c r="X659" s="19">
        <v>45809</v>
      </c>
      <c r="Y659" s="26">
        <v>409.8</v>
      </c>
      <c r="Z659" s="61">
        <v>200</v>
      </c>
      <c r="AB659" s="28">
        <f t="shared" si="78"/>
        <v>0.1437526117843711</v>
      </c>
      <c r="AE659" s="61" t="str">
        <f t="shared" si="79"/>
        <v/>
      </c>
      <c r="AF659" s="77" t="str">
        <f>_xlfn.XLOOKUP(AD659,menu!$K$2:$K$9,menu!$J$2:$J$9,"",1)</f>
        <v/>
      </c>
      <c r="AG659" s="80" t="str">
        <f>_xlfn.XLOOKUP(AH659,menu!$O$2:$O$9,menu!$H$2:$H$9,"")</f>
        <v/>
      </c>
      <c r="AI659" t="str">
        <f>_xlfn.LET(_xlpm.x,_xlfn.CONCAT(_xlfn.XLOOKUP(D659,beans!$A$2:$A$300,beans!$J$2:$J$300,"")," / ",_xlfn.XLOOKUP(D659,beans!$A$2:$A$300,beans!$K$2:$K$300,"")," - ",_xlfn.XLOOKUP(D659,beans!$A$2:$A$300,beans!$L$2:$L$300,"")),IF(_xlpm.x=" /  - ","",_xlpm.x))</f>
        <v xml:space="preserve"> / 露西酒香 - </v>
      </c>
      <c r="AJ659" s="23" t="s">
        <v>1924</v>
      </c>
    </row>
    <row r="660" spans="1:36" x14ac:dyDescent="0.3">
      <c r="A660">
        <v>643</v>
      </c>
      <c r="B660">
        <v>496</v>
      </c>
      <c r="D660">
        <v>102</v>
      </c>
      <c r="E660" t="str">
        <f>_xlfn.LET(_xlpm.x,_xlfn.XLOOKUP(D660,beans!$A$2:$A$300,beans!$H$2:$H$300,""),IF(_xlpm.x="","",_xlpm.x))</f>
        <v>哥倫比亞</v>
      </c>
      <c r="F660" s="22" t="str">
        <f>_xlfn.XLOOKUP(E660,menu!$A$2:$A$37,menu!$B$2:$B$37,"")</f>
        <v>Colombia</v>
      </c>
      <c r="G660" t="str">
        <f>_xlfn.XLOOKUP(E660,menu!$A$2:$A$37,menu!$C$2:$C$37,"")</f>
        <v>col</v>
      </c>
      <c r="H660" t="str">
        <f>_xlfn.LET(_xlpm.x,_xlfn.XLOOKUP(_xlfn.XLOOKUP(D660,beans!$A$2:$A$300,beans!$I$2:$I$300),menu!$E$2:$E$20,menu!$F$2:$F$20),IF(_xlpm.x="","",_xlpm.x))</f>
        <v>natural</v>
      </c>
      <c r="I660">
        <v>190</v>
      </c>
      <c r="J660">
        <v>80</v>
      </c>
      <c r="K660">
        <v>35</v>
      </c>
      <c r="L660">
        <v>90</v>
      </c>
      <c r="M660" s="68" t="s">
        <v>1901</v>
      </c>
      <c r="N660">
        <v>84</v>
      </c>
      <c r="P660" s="67" t="s">
        <v>1902</v>
      </c>
      <c r="Q660" s="68">
        <v>205.8</v>
      </c>
      <c r="R660" s="67" t="s">
        <v>1903</v>
      </c>
      <c r="S660" s="68">
        <v>217.1</v>
      </c>
      <c r="T660" s="68">
        <f t="shared" si="80"/>
        <v>11.299999999999983</v>
      </c>
      <c r="U660">
        <f t="shared" si="76"/>
        <v>55</v>
      </c>
      <c r="V660">
        <f t="shared" si="81"/>
        <v>12.3</v>
      </c>
      <c r="W660">
        <f t="shared" si="77"/>
        <v>8.58</v>
      </c>
      <c r="X660" s="19">
        <v>45809</v>
      </c>
      <c r="Y660" s="26">
        <v>428</v>
      </c>
      <c r="Z660" s="61">
        <v>0</v>
      </c>
      <c r="AB660" s="28">
        <f t="shared" si="78"/>
        <v>0.13709677419354838</v>
      </c>
      <c r="AE660" s="61" t="str">
        <f t="shared" si="79"/>
        <v/>
      </c>
      <c r="AF660" s="77" t="str">
        <f>_xlfn.XLOOKUP(AD660,menu!$K$2:$K$9,menu!$J$2:$J$9,"",1)</f>
        <v/>
      </c>
      <c r="AG660" s="80" t="str">
        <f>_xlfn.XLOOKUP(AH660,menu!$O$2:$O$9,menu!$H$2:$H$9,"")</f>
        <v/>
      </c>
      <c r="AI660" t="str">
        <f>_xlfn.LET(_xlpm.x,_xlfn.CONCAT(_xlfn.XLOOKUP(D660,beans!$A$2:$A$300,beans!$J$2:$J$300,"")," / ",_xlfn.XLOOKUP(D660,beans!$A$2:$A$300,beans!$K$2:$K$300,"")," - ",_xlfn.XLOOKUP(D660,beans!$A$2:$A$300,beans!$L$2:$L$300,"")),IF(_xlpm.x=" /  - ","",_xlpm.x))</f>
        <v xml:space="preserve"> / 甜野莓 - </v>
      </c>
      <c r="AJ660" s="23" t="s">
        <v>1924</v>
      </c>
    </row>
    <row r="661" spans="1:36" x14ac:dyDescent="0.3">
      <c r="A661">
        <v>644</v>
      </c>
      <c r="B661">
        <v>500</v>
      </c>
      <c r="D661">
        <v>59</v>
      </c>
      <c r="E661" t="str">
        <f>_xlfn.LET(_xlpm.x,_xlfn.XLOOKUP(D661,beans!$A$2:$A$300,beans!$H$2:$H$300,""),IF(_xlpm.x="","",_xlpm.x))</f>
        <v>哥倫比亞</v>
      </c>
      <c r="F661" s="22" t="str">
        <f>_xlfn.XLOOKUP(E661,menu!$A$2:$A$37,menu!$B$2:$B$37,"")</f>
        <v>Colombia</v>
      </c>
      <c r="G661" t="str">
        <f>_xlfn.XLOOKUP(E661,menu!$A$2:$A$37,menu!$C$2:$C$37,"")</f>
        <v>col</v>
      </c>
      <c r="H661" t="str">
        <f>_xlfn.LET(_xlpm.x,_xlfn.XLOOKUP(_xlfn.XLOOKUP(D661,beans!$A$2:$A$300,beans!$I$2:$I$300),menu!$E$2:$E$20,menu!$F$2:$F$20),IF(_xlpm.x="","",_xlpm.x))</f>
        <v>Anaerobic Natural</v>
      </c>
      <c r="I661">
        <v>190</v>
      </c>
      <c r="J661">
        <v>80</v>
      </c>
      <c r="K661">
        <v>35</v>
      </c>
      <c r="L661">
        <v>90</v>
      </c>
      <c r="M661" s="68" t="s">
        <v>1889</v>
      </c>
      <c r="N661">
        <v>88.7</v>
      </c>
      <c r="P661" s="67" t="s">
        <v>1904</v>
      </c>
      <c r="Q661" s="68">
        <v>205</v>
      </c>
      <c r="R661" s="67" t="s">
        <v>1905</v>
      </c>
      <c r="S661" s="68">
        <v>212.4</v>
      </c>
      <c r="T661" s="68">
        <f t="shared" si="80"/>
        <v>7.4000000000000057</v>
      </c>
      <c r="U661">
        <f t="shared" si="76"/>
        <v>34</v>
      </c>
      <c r="V661">
        <f t="shared" si="81"/>
        <v>13.1</v>
      </c>
      <c r="W661">
        <f t="shared" si="77"/>
        <v>5.79</v>
      </c>
      <c r="X661" s="19">
        <v>45809</v>
      </c>
      <c r="Y661" s="26">
        <v>441.8</v>
      </c>
      <c r="Z661" s="61">
        <v>0</v>
      </c>
      <c r="AB661" s="28">
        <f t="shared" si="78"/>
        <v>0.11639999999999998</v>
      </c>
      <c r="AE661" s="61" t="str">
        <f t="shared" si="79"/>
        <v/>
      </c>
      <c r="AF661" s="77" t="str">
        <f>_xlfn.XLOOKUP(AD661,menu!$K$2:$K$9,menu!$J$2:$J$9,"",1)</f>
        <v/>
      </c>
      <c r="AG661" s="80" t="str">
        <f>_xlfn.XLOOKUP(AH661,menu!$O$2:$O$9,menu!$H$2:$H$9,"")</f>
        <v/>
      </c>
      <c r="AI661" t="str">
        <f>_xlfn.LET(_xlpm.x,_xlfn.CONCAT(_xlfn.XLOOKUP(D661,beans!$A$2:$A$300,beans!$J$2:$J$300,"")," / ",_xlfn.XLOOKUP(D661,beans!$A$2:$A$300,beans!$K$2:$K$300,"")," - ",_xlfn.XLOOKUP(D661,beans!$A$2:$A$300,beans!$L$2:$L$300,"")),IF(_xlpm.x=" /  - ","",_xlpm.x))</f>
        <v>金巴亞 金迪奧 / El Danubio Estate 粉桃甜心 - 卡杜拉</v>
      </c>
      <c r="AJ661" s="23" t="s">
        <v>1925</v>
      </c>
    </row>
    <row r="662" spans="1:36" x14ac:dyDescent="0.3">
      <c r="A662">
        <v>645</v>
      </c>
      <c r="B662">
        <v>478.8</v>
      </c>
      <c r="D662">
        <v>59</v>
      </c>
      <c r="E662" t="str">
        <f>_xlfn.LET(_xlpm.x,_xlfn.XLOOKUP(D662,beans!$A$2:$A$300,beans!$H$2:$H$300,""),IF(_xlpm.x="","",_xlpm.x))</f>
        <v>哥倫比亞</v>
      </c>
      <c r="F662" s="22" t="str">
        <f>_xlfn.XLOOKUP(E662,menu!$A$2:$A$37,menu!$B$2:$B$37,"")</f>
        <v>Colombia</v>
      </c>
      <c r="G662" t="str">
        <f>_xlfn.XLOOKUP(E662,menu!$A$2:$A$37,menu!$C$2:$C$37,"")</f>
        <v>col</v>
      </c>
      <c r="H662" t="str">
        <f>_xlfn.LET(_xlpm.x,_xlfn.XLOOKUP(_xlfn.XLOOKUP(D662,beans!$A$2:$A$300,beans!$I$2:$I$300),menu!$E$2:$E$20,menu!$F$2:$F$20),IF(_xlpm.x="","",_xlpm.x))</f>
        <v>Anaerobic Natural</v>
      </c>
      <c r="I662">
        <v>190</v>
      </c>
      <c r="J662">
        <v>80</v>
      </c>
      <c r="K662">
        <v>35</v>
      </c>
      <c r="L662">
        <v>90</v>
      </c>
      <c r="M662" s="68" t="s">
        <v>1906</v>
      </c>
      <c r="N662">
        <v>87.6</v>
      </c>
      <c r="P662" s="67" t="s">
        <v>1897</v>
      </c>
      <c r="Q662" s="68">
        <v>204.7</v>
      </c>
      <c r="R662" s="67" t="s">
        <v>1907</v>
      </c>
      <c r="S662" s="68">
        <v>214.3</v>
      </c>
      <c r="T662" s="68">
        <f t="shared" si="80"/>
        <v>9.6000000000000227</v>
      </c>
      <c r="U662">
        <f t="shared" si="76"/>
        <v>42</v>
      </c>
      <c r="V662">
        <f t="shared" si="81"/>
        <v>13.7</v>
      </c>
      <c r="W662">
        <f t="shared" si="77"/>
        <v>6.93</v>
      </c>
      <c r="X662" s="19">
        <v>45809</v>
      </c>
      <c r="Y662" s="26">
        <v>420</v>
      </c>
      <c r="Z662" s="61">
        <v>0</v>
      </c>
      <c r="AB662" s="28">
        <f t="shared" si="78"/>
        <v>0.12280701754385967</v>
      </c>
      <c r="AE662" s="61" t="str">
        <f t="shared" si="79"/>
        <v/>
      </c>
      <c r="AF662" s="77" t="str">
        <f>_xlfn.XLOOKUP(AD662,menu!$K$2:$K$9,menu!$J$2:$J$9,"",1)</f>
        <v/>
      </c>
      <c r="AG662" s="80" t="str">
        <f>_xlfn.XLOOKUP(AH662,menu!$O$2:$O$9,menu!$H$2:$H$9,"")</f>
        <v/>
      </c>
      <c r="AI662" t="str">
        <f>_xlfn.LET(_xlpm.x,_xlfn.CONCAT(_xlfn.XLOOKUP(D662,beans!$A$2:$A$300,beans!$J$2:$J$300,"")," / ",_xlfn.XLOOKUP(D662,beans!$A$2:$A$300,beans!$K$2:$K$300,"")," - ",_xlfn.XLOOKUP(D662,beans!$A$2:$A$300,beans!$L$2:$L$300,"")),IF(_xlpm.x=" /  - ","",_xlpm.x))</f>
        <v>金巴亞 金迪奧 / El Danubio Estate 粉桃甜心 - 卡杜拉</v>
      </c>
      <c r="AJ662" s="23" t="s">
        <v>1925</v>
      </c>
    </row>
    <row r="663" spans="1:36" x14ac:dyDescent="0.3">
      <c r="A663">
        <v>646</v>
      </c>
      <c r="B663">
        <v>492.3</v>
      </c>
      <c r="D663">
        <v>79</v>
      </c>
      <c r="E663" t="str">
        <f>_xlfn.LET(_xlpm.x,_xlfn.XLOOKUP(D663,beans!$A$2:$A$300,beans!$H$2:$H$300,""),IF(_xlpm.x="","",_xlpm.x))</f>
        <v>衣索比亞</v>
      </c>
      <c r="F663" s="22" t="str">
        <f>_xlfn.XLOOKUP(E663,menu!$A$2:$A$37,menu!$B$2:$B$37,"")</f>
        <v>Ethiopia</v>
      </c>
      <c r="G663" t="str">
        <f>_xlfn.XLOOKUP(E663,menu!$A$2:$A$37,menu!$C$2:$C$37,"")</f>
        <v>eth</v>
      </c>
      <c r="H663" t="str">
        <f>_xlfn.LET(_xlpm.x,_xlfn.XLOOKUP(_xlfn.XLOOKUP(D663,beans!$A$2:$A$300,beans!$I$2:$I$300),menu!$E$2:$E$20,menu!$F$2:$F$20),IF(_xlpm.x="","",_xlpm.x))</f>
        <v>natural</v>
      </c>
      <c r="I663">
        <v>190</v>
      </c>
      <c r="J663">
        <v>80</v>
      </c>
      <c r="K663">
        <v>35</v>
      </c>
      <c r="L663">
        <v>90</v>
      </c>
      <c r="M663" s="68" t="s">
        <v>1908</v>
      </c>
      <c r="N663">
        <v>84.1</v>
      </c>
      <c r="P663" s="67" t="s">
        <v>1909</v>
      </c>
      <c r="Q663" s="68">
        <v>204.3</v>
      </c>
      <c r="R663" s="67" t="s">
        <v>1910</v>
      </c>
      <c r="S663" s="68">
        <v>219.6</v>
      </c>
      <c r="T663" s="68">
        <f t="shared" si="80"/>
        <v>15.299999999999983</v>
      </c>
      <c r="U663">
        <f t="shared" si="76"/>
        <v>66</v>
      </c>
      <c r="V663">
        <f t="shared" si="81"/>
        <v>13.9</v>
      </c>
      <c r="W663">
        <f t="shared" si="77"/>
        <v>10.050000000000001</v>
      </c>
      <c r="X663" s="19">
        <v>45809</v>
      </c>
      <c r="Y663" s="26">
        <v>420.5</v>
      </c>
      <c r="Z663" s="61">
        <v>0</v>
      </c>
      <c r="AB663" s="28">
        <f t="shared" si="78"/>
        <v>0.1458460288442007</v>
      </c>
      <c r="AE663" s="61" t="str">
        <f t="shared" si="79"/>
        <v/>
      </c>
      <c r="AF663" s="77" t="str">
        <f>_xlfn.XLOOKUP(AD663,menu!$K$2:$K$9,menu!$J$2:$J$9,"",1)</f>
        <v/>
      </c>
      <c r="AG663" s="80" t="str">
        <f>_xlfn.XLOOKUP(AH663,menu!$O$2:$O$9,menu!$H$2:$H$9,"")</f>
        <v/>
      </c>
      <c r="AI663" t="str">
        <f>_xlfn.LET(_xlpm.x,_xlfn.CONCAT(_xlfn.XLOOKUP(D663,beans!$A$2:$A$300,beans!$J$2:$J$300,"")," / ",_xlfn.XLOOKUP(D663,beans!$A$2:$A$300,beans!$K$2:$K$300,"")," - ",_xlfn.XLOOKUP(D663,beans!$A$2:$A$300,beans!$L$2:$L$300,"")),IF(_xlpm.x=" /  - ","",_xlpm.x))</f>
        <v xml:space="preserve">古吉 烏拉嘎 / 所羅門 - </v>
      </c>
      <c r="AJ663" s="23" t="s">
        <v>1926</v>
      </c>
    </row>
    <row r="664" spans="1:36" x14ac:dyDescent="0.3">
      <c r="A664">
        <v>647</v>
      </c>
      <c r="B664">
        <v>488</v>
      </c>
      <c r="D664">
        <v>85</v>
      </c>
      <c r="E664" t="str">
        <f>_xlfn.LET(_xlpm.x,_xlfn.XLOOKUP(D664,beans!$A$2:$A$300,beans!$H$2:$H$300,""),IF(_xlpm.x="","",_xlpm.x))</f>
        <v>衣索比亞</v>
      </c>
      <c r="F664" s="22" t="str">
        <f>_xlfn.XLOOKUP(E664,menu!$A$2:$A$37,menu!$B$2:$B$37,"")</f>
        <v>Ethiopia</v>
      </c>
      <c r="G664" t="str">
        <f>_xlfn.XLOOKUP(E664,menu!$A$2:$A$37,menu!$C$2:$C$37,"")</f>
        <v>eth</v>
      </c>
      <c r="H664" t="str">
        <f>_xlfn.LET(_xlpm.x,_xlfn.XLOOKUP(_xlfn.XLOOKUP(D664,beans!$A$2:$A$300,beans!$I$2:$I$300),menu!$E$2:$E$20,menu!$F$2:$F$20),IF(_xlpm.x="","",_xlpm.x))</f>
        <v>natural</v>
      </c>
      <c r="I664">
        <v>190</v>
      </c>
      <c r="J664">
        <v>80</v>
      </c>
      <c r="K664">
        <v>35</v>
      </c>
      <c r="L664">
        <v>90</v>
      </c>
      <c r="M664" s="68" t="s">
        <v>1901</v>
      </c>
      <c r="N664">
        <v>85</v>
      </c>
      <c r="P664" s="67" t="s">
        <v>1911</v>
      </c>
      <c r="Q664" s="68">
        <v>202.8</v>
      </c>
      <c r="R664" s="67" t="s">
        <v>1903</v>
      </c>
      <c r="S664" s="68">
        <v>220.3</v>
      </c>
      <c r="T664" s="68">
        <f t="shared" si="80"/>
        <v>17.5</v>
      </c>
      <c r="U664">
        <f t="shared" si="76"/>
        <v>69</v>
      </c>
      <c r="V664">
        <f t="shared" si="81"/>
        <v>15.2</v>
      </c>
      <c r="W664">
        <f t="shared" si="77"/>
        <v>10.76</v>
      </c>
      <c r="X664" s="19">
        <v>45809</v>
      </c>
      <c r="Y664" s="26">
        <v>416.3</v>
      </c>
      <c r="Z664" s="61">
        <v>0</v>
      </c>
      <c r="AB664" s="28">
        <f t="shared" si="78"/>
        <v>0.1469262295081967</v>
      </c>
      <c r="AE664" s="61" t="str">
        <f t="shared" si="79"/>
        <v/>
      </c>
      <c r="AF664" s="77" t="str">
        <f>_xlfn.XLOOKUP(AD664,menu!$K$2:$K$9,menu!$J$2:$J$9,"",1)</f>
        <v/>
      </c>
      <c r="AG664" s="80" t="str">
        <f>_xlfn.XLOOKUP(AH664,menu!$O$2:$O$9,menu!$H$2:$H$9,"")</f>
        <v/>
      </c>
      <c r="AI664" t="str">
        <f>_xlfn.LET(_xlpm.x,_xlfn.CONCAT(_xlfn.XLOOKUP(D664,beans!$A$2:$A$300,beans!$J$2:$J$300,"")," / ",_xlfn.XLOOKUP(D664,beans!$A$2:$A$300,beans!$K$2:$K$300,"")," - ",_xlfn.XLOOKUP(D664,beans!$A$2:$A$300,beans!$L$2:$L$300,"")),IF(_xlpm.x=" /  - ","",_xlpm.x))</f>
        <v xml:space="preserve">古吉 烏拉嘎 / 寇巴 - </v>
      </c>
      <c r="AJ664" s="23" t="s">
        <v>1926</v>
      </c>
    </row>
    <row r="665" spans="1:36" x14ac:dyDescent="0.3">
      <c r="A665">
        <v>648</v>
      </c>
      <c r="B665">
        <v>491.7</v>
      </c>
      <c r="D665">
        <v>78</v>
      </c>
      <c r="E665" t="str">
        <f>_xlfn.LET(_xlpm.x,_xlfn.XLOOKUP(D665,beans!$A$2:$A$300,beans!$H$2:$H$300,""),IF(_xlpm.x="","",_xlpm.x))</f>
        <v>衣索比亞</v>
      </c>
      <c r="F665" s="22" t="str">
        <f>_xlfn.XLOOKUP(E665,menu!$A$2:$A$37,menu!$B$2:$B$37,"")</f>
        <v>Ethiopia</v>
      </c>
      <c r="G665" t="str">
        <f>_xlfn.XLOOKUP(E665,menu!$A$2:$A$37,menu!$C$2:$C$37,"")</f>
        <v>eth</v>
      </c>
      <c r="H665" t="str">
        <f>_xlfn.LET(_xlpm.x,_xlfn.XLOOKUP(_xlfn.XLOOKUP(D665,beans!$A$2:$A$300,beans!$I$2:$I$300),menu!$E$2:$E$20,menu!$F$2:$F$20),IF(_xlpm.x="","",_xlpm.x))</f>
        <v>honey</v>
      </c>
      <c r="I665">
        <v>190</v>
      </c>
      <c r="J665">
        <v>80</v>
      </c>
      <c r="K665">
        <v>35</v>
      </c>
      <c r="L665">
        <v>90</v>
      </c>
      <c r="M665" s="68" t="s">
        <v>1912</v>
      </c>
      <c r="N665">
        <v>84.9</v>
      </c>
      <c r="P665" s="67" t="s">
        <v>1894</v>
      </c>
      <c r="Q665" s="68">
        <v>207.3</v>
      </c>
      <c r="R665" s="67" t="s">
        <v>1913</v>
      </c>
      <c r="S665" s="68">
        <v>219.2</v>
      </c>
      <c r="T665" s="68">
        <f t="shared" si="80"/>
        <v>11.899999999999977</v>
      </c>
      <c r="U665">
        <f t="shared" si="76"/>
        <v>46</v>
      </c>
      <c r="V665">
        <f t="shared" si="81"/>
        <v>15.5</v>
      </c>
      <c r="W665">
        <f t="shared" si="77"/>
        <v>7.52</v>
      </c>
      <c r="X665" s="19">
        <v>45809</v>
      </c>
      <c r="Y665" s="26">
        <v>420</v>
      </c>
      <c r="Z665" s="61">
        <v>0</v>
      </c>
      <c r="AB665" s="28">
        <f t="shared" si="78"/>
        <v>0.14582062233068943</v>
      </c>
      <c r="AE665" s="61" t="str">
        <f t="shared" si="79"/>
        <v/>
      </c>
      <c r="AF665" s="77" t="str">
        <f>_xlfn.XLOOKUP(AD665,menu!$K$2:$K$9,menu!$J$2:$J$9,"",1)</f>
        <v/>
      </c>
      <c r="AG665" s="80" t="str">
        <f>_xlfn.XLOOKUP(AH665,menu!$O$2:$O$9,menu!$H$2:$H$9,"")</f>
        <v/>
      </c>
      <c r="AI665" t="str">
        <f>_xlfn.LET(_xlpm.x,_xlfn.CONCAT(_xlfn.XLOOKUP(D665,beans!$A$2:$A$300,beans!$J$2:$J$300,"")," / ",_xlfn.XLOOKUP(D665,beans!$A$2:$A$300,beans!$K$2:$K$300,"")," - ",_xlfn.XLOOKUP(D665,beans!$A$2:$A$300,beans!$L$2:$L$300,"")),IF(_xlpm.x=" /  - ","",_xlpm.x))</f>
        <v xml:space="preserve">耶加雪菲 / 科克 - </v>
      </c>
      <c r="AJ665" s="23" t="s">
        <v>1941</v>
      </c>
    </row>
    <row r="666" spans="1:36" x14ac:dyDescent="0.3">
      <c r="A666">
        <v>649</v>
      </c>
      <c r="B666">
        <v>496.3</v>
      </c>
      <c r="D666">
        <v>86</v>
      </c>
      <c r="E666" t="str">
        <f>_xlfn.LET(_xlpm.x,_xlfn.XLOOKUP(D666,beans!$A$2:$A$300,beans!$H$2:$H$300,""),IF(_xlpm.x="","",_xlpm.x))</f>
        <v>衣索比亞</v>
      </c>
      <c r="F666" s="22" t="str">
        <f>_xlfn.XLOOKUP(E666,menu!$A$2:$A$37,menu!$B$2:$B$37,"")</f>
        <v>Ethiopia</v>
      </c>
      <c r="G666" t="str">
        <f>_xlfn.XLOOKUP(E666,menu!$A$2:$A$37,menu!$C$2:$C$37,"")</f>
        <v>eth</v>
      </c>
      <c r="H666" t="str">
        <f>_xlfn.LET(_xlpm.x,_xlfn.XLOOKUP(_xlfn.XLOOKUP(D666,beans!$A$2:$A$300,beans!$I$2:$I$300),menu!$E$2:$E$20,menu!$F$2:$F$20),IF(_xlpm.x="","",_xlpm.x))</f>
        <v>natural</v>
      </c>
      <c r="I666">
        <v>190</v>
      </c>
      <c r="J666">
        <v>80</v>
      </c>
      <c r="K666">
        <v>35</v>
      </c>
      <c r="L666">
        <v>90</v>
      </c>
      <c r="M666" s="68" t="s">
        <v>1908</v>
      </c>
      <c r="N666">
        <v>86.4</v>
      </c>
      <c r="P666" s="67" t="s">
        <v>1914</v>
      </c>
      <c r="Q666" s="68">
        <v>196.6</v>
      </c>
      <c r="R666" s="67" t="s">
        <v>1915</v>
      </c>
      <c r="S666" s="68">
        <v>220.8</v>
      </c>
      <c r="T666" s="68">
        <f t="shared" si="80"/>
        <v>24.200000000000017</v>
      </c>
      <c r="U666">
        <f t="shared" si="76"/>
        <v>90</v>
      </c>
      <c r="V666">
        <f t="shared" si="81"/>
        <v>16.100000000000001</v>
      </c>
      <c r="W666">
        <f t="shared" si="77"/>
        <v>14.47</v>
      </c>
      <c r="X666" s="19">
        <v>45809</v>
      </c>
      <c r="Y666" s="26">
        <v>423.6</v>
      </c>
      <c r="Z666" s="61">
        <v>0</v>
      </c>
      <c r="AB666" s="28">
        <f t="shared" si="78"/>
        <v>0.14648398146282487</v>
      </c>
      <c r="AE666" s="61" t="str">
        <f t="shared" si="79"/>
        <v/>
      </c>
      <c r="AF666" s="77" t="str">
        <f>_xlfn.XLOOKUP(AD666,menu!$K$2:$K$9,menu!$J$2:$J$9,"",1)</f>
        <v/>
      </c>
      <c r="AG666" s="80" t="str">
        <f>_xlfn.XLOOKUP(AH666,menu!$O$2:$O$9,menu!$H$2:$H$9,"")</f>
        <v/>
      </c>
      <c r="AI666" t="str">
        <f>_xlfn.LET(_xlpm.x,_xlfn.CONCAT(_xlfn.XLOOKUP(D666,beans!$A$2:$A$300,beans!$J$2:$J$300,"")," / ",_xlfn.XLOOKUP(D666,beans!$A$2:$A$300,beans!$K$2:$K$300,"")," - ",_xlfn.XLOOKUP(D666,beans!$A$2:$A$300,beans!$L$2:$L$300,"")),IF(_xlpm.x=" /  - ","",_xlpm.x))</f>
        <v xml:space="preserve">耶加雪菲 / (沃卡)凱菲亞歐蓓絲  Kefeyalew Obese - </v>
      </c>
      <c r="AJ666" s="23" t="s">
        <v>1927</v>
      </c>
    </row>
    <row r="667" spans="1:36" x14ac:dyDescent="0.3">
      <c r="A667">
        <v>650</v>
      </c>
      <c r="B667">
        <v>246.6</v>
      </c>
      <c r="D667">
        <v>86</v>
      </c>
      <c r="E667" t="str">
        <f>_xlfn.LET(_xlpm.x,_xlfn.XLOOKUP(D667,beans!$A$2:$A$300,beans!$H$2:$H$300,""),IF(_xlpm.x="","",_xlpm.x))</f>
        <v>衣索比亞</v>
      </c>
      <c r="F667" s="22" t="str">
        <f>_xlfn.XLOOKUP(E667,menu!$A$2:$A$37,menu!$B$2:$B$37,"")</f>
        <v>Ethiopia</v>
      </c>
      <c r="G667" t="str">
        <f>_xlfn.XLOOKUP(E667,menu!$A$2:$A$37,menu!$C$2:$C$37,"")</f>
        <v>eth</v>
      </c>
      <c r="H667" t="str">
        <f>_xlfn.LET(_xlpm.x,_xlfn.XLOOKUP(_xlfn.XLOOKUP(D667,beans!$A$2:$A$300,beans!$I$2:$I$300),menu!$E$2:$E$20,menu!$F$2:$F$20),IF(_xlpm.x="","",_xlpm.x))</f>
        <v>natural</v>
      </c>
      <c r="I667">
        <v>180</v>
      </c>
      <c r="J667">
        <v>75</v>
      </c>
      <c r="K667">
        <v>35</v>
      </c>
      <c r="L667">
        <v>75</v>
      </c>
      <c r="M667" s="68" t="s">
        <v>1916</v>
      </c>
      <c r="N667">
        <v>85.6</v>
      </c>
      <c r="P667" s="67" t="s">
        <v>1917</v>
      </c>
      <c r="Q667" s="68">
        <v>208</v>
      </c>
      <c r="R667" s="67" t="s">
        <v>1903</v>
      </c>
      <c r="S667" s="68">
        <v>221.4</v>
      </c>
      <c r="T667" s="68">
        <f t="shared" si="80"/>
        <v>13.400000000000006</v>
      </c>
      <c r="U667">
        <f t="shared" si="76"/>
        <v>46</v>
      </c>
      <c r="V667">
        <f t="shared" si="81"/>
        <v>17.5</v>
      </c>
      <c r="W667">
        <f t="shared" si="77"/>
        <v>7.18</v>
      </c>
      <c r="X667" s="19">
        <v>45809</v>
      </c>
      <c r="Y667" s="26">
        <v>211.4</v>
      </c>
      <c r="Z667" s="61">
        <v>0</v>
      </c>
      <c r="AB667" s="28">
        <f t="shared" si="78"/>
        <v>0.14274128142741277</v>
      </c>
      <c r="AE667" s="61" t="str">
        <f t="shared" si="79"/>
        <v/>
      </c>
      <c r="AF667" s="77" t="str">
        <f>_xlfn.XLOOKUP(AD667,menu!$K$2:$K$9,menu!$J$2:$J$9,"",1)</f>
        <v/>
      </c>
      <c r="AG667" s="80" t="str">
        <f>_xlfn.XLOOKUP(AH667,menu!$O$2:$O$9,menu!$H$2:$H$9,"")</f>
        <v/>
      </c>
      <c r="AI667" t="str">
        <f>_xlfn.LET(_xlpm.x,_xlfn.CONCAT(_xlfn.XLOOKUP(D667,beans!$A$2:$A$300,beans!$J$2:$J$300,"")," / ",_xlfn.XLOOKUP(D667,beans!$A$2:$A$300,beans!$K$2:$K$300,"")," - ",_xlfn.XLOOKUP(D667,beans!$A$2:$A$300,beans!$L$2:$L$300,"")),IF(_xlpm.x=" /  - ","",_xlpm.x))</f>
        <v xml:space="preserve">耶加雪菲 / (沃卡)凱菲亞歐蓓絲  Kefeyalew Obese - </v>
      </c>
      <c r="AJ667" s="23" t="s">
        <v>1927</v>
      </c>
    </row>
    <row r="668" spans="1:36" x14ac:dyDescent="0.3">
      <c r="A668">
        <v>651</v>
      </c>
      <c r="B668">
        <v>497</v>
      </c>
      <c r="D668">
        <v>107</v>
      </c>
      <c r="E668" t="str">
        <f>_xlfn.LET(_xlpm.x,_xlfn.XLOOKUP(D668,beans!$A$2:$A$300,beans!$H$2:$H$300,""),IF(_xlpm.x="","",_xlpm.x))</f>
        <v>衣索比亞</v>
      </c>
      <c r="F668" s="22" t="str">
        <f>_xlfn.XLOOKUP(E668,menu!$A$2:$A$37,menu!$B$2:$B$37,"")</f>
        <v>Ethiopia</v>
      </c>
      <c r="G668" t="str">
        <f>_xlfn.XLOOKUP(E668,menu!$A$2:$A$37,menu!$C$2:$C$37,"")</f>
        <v>eth</v>
      </c>
      <c r="H668" t="str">
        <f>_xlfn.LET(_xlpm.x,_xlfn.XLOOKUP(_xlfn.XLOOKUP(D668,beans!$A$2:$A$300,beans!$I$2:$I$300),menu!$E$2:$E$20,menu!$F$2:$F$20),IF(_xlpm.x="","",_xlpm.x))</f>
        <v>washed</v>
      </c>
      <c r="I668">
        <v>190</v>
      </c>
      <c r="J668">
        <v>75</v>
      </c>
      <c r="K668">
        <v>35</v>
      </c>
      <c r="L668">
        <v>90</v>
      </c>
      <c r="M668" s="68" t="s">
        <v>1957</v>
      </c>
      <c r="N668">
        <v>81.8</v>
      </c>
      <c r="P668" s="67" t="s">
        <v>1958</v>
      </c>
      <c r="Q668" s="68">
        <v>199.4</v>
      </c>
      <c r="R668" s="67" t="s">
        <v>1959</v>
      </c>
      <c r="S668" s="68">
        <v>220.3</v>
      </c>
      <c r="T668" s="68">
        <f t="shared" si="80"/>
        <v>20.900000000000006</v>
      </c>
      <c r="U668">
        <f t="shared" si="76"/>
        <v>122</v>
      </c>
      <c r="V668">
        <f t="shared" si="81"/>
        <v>10.3</v>
      </c>
      <c r="W668">
        <f t="shared" si="77"/>
        <v>17.13</v>
      </c>
      <c r="X668" s="19">
        <v>45837</v>
      </c>
      <c r="Y668" s="26">
        <v>429.4</v>
      </c>
      <c r="Z668" s="61">
        <v>0</v>
      </c>
      <c r="AB668" s="28">
        <f t="shared" si="78"/>
        <v>0.13601609657947691</v>
      </c>
      <c r="AE668" s="61" t="str">
        <f t="shared" si="79"/>
        <v/>
      </c>
      <c r="AF668" s="77" t="str">
        <f>_xlfn.XLOOKUP(AD668,menu!$K$2:$K$9,menu!$J$2:$J$9,"",1)</f>
        <v/>
      </c>
      <c r="AG668" s="80" t="str">
        <f>_xlfn.XLOOKUP(AH668,menu!$O$2:$O$9,menu!$H$2:$H$9,"")</f>
        <v/>
      </c>
      <c r="AI668" t="str">
        <f>_xlfn.LET(_xlpm.x,_xlfn.CONCAT(_xlfn.XLOOKUP(D668,beans!$A$2:$A$300,beans!$J$2:$J$300,"")," / ",_xlfn.XLOOKUP(D668,beans!$A$2:$A$300,beans!$K$2:$K$300,"")," - ",_xlfn.XLOOKUP(D668,beans!$A$2:$A$300,beans!$L$2:$L$300,"")),IF(_xlpm.x=" /  - ","",_xlpm.x))</f>
        <v xml:space="preserve">南希寶 / Kasim - </v>
      </c>
      <c r="AJ668" s="23" t="s">
        <v>1960</v>
      </c>
    </row>
    <row r="669" spans="1:36" x14ac:dyDescent="0.3">
      <c r="A669">
        <v>652</v>
      </c>
      <c r="B669">
        <v>496</v>
      </c>
      <c r="D669">
        <v>106</v>
      </c>
      <c r="E669" t="str">
        <f>_xlfn.LET(_xlpm.x,_xlfn.XLOOKUP(D669,beans!$A$2:$A$300,beans!$H$2:$H$300,""),IF(_xlpm.x="","",_xlpm.x))</f>
        <v>衣索比亞</v>
      </c>
      <c r="F669" s="22" t="str">
        <f>_xlfn.XLOOKUP(E669,menu!$A$2:$A$37,menu!$B$2:$B$37,"")</f>
        <v>Ethiopia</v>
      </c>
      <c r="G669" t="str">
        <f>_xlfn.XLOOKUP(E669,menu!$A$2:$A$37,menu!$C$2:$C$37,"")</f>
        <v>eth</v>
      </c>
      <c r="H669" t="str">
        <f>_xlfn.LET(_xlpm.x,_xlfn.XLOOKUP(_xlfn.XLOOKUP(D669,beans!$A$2:$A$300,beans!$I$2:$I$300),menu!$E$2:$E$20,menu!$F$2:$F$20),IF(_xlpm.x="","",_xlpm.x))</f>
        <v>washed</v>
      </c>
      <c r="I669">
        <v>190</v>
      </c>
      <c r="J669">
        <v>75</v>
      </c>
      <c r="K669">
        <v>35</v>
      </c>
      <c r="L669">
        <v>90</v>
      </c>
      <c r="M669" s="68" t="s">
        <v>1961</v>
      </c>
      <c r="N669">
        <v>80.099999999999994</v>
      </c>
      <c r="P669" s="67" t="s">
        <v>1962</v>
      </c>
      <c r="Q669" s="68">
        <v>198.2</v>
      </c>
      <c r="R669" s="67" t="s">
        <v>1963</v>
      </c>
      <c r="S669" s="68">
        <v>220.4</v>
      </c>
      <c r="T669" s="68">
        <f t="shared" si="80"/>
        <v>22.200000000000017</v>
      </c>
      <c r="U669">
        <f t="shared" si="76"/>
        <v>112</v>
      </c>
      <c r="V669">
        <f t="shared" si="81"/>
        <v>11.9</v>
      </c>
      <c r="W669">
        <f t="shared" si="77"/>
        <v>15.98</v>
      </c>
      <c r="X669" s="19">
        <v>45837</v>
      </c>
      <c r="Y669" s="26">
        <v>423</v>
      </c>
      <c r="Z669" s="61">
        <v>0</v>
      </c>
      <c r="AB669" s="28">
        <f t="shared" si="78"/>
        <v>0.14717741935483872</v>
      </c>
      <c r="AE669" s="61" t="str">
        <f t="shared" si="79"/>
        <v/>
      </c>
      <c r="AF669" s="77" t="str">
        <f>_xlfn.XLOOKUP(AD669,menu!$K$2:$K$9,menu!$J$2:$J$9,"",1)</f>
        <v/>
      </c>
      <c r="AG669" s="80" t="str">
        <f>_xlfn.XLOOKUP(AH669,menu!$O$2:$O$9,menu!$H$2:$H$9,"")</f>
        <v/>
      </c>
      <c r="AI669" t="str">
        <f>_xlfn.LET(_xlpm.x,_xlfn.CONCAT(_xlfn.XLOOKUP(D669,beans!$A$2:$A$300,beans!$J$2:$J$300,"")," / ",_xlfn.XLOOKUP(D669,beans!$A$2:$A$300,beans!$K$2:$K$300,"")," - ",_xlfn.XLOOKUP(D669,beans!$A$2:$A$300,beans!$L$2:$L$300,"")),IF(_xlpm.x=" /  - ","",_xlpm.x))</f>
        <v xml:space="preserve">耶加雪菲 / 橋巴 - </v>
      </c>
      <c r="AJ669" s="23" t="s">
        <v>1960</v>
      </c>
    </row>
    <row r="670" spans="1:36" x14ac:dyDescent="0.3">
      <c r="A670">
        <v>653</v>
      </c>
      <c r="B670">
        <v>500</v>
      </c>
      <c r="D670">
        <v>112</v>
      </c>
      <c r="E670" t="str">
        <f>_xlfn.LET(_xlpm.x,_xlfn.XLOOKUP(D670,beans!$A$2:$A$300,beans!$H$2:$H$300,""),IF(_xlpm.x="","",_xlpm.x))</f>
        <v>衣索比亞</v>
      </c>
      <c r="F670" s="22" t="str">
        <f>_xlfn.XLOOKUP(E670,menu!$A$2:$A$37,menu!$B$2:$B$37,"")</f>
        <v>Ethiopia</v>
      </c>
      <c r="G670" t="str">
        <f>_xlfn.XLOOKUP(E670,menu!$A$2:$A$37,menu!$C$2:$C$37,"")</f>
        <v>eth</v>
      </c>
      <c r="H670" t="str">
        <f>_xlfn.LET(_xlpm.x,_xlfn.XLOOKUP(_xlfn.XLOOKUP(D670,beans!$A$2:$A$300,beans!$I$2:$I$300),menu!$E$2:$E$20,menu!$F$2:$F$20),IF(_xlpm.x="","",_xlpm.x))</f>
        <v>washed</v>
      </c>
      <c r="I670">
        <v>190</v>
      </c>
      <c r="J670">
        <v>75</v>
      </c>
      <c r="K670">
        <v>35</v>
      </c>
      <c r="L670">
        <v>90</v>
      </c>
      <c r="M670" s="68" t="s">
        <v>1964</v>
      </c>
      <c r="N670">
        <v>82.2</v>
      </c>
      <c r="P670" s="67" t="s">
        <v>1965</v>
      </c>
      <c r="Q670" s="68">
        <v>199.5</v>
      </c>
      <c r="R670" s="67" t="s">
        <v>1966</v>
      </c>
      <c r="S670" s="68">
        <v>214.1</v>
      </c>
      <c r="T670" s="68">
        <f t="shared" si="80"/>
        <v>14.599999999999994</v>
      </c>
      <c r="U670">
        <f t="shared" si="76"/>
        <v>80</v>
      </c>
      <c r="V670">
        <f t="shared" si="81"/>
        <v>11</v>
      </c>
      <c r="W670">
        <f t="shared" si="77"/>
        <v>12.12</v>
      </c>
      <c r="X670" s="19">
        <v>45837</v>
      </c>
      <c r="Y670" s="26">
        <v>438.5</v>
      </c>
      <c r="Z670" s="61">
        <v>0</v>
      </c>
      <c r="AB670" s="28">
        <f t="shared" si="78"/>
        <v>0.123</v>
      </c>
      <c r="AE670" s="61" t="str">
        <f t="shared" si="79"/>
        <v/>
      </c>
      <c r="AF670" s="77" t="str">
        <f>_xlfn.XLOOKUP(AD670,menu!$K$2:$K$9,menu!$J$2:$J$9,"",1)</f>
        <v/>
      </c>
      <c r="AG670" s="80" t="str">
        <f>_xlfn.XLOOKUP(AH670,menu!$O$2:$O$9,menu!$H$2:$H$9,"")</f>
        <v/>
      </c>
      <c r="AI670" t="str">
        <f>_xlfn.LET(_xlpm.x,_xlfn.CONCAT(_xlfn.XLOOKUP(D670,beans!$A$2:$A$300,beans!$J$2:$J$300,"")," / ",_xlfn.XLOOKUP(D670,beans!$A$2:$A$300,beans!$K$2:$K$300,"")," - ",_xlfn.XLOOKUP(D670,beans!$A$2:$A$300,beans!$L$2:$L$300,"")),IF(_xlpm.x=" /  - ","",_xlpm.x))</f>
        <v xml:space="preserve">西達馬 / 桃子甜心/桃可可 - </v>
      </c>
      <c r="AJ670" s="23" t="s">
        <v>1967</v>
      </c>
    </row>
    <row r="671" spans="1:36" x14ac:dyDescent="0.3">
      <c r="A671">
        <v>654</v>
      </c>
      <c r="B671">
        <v>496</v>
      </c>
      <c r="D671">
        <v>78</v>
      </c>
      <c r="E671" t="str">
        <f>_xlfn.LET(_xlpm.x,_xlfn.XLOOKUP(D671,beans!$A$2:$A$300,beans!$H$2:$H$300,""),IF(_xlpm.x="","",_xlpm.x))</f>
        <v>衣索比亞</v>
      </c>
      <c r="F671" s="22" t="str">
        <f>_xlfn.XLOOKUP(E671,menu!$A$2:$A$37,menu!$B$2:$B$37,"")</f>
        <v>Ethiopia</v>
      </c>
      <c r="G671" t="str">
        <f>_xlfn.XLOOKUP(E671,menu!$A$2:$A$37,menu!$C$2:$C$37,"")</f>
        <v>eth</v>
      </c>
      <c r="H671" t="str">
        <f>_xlfn.LET(_xlpm.x,_xlfn.XLOOKUP(_xlfn.XLOOKUP(D671,beans!$A$2:$A$300,beans!$I$2:$I$300),menu!$E$2:$E$20,menu!$F$2:$F$20),IF(_xlpm.x="","",_xlpm.x))</f>
        <v>honey</v>
      </c>
      <c r="I671">
        <v>190</v>
      </c>
      <c r="J671">
        <v>75</v>
      </c>
      <c r="K671">
        <v>35</v>
      </c>
      <c r="L671">
        <v>90</v>
      </c>
      <c r="M671" s="68" t="s">
        <v>1968</v>
      </c>
      <c r="N671">
        <v>82.6</v>
      </c>
      <c r="P671" s="67" t="s">
        <v>1969</v>
      </c>
      <c r="Q671" s="68">
        <v>203.5</v>
      </c>
      <c r="R671" s="67" t="s">
        <v>1970</v>
      </c>
      <c r="S671" s="68">
        <v>221</v>
      </c>
      <c r="T671" s="68">
        <f t="shared" si="80"/>
        <v>17.5</v>
      </c>
      <c r="U671">
        <f t="shared" si="76"/>
        <v>74</v>
      </c>
      <c r="V671">
        <f t="shared" si="81"/>
        <v>14.2</v>
      </c>
      <c r="W671">
        <f t="shared" si="77"/>
        <v>10.83</v>
      </c>
      <c r="X671" s="19">
        <v>45837</v>
      </c>
      <c r="Y671" s="26">
        <v>420</v>
      </c>
      <c r="Z671" s="61">
        <v>0</v>
      </c>
      <c r="AB671" s="28">
        <f t="shared" si="78"/>
        <v>0.15322580645161291</v>
      </c>
      <c r="AE671" s="61" t="str">
        <f t="shared" si="79"/>
        <v/>
      </c>
      <c r="AF671" s="77" t="str">
        <f>_xlfn.XLOOKUP(AD671,menu!$K$2:$K$9,menu!$J$2:$J$9,"",1)</f>
        <v/>
      </c>
      <c r="AG671" s="80" t="str">
        <f>_xlfn.XLOOKUP(AH671,menu!$O$2:$O$9,menu!$H$2:$H$9,"")</f>
        <v/>
      </c>
      <c r="AI671" t="str">
        <f>_xlfn.LET(_xlpm.x,_xlfn.CONCAT(_xlfn.XLOOKUP(D671,beans!$A$2:$A$300,beans!$J$2:$J$300,"")," / ",_xlfn.XLOOKUP(D671,beans!$A$2:$A$300,beans!$K$2:$K$300,"")," - ",_xlfn.XLOOKUP(D671,beans!$A$2:$A$300,beans!$L$2:$L$300,"")),IF(_xlpm.x=" /  - ","",_xlpm.x))</f>
        <v xml:space="preserve">耶加雪菲 / 科克 - </v>
      </c>
      <c r="AJ671" s="23" t="s">
        <v>1967</v>
      </c>
    </row>
    <row r="672" spans="1:36" x14ac:dyDescent="0.3">
      <c r="A672">
        <v>655</v>
      </c>
      <c r="B672">
        <v>490</v>
      </c>
      <c r="D672">
        <v>108</v>
      </c>
      <c r="E672" t="str">
        <f>_xlfn.LET(_xlpm.x,_xlfn.XLOOKUP(D672,beans!$A$2:$A$300,beans!$H$2:$H$300,""),IF(_xlpm.x="","",_xlpm.x))</f>
        <v>衣索比亞</v>
      </c>
      <c r="F672" s="22" t="str">
        <f>_xlfn.XLOOKUP(E672,menu!$A$2:$A$37,menu!$B$2:$B$37,"")</f>
        <v>Ethiopia</v>
      </c>
      <c r="G672" t="str">
        <f>_xlfn.XLOOKUP(E672,menu!$A$2:$A$37,menu!$C$2:$C$37,"")</f>
        <v>eth</v>
      </c>
      <c r="H672" t="str">
        <f>_xlfn.LET(_xlpm.x,_xlfn.XLOOKUP(_xlfn.XLOOKUP(D672,beans!$A$2:$A$300,beans!$I$2:$I$300),menu!$E$2:$E$20,menu!$F$2:$F$20),IF(_xlpm.x="","",_xlpm.x))</f>
        <v>natural</v>
      </c>
      <c r="I672">
        <v>190</v>
      </c>
      <c r="J672">
        <v>75</v>
      </c>
      <c r="K672">
        <v>35</v>
      </c>
      <c r="L672">
        <v>90</v>
      </c>
      <c r="M672" s="68" t="s">
        <v>1971</v>
      </c>
      <c r="N672">
        <v>81.3</v>
      </c>
      <c r="P672" s="67" t="s">
        <v>1972</v>
      </c>
      <c r="Q672" s="68">
        <v>203.7</v>
      </c>
      <c r="R672" s="67" t="s">
        <v>1973</v>
      </c>
      <c r="S672" s="68">
        <v>2113.1</v>
      </c>
      <c r="T672" s="68">
        <f t="shared" si="80"/>
        <v>1909.3999999999999</v>
      </c>
      <c r="U672">
        <f t="shared" si="76"/>
        <v>41</v>
      </c>
      <c r="V672">
        <f t="shared" si="81"/>
        <v>2794.2</v>
      </c>
      <c r="W672">
        <f t="shared" si="77"/>
        <v>6.07</v>
      </c>
      <c r="X672" s="19">
        <v>45837</v>
      </c>
      <c r="Y672" s="26">
        <v>430</v>
      </c>
      <c r="Z672" s="61">
        <v>0</v>
      </c>
      <c r="AB672" s="28">
        <f t="shared" si="78"/>
        <v>0.12244897959183673</v>
      </c>
      <c r="AE672" s="61" t="str">
        <f t="shared" si="79"/>
        <v/>
      </c>
      <c r="AF672" s="77" t="str">
        <f>_xlfn.XLOOKUP(AD672,menu!$K$2:$K$9,menu!$J$2:$J$9,"",1)</f>
        <v/>
      </c>
      <c r="AG672" s="80" t="str">
        <f>_xlfn.XLOOKUP(AH672,menu!$O$2:$O$9,menu!$H$2:$H$9,"")</f>
        <v/>
      </c>
      <c r="AI672" t="str">
        <f>_xlfn.LET(_xlpm.x,_xlfn.CONCAT(_xlfn.XLOOKUP(D672,beans!$A$2:$A$300,beans!$J$2:$J$300,"")," / ",_xlfn.XLOOKUP(D672,beans!$A$2:$A$300,beans!$K$2:$K$300,"")," - ",_xlfn.XLOOKUP(D672,beans!$A$2:$A$300,beans!$L$2:$L$300,"")),IF(_xlpm.x=" /  - ","",_xlpm.x))</f>
        <v xml:space="preserve">南希寶 / Kasim - </v>
      </c>
      <c r="AJ672" s="23" t="s">
        <v>1974</v>
      </c>
    </row>
    <row r="673" spans="1:36" x14ac:dyDescent="0.3">
      <c r="A673">
        <v>656</v>
      </c>
      <c r="B673">
        <v>500</v>
      </c>
      <c r="D673">
        <v>104</v>
      </c>
      <c r="E673" t="str">
        <f>_xlfn.LET(_xlpm.x,_xlfn.XLOOKUP(D673,beans!$A$2:$A$300,beans!$H$2:$H$300,""),IF(_xlpm.x="","",_xlpm.x))</f>
        <v>衣索比亞</v>
      </c>
      <c r="F673" s="22" t="str">
        <f>_xlfn.XLOOKUP(E673,menu!$A$2:$A$37,menu!$B$2:$B$37,"")</f>
        <v>Ethiopia</v>
      </c>
      <c r="G673" t="str">
        <f>_xlfn.XLOOKUP(E673,menu!$A$2:$A$37,menu!$C$2:$C$37,"")</f>
        <v>eth</v>
      </c>
      <c r="H673" t="str">
        <f>_xlfn.LET(_xlpm.x,_xlfn.XLOOKUP(_xlfn.XLOOKUP(D673,beans!$A$2:$A$300,beans!$I$2:$I$300),menu!$E$2:$E$20,menu!$F$2:$F$20),IF(_xlpm.x="","",_xlpm.x))</f>
        <v>honey</v>
      </c>
      <c r="I673">
        <v>190</v>
      </c>
      <c r="J673">
        <v>75</v>
      </c>
      <c r="K673">
        <v>35</v>
      </c>
      <c r="L673">
        <v>90</v>
      </c>
      <c r="M673" s="68" t="s">
        <v>1975</v>
      </c>
      <c r="N673">
        <v>81.400000000000006</v>
      </c>
      <c r="P673" s="67" t="s">
        <v>1976</v>
      </c>
      <c r="Q673" s="68">
        <v>199.5</v>
      </c>
      <c r="R673" s="67" t="s">
        <v>1977</v>
      </c>
      <c r="S673" s="68">
        <v>212.2</v>
      </c>
      <c r="T673" s="68">
        <f t="shared" si="80"/>
        <v>12.699999999999989</v>
      </c>
      <c r="U673">
        <f t="shared" si="76"/>
        <v>58</v>
      </c>
      <c r="V673">
        <f t="shared" si="81"/>
        <v>13.1</v>
      </c>
      <c r="W673">
        <f t="shared" si="77"/>
        <v>9.2899999999999991</v>
      </c>
      <c r="X673" s="19">
        <v>45837</v>
      </c>
      <c r="Y673" s="26">
        <v>440</v>
      </c>
      <c r="Z673" s="61">
        <v>0</v>
      </c>
      <c r="AB673" s="28">
        <f t="shared" si="78"/>
        <v>0.12</v>
      </c>
      <c r="AE673" s="61" t="str">
        <f t="shared" si="79"/>
        <v/>
      </c>
      <c r="AF673" s="77" t="str">
        <f>_xlfn.XLOOKUP(AD673,menu!$K$2:$K$9,menu!$J$2:$J$9,"",1)</f>
        <v/>
      </c>
      <c r="AG673" s="80" t="str">
        <f>_xlfn.XLOOKUP(AH673,menu!$O$2:$O$9,menu!$H$2:$H$9,"")</f>
        <v/>
      </c>
      <c r="AI673" t="str">
        <f>_xlfn.LET(_xlpm.x,_xlfn.CONCAT(_xlfn.XLOOKUP(D673,beans!$A$2:$A$300,beans!$J$2:$J$300,"")," / ",_xlfn.XLOOKUP(D673,beans!$A$2:$A$300,beans!$K$2:$K$300,"")," - ",_xlfn.XLOOKUP(D673,beans!$A$2:$A$300,beans!$L$2:$L$300,"")),IF(_xlpm.x=" /  - ","",_xlpm.x))</f>
        <v xml:space="preserve">西達瑪 班莎 / 斑鳩 - </v>
      </c>
      <c r="AJ673" s="23" t="s">
        <v>1974</v>
      </c>
    </row>
    <row r="674" spans="1:36" x14ac:dyDescent="0.3">
      <c r="A674">
        <v>657</v>
      </c>
      <c r="B674">
        <v>496</v>
      </c>
      <c r="D674">
        <v>2</v>
      </c>
      <c r="E674" t="str">
        <f>_xlfn.LET(_xlpm.x,_xlfn.XLOOKUP(D674,beans!$A$2:$A$300,beans!$H$2:$H$300,""),IF(_xlpm.x="","",_xlpm.x))</f>
        <v>哥斯大黎加</v>
      </c>
      <c r="F674" s="22" t="str">
        <f>_xlfn.XLOOKUP(E674,menu!$A$2:$A$37,menu!$B$2:$B$37,"")</f>
        <v>Costa Rica</v>
      </c>
      <c r="G674" t="str">
        <f>_xlfn.XLOOKUP(E674,menu!$A$2:$A$37,menu!$C$2:$C$37,"")</f>
        <v>cri</v>
      </c>
      <c r="H674" t="str">
        <f>_xlfn.LET(_xlpm.x,_xlfn.XLOOKUP(_xlfn.XLOOKUP(D674,beans!$A$2:$A$300,beans!$I$2:$I$300),menu!$E$2:$E$20,menu!$F$2:$F$20),IF(_xlpm.x="","",_xlpm.x))</f>
        <v>raisin-honey</v>
      </c>
      <c r="I674">
        <v>190</v>
      </c>
      <c r="J674">
        <v>75</v>
      </c>
      <c r="K674">
        <v>35</v>
      </c>
      <c r="L674">
        <v>90</v>
      </c>
      <c r="M674" s="68" t="s">
        <v>1961</v>
      </c>
      <c r="N674">
        <v>84.7</v>
      </c>
      <c r="P674" s="67" t="s">
        <v>1978</v>
      </c>
      <c r="Q674" s="68">
        <v>206</v>
      </c>
      <c r="R674" s="67" t="s">
        <v>1979</v>
      </c>
      <c r="S674" s="68">
        <v>214.2</v>
      </c>
      <c r="T674" s="68">
        <f t="shared" si="80"/>
        <v>8.1999999999999886</v>
      </c>
      <c r="U674">
        <f t="shared" si="76"/>
        <v>43</v>
      </c>
      <c r="V674">
        <f t="shared" si="81"/>
        <v>11.4</v>
      </c>
      <c r="W674">
        <f t="shared" si="77"/>
        <v>6.86</v>
      </c>
      <c r="X674" s="19">
        <v>45837</v>
      </c>
      <c r="Y674" s="26">
        <v>430</v>
      </c>
      <c r="AB674" s="28">
        <f t="shared" si="78"/>
        <v>0.13306451612903225</v>
      </c>
      <c r="AE674" s="61" t="str">
        <f t="shared" si="79"/>
        <v/>
      </c>
      <c r="AF674" s="77" t="str">
        <f>_xlfn.XLOOKUP(AD674,menu!$K$2:$K$9,menu!$J$2:$J$9,"",1)</f>
        <v/>
      </c>
      <c r="AG674" s="80" t="str">
        <f>_xlfn.XLOOKUP(AH674,menu!$O$2:$O$9,menu!$H$2:$H$9,"")</f>
        <v/>
      </c>
      <c r="AI674" t="str">
        <f>_xlfn.LET(_xlpm.x,_xlfn.CONCAT(_xlfn.XLOOKUP(D674,beans!$A$2:$A$300,beans!$J$2:$J$300,"")," / ",_xlfn.XLOOKUP(D674,beans!$A$2:$A$300,beans!$K$2:$K$300,"")," - ",_xlfn.XLOOKUP(D674,beans!$A$2:$A$300,beans!$L$2:$L$300,"")),IF(_xlpm.x=" /  - ","",_xlpm.x))</f>
        <v xml:space="preserve">Tarrazu / 卡內特 音樂家系列 莫札特 - </v>
      </c>
    </row>
    <row r="675" spans="1:36" x14ac:dyDescent="0.3">
      <c r="A675">
        <v>658</v>
      </c>
      <c r="B675">
        <v>245.5</v>
      </c>
      <c r="D675">
        <v>85</v>
      </c>
      <c r="E675" t="str">
        <f>_xlfn.LET(_xlpm.x,_xlfn.XLOOKUP(D675,beans!$A$2:$A$300,beans!$H$2:$H$300,""),IF(_xlpm.x="","",_xlpm.x))</f>
        <v>衣索比亞</v>
      </c>
      <c r="F675" s="22" t="str">
        <f>_xlfn.XLOOKUP(E675,menu!$A$2:$A$37,menu!$B$2:$B$37,"")</f>
        <v>Ethiopia</v>
      </c>
      <c r="G675" t="str">
        <f>_xlfn.XLOOKUP(E675,menu!$A$2:$A$37,menu!$C$2:$C$37,"")</f>
        <v>eth</v>
      </c>
      <c r="H675" t="str">
        <f>_xlfn.LET(_xlpm.x,_xlfn.XLOOKUP(_xlfn.XLOOKUP(D675,beans!$A$2:$A$300,beans!$I$2:$I$300),menu!$E$2:$E$20,menu!$F$2:$F$20),IF(_xlpm.x="","",_xlpm.x))</f>
        <v>natural</v>
      </c>
      <c r="I675">
        <v>190</v>
      </c>
      <c r="J675">
        <v>75</v>
      </c>
      <c r="K675">
        <v>35</v>
      </c>
      <c r="L675">
        <v>80</v>
      </c>
      <c r="M675" s="68" t="s">
        <v>1971</v>
      </c>
      <c r="N675">
        <v>89.5</v>
      </c>
      <c r="P675" s="67" t="s">
        <v>1980</v>
      </c>
      <c r="Q675" s="68">
        <v>205.5</v>
      </c>
      <c r="R675" s="67" t="s">
        <v>1978</v>
      </c>
      <c r="S675" s="68">
        <v>218.9</v>
      </c>
      <c r="T675" s="68">
        <f t="shared" si="80"/>
        <v>13.400000000000006</v>
      </c>
      <c r="U675">
        <f t="shared" si="76"/>
        <v>45</v>
      </c>
      <c r="V675">
        <f t="shared" si="81"/>
        <v>17.899999999999999</v>
      </c>
      <c r="W675">
        <f t="shared" si="77"/>
        <v>7.71</v>
      </c>
      <c r="X675" s="19">
        <v>45837</v>
      </c>
      <c r="Y675" s="26">
        <v>211</v>
      </c>
      <c r="Z675" s="61">
        <v>0</v>
      </c>
      <c r="AB675" s="28">
        <f t="shared" si="78"/>
        <v>0.14052953156822812</v>
      </c>
      <c r="AE675" s="61" t="str">
        <f t="shared" si="79"/>
        <v/>
      </c>
      <c r="AF675" s="77" t="str">
        <f>_xlfn.XLOOKUP(AD675,menu!$K$2:$K$9,menu!$J$2:$J$9,"",1)</f>
        <v/>
      </c>
      <c r="AG675" s="80" t="str">
        <f>_xlfn.XLOOKUP(AH675,menu!$O$2:$O$9,menu!$H$2:$H$9,"")</f>
        <v/>
      </c>
      <c r="AI675" t="str">
        <f>_xlfn.LET(_xlpm.x,_xlfn.CONCAT(_xlfn.XLOOKUP(D675,beans!$A$2:$A$300,beans!$J$2:$J$300,"")," / ",_xlfn.XLOOKUP(D675,beans!$A$2:$A$300,beans!$K$2:$K$300,"")," - ",_xlfn.XLOOKUP(D675,beans!$A$2:$A$300,beans!$L$2:$L$300,"")),IF(_xlpm.x=" /  - ","",_xlpm.x))</f>
        <v xml:space="preserve">古吉 烏拉嘎 / 寇巴 - </v>
      </c>
      <c r="AJ675" s="23" t="s">
        <v>1974</v>
      </c>
    </row>
    <row r="676" spans="1:36" x14ac:dyDescent="0.3">
      <c r="A676">
        <v>659</v>
      </c>
      <c r="B676">
        <v>250</v>
      </c>
      <c r="D676">
        <v>68</v>
      </c>
      <c r="E676" t="str">
        <f>_xlfn.LET(_xlpm.x,_xlfn.XLOOKUP(D676,beans!$A$2:$A$300,beans!$H$2:$H$300,""),IF(_xlpm.x="","",_xlpm.x))</f>
        <v>哥倫比亞</v>
      </c>
      <c r="F676" s="22" t="str">
        <f>_xlfn.XLOOKUP(E676,menu!$A$2:$A$37,menu!$B$2:$B$37,"")</f>
        <v>Colombia</v>
      </c>
      <c r="G676" t="str">
        <f>_xlfn.XLOOKUP(E676,menu!$A$2:$A$37,menu!$C$2:$C$37,"")</f>
        <v>col</v>
      </c>
      <c r="H676" t="str">
        <f>_xlfn.LET(_xlpm.x,_xlfn.XLOOKUP(_xlfn.XLOOKUP(D676,beans!$A$2:$A$300,beans!$I$2:$I$300),menu!$E$2:$E$20,menu!$F$2:$F$20),IF(_xlpm.x="","",_xlpm.x))</f>
        <v>Anaerobic Natural</v>
      </c>
      <c r="M676" s="68" t="s">
        <v>1961</v>
      </c>
      <c r="N676">
        <v>92.7</v>
      </c>
      <c r="P676" s="67" t="s">
        <v>1981</v>
      </c>
      <c r="Q676" s="68">
        <v>199.2</v>
      </c>
      <c r="R676" s="67" t="s">
        <v>1982</v>
      </c>
      <c r="S676" s="68">
        <v>217.8</v>
      </c>
      <c r="T676" s="68">
        <f t="shared" si="80"/>
        <v>18.600000000000023</v>
      </c>
      <c r="U676">
        <f t="shared" si="76"/>
        <v>67</v>
      </c>
      <c r="V676">
        <f t="shared" si="81"/>
        <v>16.7</v>
      </c>
      <c r="W676">
        <f t="shared" si="77"/>
        <v>12.12</v>
      </c>
      <c r="X676" s="19">
        <v>45837</v>
      </c>
      <c r="Y676" s="26">
        <v>211</v>
      </c>
      <c r="Z676" s="61">
        <v>0</v>
      </c>
      <c r="AB676" s="28">
        <f t="shared" si="78"/>
        <v>0.156</v>
      </c>
      <c r="AE676" s="61" t="str">
        <f t="shared" si="79"/>
        <v/>
      </c>
      <c r="AF676" s="77" t="str">
        <f>_xlfn.XLOOKUP(AD676,menu!$K$2:$K$9,menu!$J$2:$J$9,"",1)</f>
        <v/>
      </c>
      <c r="AG676" s="80" t="str">
        <f>_xlfn.XLOOKUP(AH676,menu!$O$2:$O$9,menu!$H$2:$H$9,"")</f>
        <v/>
      </c>
      <c r="AI676" t="str">
        <f>_xlfn.LET(_xlpm.x,_xlfn.CONCAT(_xlfn.XLOOKUP(D676,beans!$A$2:$A$300,beans!$J$2:$J$300,"")," / ",_xlfn.XLOOKUP(D676,beans!$A$2:$A$300,beans!$K$2:$K$300,"")," - ",_xlfn.XLOOKUP(D676,beans!$A$2:$A$300,beans!$L$2:$L$300,"")),IF(_xlpm.x=" /  - ","",_xlpm.x))</f>
        <v xml:space="preserve"> / 天堂莊園-日出桂花香 - </v>
      </c>
      <c r="AJ676" s="23" t="s">
        <v>1985</v>
      </c>
    </row>
    <row r="677" spans="1:36" x14ac:dyDescent="0.3">
      <c r="A677">
        <v>660</v>
      </c>
      <c r="B677">
        <v>250</v>
      </c>
      <c r="D677">
        <v>69</v>
      </c>
      <c r="E677" t="str">
        <f>_xlfn.LET(_xlpm.x,_xlfn.XLOOKUP(D677,beans!$A$2:$A$300,beans!$H$2:$H$300,""),IF(_xlpm.x="","",_xlpm.x))</f>
        <v>衣索比亞</v>
      </c>
      <c r="F677" s="22" t="str">
        <f>_xlfn.XLOOKUP(E677,menu!$A$2:$A$37,menu!$B$2:$B$37,"")</f>
        <v>Ethiopia</v>
      </c>
      <c r="G677" t="str">
        <f>_xlfn.XLOOKUP(E677,menu!$A$2:$A$37,menu!$C$2:$C$37,"")</f>
        <v>eth</v>
      </c>
      <c r="H677" t="str">
        <f>_xlfn.LET(_xlpm.x,_xlfn.XLOOKUP(_xlfn.XLOOKUP(D677,beans!$A$2:$A$300,beans!$I$2:$I$300),menu!$E$2:$E$20,menu!$F$2:$F$20),IF(_xlpm.x="","",_xlpm.x))</f>
        <v>Anaerobic Natural</v>
      </c>
      <c r="M677" s="68" t="s">
        <v>1964</v>
      </c>
      <c r="N677">
        <v>92.5</v>
      </c>
      <c r="P677" s="67" t="s">
        <v>1983</v>
      </c>
      <c r="Q677" s="68">
        <v>198.8</v>
      </c>
      <c r="R677" s="67" t="s">
        <v>1984</v>
      </c>
      <c r="S677" s="68">
        <v>217.9</v>
      </c>
      <c r="T677" s="68">
        <f t="shared" si="80"/>
        <v>19.099999999999994</v>
      </c>
      <c r="U677">
        <f t="shared" si="76"/>
        <v>67</v>
      </c>
      <c r="V677">
        <f t="shared" si="81"/>
        <v>17.100000000000001</v>
      </c>
      <c r="W677">
        <f t="shared" si="77"/>
        <v>12.07</v>
      </c>
      <c r="X677" s="19">
        <v>45837</v>
      </c>
      <c r="Y677" s="26">
        <v>210</v>
      </c>
      <c r="Z677" s="61">
        <v>0</v>
      </c>
      <c r="AB677" s="28">
        <f t="shared" si="78"/>
        <v>0.16</v>
      </c>
      <c r="AE677" s="61" t="str">
        <f t="shared" si="79"/>
        <v/>
      </c>
      <c r="AF677" s="77" t="str">
        <f>_xlfn.XLOOKUP(AD677,menu!$K$2:$K$9,menu!$J$2:$J$9,"",1)</f>
        <v/>
      </c>
      <c r="AG677" s="80" t="str">
        <f>_xlfn.XLOOKUP(AH677,menu!$O$2:$O$9,menu!$H$2:$H$9,"")</f>
        <v/>
      </c>
      <c r="AI677" t="str">
        <f>_xlfn.LET(_xlpm.x,_xlfn.CONCAT(_xlfn.XLOOKUP(D677,beans!$A$2:$A$300,beans!$J$2:$J$300,"")," / ",_xlfn.XLOOKUP(D677,beans!$A$2:$A$300,beans!$K$2:$K$300,"")," - ",_xlfn.XLOOKUP(D677,beans!$A$2:$A$300,beans!$L$2:$L$300,"")),IF(_xlpm.x=" /  - ","",_xlpm.x))</f>
        <v>古吉烏拉嘎 / 月光酒釀 - 74110/74112</v>
      </c>
      <c r="AJ677" s="23" t="s">
        <v>1985</v>
      </c>
    </row>
    <row r="678" spans="1:36" x14ac:dyDescent="0.3">
      <c r="A678">
        <v>661</v>
      </c>
      <c r="B678">
        <v>250</v>
      </c>
      <c r="D678">
        <v>43</v>
      </c>
      <c r="E678" t="str">
        <f>_xlfn.LET(_xlpm.x,_xlfn.XLOOKUP(D678,beans!$A$2:$A$300,beans!$H$2:$H$300,""),IF(_xlpm.x="","",_xlpm.x))</f>
        <v>衣索比亞</v>
      </c>
      <c r="F678" s="22" t="str">
        <f>_xlfn.XLOOKUP(E678,menu!$A$2:$A$37,menu!$B$2:$B$37,"")</f>
        <v>Ethiopia</v>
      </c>
      <c r="G678" t="str">
        <f>_xlfn.XLOOKUP(E678,menu!$A$2:$A$37,menu!$C$2:$C$37,"")</f>
        <v>eth</v>
      </c>
      <c r="H678" t="str">
        <f>_xlfn.LET(_xlpm.x,_xlfn.XLOOKUP(_xlfn.XLOOKUP(D678,beans!$A$2:$A$300,beans!$I$2:$I$300),menu!$E$2:$E$20,menu!$F$2:$F$20),IF(_xlpm.x="","",_xlpm.x))</f>
        <v>natural</v>
      </c>
      <c r="I678">
        <v>190</v>
      </c>
      <c r="J678">
        <v>75</v>
      </c>
      <c r="K678">
        <v>35</v>
      </c>
      <c r="L678">
        <v>70</v>
      </c>
      <c r="M678" s="68" t="s">
        <v>1971</v>
      </c>
      <c r="N678">
        <v>86.6</v>
      </c>
      <c r="P678" s="67" t="s">
        <v>1986</v>
      </c>
      <c r="Q678" s="68">
        <v>206.3</v>
      </c>
      <c r="R678" s="67" t="s">
        <v>1987</v>
      </c>
      <c r="S678" s="68">
        <v>222.1</v>
      </c>
      <c r="T678" s="68">
        <f t="shared" si="80"/>
        <v>15.799999999999983</v>
      </c>
      <c r="U678">
        <f t="shared" si="76"/>
        <v>51</v>
      </c>
      <c r="V678">
        <f t="shared" si="81"/>
        <v>18.600000000000001</v>
      </c>
      <c r="W678">
        <f t="shared" si="77"/>
        <v>8.19</v>
      </c>
      <c r="X678" s="19">
        <v>45844</v>
      </c>
      <c r="Y678" s="26">
        <v>202.9</v>
      </c>
      <c r="AB678" s="28">
        <f t="shared" si="78"/>
        <v>0.18839999999999998</v>
      </c>
      <c r="AE678" s="61" t="str">
        <f t="shared" si="79"/>
        <v/>
      </c>
      <c r="AF678" s="77" t="str">
        <f>_xlfn.XLOOKUP(AD678,menu!$K$2:$K$9,menu!$J$2:$J$9,"",1)</f>
        <v/>
      </c>
      <c r="AG678" s="80" t="str">
        <f>_xlfn.XLOOKUP(AH678,menu!$O$2:$O$9,menu!$H$2:$H$9,"")</f>
        <v/>
      </c>
      <c r="AI678" t="str">
        <f>_xlfn.LET(_xlpm.x,_xlfn.CONCAT(_xlfn.XLOOKUP(D678,beans!$A$2:$A$300,beans!$J$2:$J$300,"")," / ",_xlfn.XLOOKUP(D678,beans!$A$2:$A$300,beans!$K$2:$K$300,"")," - ",_xlfn.XLOOKUP(D678,beans!$A$2:$A$300,beans!$L$2:$L$300,"")),IF(_xlpm.x=" /  - ","",_xlpm.x))</f>
        <v>西達馬 / 朵望丘合作社 - 74110</v>
      </c>
    </row>
    <row r="679" spans="1:36" x14ac:dyDescent="0.3">
      <c r="A679">
        <v>662</v>
      </c>
      <c r="B679">
        <v>249</v>
      </c>
      <c r="D679">
        <v>57</v>
      </c>
      <c r="E679" t="str">
        <f>_xlfn.LET(_xlpm.x,_xlfn.XLOOKUP(D679,beans!$A$2:$A$300,beans!$H$2:$H$300,""),IF(_xlpm.x="","",_xlpm.x))</f>
        <v>宏都拉斯</v>
      </c>
      <c r="F679" s="22" t="str">
        <f>_xlfn.XLOOKUP(E679,menu!$A$2:$A$37,menu!$B$2:$B$37,"")</f>
        <v>Honduras</v>
      </c>
      <c r="G679" t="str">
        <f>_xlfn.XLOOKUP(E679,menu!$A$2:$A$37,menu!$C$2:$C$37,"")</f>
        <v>hnd</v>
      </c>
      <c r="H679" t="str">
        <f>_xlfn.LET(_xlpm.x,_xlfn.XLOOKUP(_xlfn.XLOOKUP(D679,beans!$A$2:$A$300,beans!$I$2:$I$300),menu!$E$2:$E$20,menu!$F$2:$F$20),IF(_xlpm.x="","",_xlpm.x))</f>
        <v>washed</v>
      </c>
      <c r="I679">
        <v>190</v>
      </c>
      <c r="J679">
        <v>75</v>
      </c>
      <c r="K679">
        <v>35</v>
      </c>
      <c r="L679">
        <v>70</v>
      </c>
      <c r="M679" s="68" t="s">
        <v>1988</v>
      </c>
      <c r="N679">
        <v>88.7</v>
      </c>
      <c r="P679" s="67" t="s">
        <v>1989</v>
      </c>
      <c r="Q679" s="68">
        <v>202.1</v>
      </c>
      <c r="R679" s="67" t="s">
        <v>1990</v>
      </c>
      <c r="S679" s="68">
        <v>218.2</v>
      </c>
      <c r="T679" s="68">
        <f t="shared" si="80"/>
        <v>16.099999999999994</v>
      </c>
      <c r="U679">
        <f t="shared" si="76"/>
        <v>665</v>
      </c>
      <c r="V679">
        <f t="shared" si="81"/>
        <v>1.5</v>
      </c>
      <c r="W679">
        <f t="shared" si="77"/>
        <v>54.55</v>
      </c>
      <c r="X679" s="19">
        <v>45844</v>
      </c>
      <c r="Y679" s="26">
        <v>213</v>
      </c>
      <c r="AB679" s="28">
        <f t="shared" si="78"/>
        <v>0.14457831325301204</v>
      </c>
      <c r="AE679" s="61" t="str">
        <f t="shared" si="79"/>
        <v/>
      </c>
      <c r="AF679" s="77" t="str">
        <f>_xlfn.XLOOKUP(AD679,menu!$K$2:$K$9,menu!$J$2:$J$9,"",1)</f>
        <v/>
      </c>
      <c r="AG679" s="80" t="str">
        <f>_xlfn.XLOOKUP(AH679,menu!$O$2:$O$9,menu!$H$2:$H$9,"")</f>
        <v/>
      </c>
      <c r="AI679" t="str">
        <f>_xlfn.LET(_xlpm.x,_xlfn.CONCAT(_xlfn.XLOOKUP(D679,beans!$A$2:$A$300,beans!$J$2:$J$300,"")," / ",_xlfn.XLOOKUP(D679,beans!$A$2:$A$300,beans!$K$2:$K$300,"")," - ",_xlfn.XLOOKUP(D679,beans!$A$2:$A$300,beans!$L$2:$L$300,"")),IF(_xlpm.x=" /  - ","",_xlpm.x))</f>
        <v>柯瑪亞果省 / 波提花莊園 - 帕卡瑪拉種</v>
      </c>
      <c r="AJ679" s="23" t="s">
        <v>2036</v>
      </c>
    </row>
    <row r="680" spans="1:36" x14ac:dyDescent="0.3">
      <c r="A680">
        <v>663</v>
      </c>
      <c r="B680">
        <v>250</v>
      </c>
      <c r="D680">
        <v>28</v>
      </c>
      <c r="E680" t="str">
        <f>_xlfn.LET(_xlpm.x,_xlfn.XLOOKUP(D680,beans!$A$2:$A$300,beans!$H$2:$H$300,""),IF(_xlpm.x="","",_xlpm.x))</f>
        <v>肯亞</v>
      </c>
      <c r="F680" s="22" t="str">
        <f>_xlfn.XLOOKUP(E680,menu!$A$2:$A$37,menu!$B$2:$B$37,"")</f>
        <v>Kenya</v>
      </c>
      <c r="G680" t="str">
        <f>_xlfn.XLOOKUP(E680,menu!$A$2:$A$37,menu!$C$2:$C$37,"")</f>
        <v>ken</v>
      </c>
      <c r="H680" t="str">
        <f>_xlfn.LET(_xlpm.x,_xlfn.XLOOKUP(_xlfn.XLOOKUP(D680,beans!$A$2:$A$300,beans!$I$2:$I$300),menu!$E$2:$E$20,menu!$F$2:$F$20),IF(_xlpm.x="","",_xlpm.x))</f>
        <v>washed</v>
      </c>
      <c r="I680">
        <v>190</v>
      </c>
      <c r="J680">
        <v>75</v>
      </c>
      <c r="K680">
        <v>35</v>
      </c>
      <c r="L680">
        <v>70</v>
      </c>
      <c r="M680" s="68" t="s">
        <v>2001</v>
      </c>
      <c r="N680">
        <v>88.5</v>
      </c>
      <c r="P680" s="67" t="s">
        <v>2002</v>
      </c>
      <c r="Q680" s="68">
        <v>200.4</v>
      </c>
      <c r="R680" s="67" t="s">
        <v>2003</v>
      </c>
      <c r="S680" s="68">
        <v>214.4</v>
      </c>
      <c r="T680" s="68">
        <f t="shared" si="80"/>
        <v>14</v>
      </c>
      <c r="U680">
        <f t="shared" si="76"/>
        <v>79</v>
      </c>
      <c r="V680">
        <f t="shared" si="81"/>
        <v>10.6</v>
      </c>
      <c r="W680">
        <f t="shared" si="77"/>
        <v>12.99</v>
      </c>
      <c r="X680" s="19">
        <v>45844</v>
      </c>
      <c r="Y680" s="26">
        <v>216.9</v>
      </c>
      <c r="AB680" s="28">
        <f t="shared" si="78"/>
        <v>0.13239999999999999</v>
      </c>
      <c r="AE680" s="61" t="str">
        <f t="shared" si="79"/>
        <v/>
      </c>
      <c r="AF680" s="77" t="str">
        <f>_xlfn.XLOOKUP(AD680,menu!$K$2:$K$9,menu!$J$2:$J$9,"",1)</f>
        <v/>
      </c>
      <c r="AG680" s="80" t="str">
        <f>_xlfn.XLOOKUP(AH680,menu!$O$2:$O$9,menu!$H$2:$H$9,"")</f>
        <v/>
      </c>
      <c r="AI680" t="str">
        <f>_xlfn.LET(_xlpm.x,_xlfn.CONCAT(_xlfn.XLOOKUP(D680,beans!$A$2:$A$300,beans!$J$2:$J$300,"")," / ",_xlfn.XLOOKUP(D680,beans!$A$2:$A$300,beans!$K$2:$K$300,"")," - ",_xlfn.XLOOKUP(D680,beans!$A$2:$A$300,beans!$L$2:$L$300,"")),IF(_xlpm.x=" /  - ","",_xlpm.x))</f>
        <v>麒麟雅加 / 卡谷悠 - SL28 / SL34 / Batian</v>
      </c>
      <c r="AJ680" s="23" t="s">
        <v>2036</v>
      </c>
    </row>
    <row r="681" spans="1:36" x14ac:dyDescent="0.3">
      <c r="A681">
        <v>664</v>
      </c>
      <c r="B681">
        <v>249.5</v>
      </c>
      <c r="D681">
        <v>104</v>
      </c>
      <c r="E681" t="str">
        <f>_xlfn.LET(_xlpm.x,_xlfn.XLOOKUP(D681,beans!$A$2:$A$300,beans!$H$2:$H$300,""),IF(_xlpm.x="","",_xlpm.x))</f>
        <v>衣索比亞</v>
      </c>
      <c r="F681" s="22" t="str">
        <f>_xlfn.XLOOKUP(E681,menu!$A$2:$A$37,menu!$B$2:$B$37,"")</f>
        <v>Ethiopia</v>
      </c>
      <c r="G681" t="str">
        <f>_xlfn.XLOOKUP(E681,menu!$A$2:$A$37,menu!$C$2:$C$37,"")</f>
        <v>eth</v>
      </c>
      <c r="H681" t="str">
        <f>_xlfn.LET(_xlpm.x,_xlfn.XLOOKUP(_xlfn.XLOOKUP(D681,beans!$A$2:$A$300,beans!$I$2:$I$300),menu!$E$2:$E$20,menu!$F$2:$F$20),IF(_xlpm.x="","",_xlpm.x))</f>
        <v>honey</v>
      </c>
      <c r="I681">
        <v>190</v>
      </c>
      <c r="J681">
        <v>75</v>
      </c>
      <c r="K681">
        <v>35</v>
      </c>
      <c r="L681">
        <v>70</v>
      </c>
      <c r="M681" s="68" t="s">
        <v>2004</v>
      </c>
      <c r="N681">
        <v>88.3</v>
      </c>
      <c r="P681" s="67" t="s">
        <v>2006</v>
      </c>
      <c r="Q681" s="68">
        <v>201.6</v>
      </c>
      <c r="R681" s="67" t="s">
        <v>2005</v>
      </c>
      <c r="S681" s="68">
        <v>214.9</v>
      </c>
      <c r="T681" s="68">
        <f t="shared" si="80"/>
        <v>13.300000000000011</v>
      </c>
      <c r="U681">
        <f t="shared" si="76"/>
        <v>601.91</v>
      </c>
      <c r="V681">
        <f t="shared" si="81"/>
        <v>1.3</v>
      </c>
      <c r="W681">
        <f t="shared" si="77"/>
        <v>98.51</v>
      </c>
      <c r="X681" s="19">
        <v>45844</v>
      </c>
      <c r="Y681" s="26">
        <v>219.3</v>
      </c>
      <c r="AB681" s="28">
        <f t="shared" si="78"/>
        <v>0.12104208416833663</v>
      </c>
      <c r="AE681" s="61" t="str">
        <f t="shared" si="79"/>
        <v/>
      </c>
      <c r="AF681" s="77" t="str">
        <f>_xlfn.XLOOKUP(AD681,menu!$K$2:$K$9,menu!$J$2:$J$9,"",1)</f>
        <v/>
      </c>
      <c r="AG681" s="80" t="str">
        <f>_xlfn.XLOOKUP(AH681,menu!$O$2:$O$9,menu!$H$2:$H$9,"")</f>
        <v/>
      </c>
      <c r="AI681" t="str">
        <f>_xlfn.LET(_xlpm.x,_xlfn.CONCAT(_xlfn.XLOOKUP(D681,beans!$A$2:$A$300,beans!$J$2:$J$300,"")," / ",_xlfn.XLOOKUP(D681,beans!$A$2:$A$300,beans!$K$2:$K$300,"")," - ",_xlfn.XLOOKUP(D681,beans!$A$2:$A$300,beans!$L$2:$L$300,"")),IF(_xlpm.x=" /  - ","",_xlpm.x))</f>
        <v xml:space="preserve">西達瑪 班莎 / 斑鳩 - </v>
      </c>
      <c r="AJ681" s="23" t="s">
        <v>2036</v>
      </c>
    </row>
    <row r="682" spans="1:36" x14ac:dyDescent="0.3">
      <c r="A682">
        <v>665</v>
      </c>
      <c r="B682">
        <v>230</v>
      </c>
      <c r="D682">
        <v>116</v>
      </c>
      <c r="E682" t="str">
        <f>_xlfn.LET(_xlpm.x,_xlfn.XLOOKUP(D682,beans!$A$2:$A$300,beans!$H$2:$H$300,""),IF(_xlpm.x="","",_xlpm.x))</f>
        <v>衣索比亞</v>
      </c>
      <c r="F682" s="22" t="str">
        <f>_xlfn.XLOOKUP(E682,menu!$A$2:$A$37,menu!$B$2:$B$37,"")</f>
        <v>Ethiopia</v>
      </c>
      <c r="G682" t="str">
        <f>_xlfn.XLOOKUP(E682,menu!$A$2:$A$37,menu!$C$2:$C$37,"")</f>
        <v>eth</v>
      </c>
      <c r="H682" t="str">
        <f>_xlfn.LET(_xlpm.x,_xlfn.XLOOKUP(_xlfn.XLOOKUP(D682,beans!$A$2:$A$300,beans!$I$2:$I$300),menu!$E$2:$E$20,menu!$F$2:$F$20),IF(_xlpm.x="","",_xlpm.x))</f>
        <v>natural</v>
      </c>
      <c r="I682">
        <v>190</v>
      </c>
      <c r="J682">
        <v>70</v>
      </c>
      <c r="K682">
        <v>35</v>
      </c>
      <c r="L682">
        <v>70</v>
      </c>
      <c r="M682" s="68" t="s">
        <v>2007</v>
      </c>
      <c r="N682">
        <v>90.4</v>
      </c>
      <c r="P682" s="67" t="s">
        <v>2008</v>
      </c>
      <c r="Q682" s="68">
        <v>202.8</v>
      </c>
      <c r="R682" s="67" t="s">
        <v>2009</v>
      </c>
      <c r="S682" s="68">
        <v>216.9</v>
      </c>
      <c r="T682" s="68">
        <f t="shared" si="80"/>
        <v>14.099999999999994</v>
      </c>
      <c r="U682">
        <f t="shared" si="76"/>
        <v>60</v>
      </c>
      <c r="V682">
        <f t="shared" si="81"/>
        <v>14.1</v>
      </c>
      <c r="W682">
        <f t="shared" si="77"/>
        <v>10.050000000000001</v>
      </c>
      <c r="X682" s="19">
        <v>45844</v>
      </c>
      <c r="Y682" s="26">
        <v>201.3</v>
      </c>
      <c r="Z682" s="61">
        <v>0</v>
      </c>
      <c r="AB682" s="28">
        <f t="shared" si="78"/>
        <v>0.12478260869565212</v>
      </c>
      <c r="AE682" s="61" t="str">
        <f t="shared" si="79"/>
        <v/>
      </c>
      <c r="AF682" s="77" t="str">
        <f>_xlfn.XLOOKUP(AD682,menu!$K$2:$K$9,menu!$J$2:$J$9,"",1)</f>
        <v/>
      </c>
      <c r="AG682" s="80" t="str">
        <f>_xlfn.XLOOKUP(AH682,menu!$O$2:$O$9,menu!$H$2:$H$9,"")</f>
        <v/>
      </c>
      <c r="AI682" t="str">
        <f>_xlfn.LET(_xlpm.x,_xlfn.CONCAT(_xlfn.XLOOKUP(D682,beans!$A$2:$A$300,beans!$J$2:$J$300,"")," / ",_xlfn.XLOOKUP(D682,beans!$A$2:$A$300,beans!$K$2:$K$300,"")," - ",_xlfn.XLOOKUP(D682,beans!$A$2:$A$300,beans!$L$2:$L$300,"")),IF(_xlpm.x=" /  - ","",_xlpm.x))</f>
        <v xml:space="preserve">古吉 / 芭絲特 - </v>
      </c>
      <c r="AJ682" s="23" t="s">
        <v>2044</v>
      </c>
    </row>
    <row r="683" spans="1:36" x14ac:dyDescent="0.3">
      <c r="A683">
        <v>666</v>
      </c>
      <c r="B683">
        <v>247.9</v>
      </c>
      <c r="D683">
        <v>96</v>
      </c>
      <c r="E683" t="str">
        <f>_xlfn.LET(_xlpm.x,_xlfn.XLOOKUP(D683,beans!$A$2:$A$300,beans!$H$2:$H$300,""),IF(_xlpm.x="","",_xlpm.x))</f>
        <v>印尼</v>
      </c>
      <c r="F683" s="22" t="str">
        <f>_xlfn.XLOOKUP(E683,menu!$A$2:$A$37,menu!$B$2:$B$37,"")</f>
        <v>Indonisia</v>
      </c>
      <c r="G683" t="str">
        <f>_xlfn.XLOOKUP(E683,menu!$A$2:$A$37,menu!$C$2:$C$37,"")</f>
        <v>idn</v>
      </c>
      <c r="H683" t="str">
        <f>_xlfn.LET(_xlpm.x,_xlfn.XLOOKUP(_xlfn.XLOOKUP(D683,beans!$A$2:$A$300,beans!$I$2:$I$300),menu!$E$2:$E$20,menu!$F$2:$F$20),IF(_xlpm.x="","",_xlpm.x))</f>
        <v>natural</v>
      </c>
      <c r="I683">
        <v>190</v>
      </c>
      <c r="J683">
        <v>75</v>
      </c>
      <c r="K683">
        <v>35</v>
      </c>
      <c r="L683">
        <v>70</v>
      </c>
      <c r="M683" s="68" t="s">
        <v>2007</v>
      </c>
      <c r="N683">
        <v>86.1</v>
      </c>
      <c r="P683" s="67" t="s">
        <v>2010</v>
      </c>
      <c r="Q683" s="68">
        <v>200.6</v>
      </c>
      <c r="R683" s="67" t="s">
        <v>2011</v>
      </c>
      <c r="S683" s="68">
        <v>219.5</v>
      </c>
      <c r="T683" s="68">
        <f t="shared" si="80"/>
        <v>18.900000000000006</v>
      </c>
      <c r="U683">
        <f t="shared" si="76"/>
        <v>62</v>
      </c>
      <c r="V683">
        <f t="shared" si="81"/>
        <v>18.3</v>
      </c>
      <c r="W683">
        <f t="shared" si="77"/>
        <v>10.53</v>
      </c>
      <c r="X683" s="19">
        <v>45844</v>
      </c>
      <c r="Y683" s="26">
        <v>214</v>
      </c>
      <c r="Z683" s="61">
        <v>0</v>
      </c>
      <c r="AB683" s="28">
        <f t="shared" si="78"/>
        <v>0.13674868898749498</v>
      </c>
      <c r="AE683" s="61" t="str">
        <f t="shared" si="79"/>
        <v/>
      </c>
      <c r="AF683" s="77" t="str">
        <f>_xlfn.XLOOKUP(AD683,menu!$K$2:$K$9,menu!$J$2:$J$9,"",1)</f>
        <v/>
      </c>
      <c r="AG683" s="80" t="str">
        <f>_xlfn.XLOOKUP(AH683,menu!$O$2:$O$9,menu!$H$2:$H$9,"")</f>
        <v/>
      </c>
      <c r="AI683" t="str">
        <f>_xlfn.LET(_xlpm.x,_xlfn.CONCAT(_xlfn.XLOOKUP(D683,beans!$A$2:$A$300,beans!$J$2:$J$300,"")," / ",_xlfn.XLOOKUP(D683,beans!$A$2:$A$300,beans!$K$2:$K$300,"")," - ",_xlfn.XLOOKUP(D683,beans!$A$2:$A$300,beans!$L$2:$L$300,"")),IF(_xlpm.x=" /  - ","",_xlpm.x))</f>
        <v>瓜哇 / 金色百林莊園 - s579</v>
      </c>
      <c r="AJ683" s="23" t="s">
        <v>2044</v>
      </c>
    </row>
    <row r="684" spans="1:36" x14ac:dyDescent="0.3">
      <c r="A684">
        <v>667</v>
      </c>
      <c r="B684">
        <v>490</v>
      </c>
      <c r="D684">
        <v>110</v>
      </c>
      <c r="E684" t="str">
        <f>_xlfn.LET(_xlpm.x,_xlfn.XLOOKUP(D684,beans!$A$2:$A$300,beans!$H$2:$H$300,""),IF(_xlpm.x="","",_xlpm.x))</f>
        <v>衣索比亞</v>
      </c>
      <c r="F684" s="22" t="str">
        <f>_xlfn.XLOOKUP(E684,menu!$A$2:$A$37,menu!$B$2:$B$37,"")</f>
        <v>Ethiopia</v>
      </c>
      <c r="G684" t="str">
        <f>_xlfn.XLOOKUP(E684,menu!$A$2:$A$37,menu!$C$2:$C$37,"")</f>
        <v>eth</v>
      </c>
      <c r="H684" t="str">
        <f>_xlfn.LET(_xlpm.x,_xlfn.XLOOKUP(_xlfn.XLOOKUP(D684,beans!$A$2:$A$300,beans!$I$2:$I$300),menu!$E$2:$E$20,menu!$F$2:$F$20),IF(_xlpm.x="","",_xlpm.x))</f>
        <v>washed</v>
      </c>
      <c r="I684">
        <v>190</v>
      </c>
      <c r="J684">
        <v>75</v>
      </c>
      <c r="K684">
        <v>35</v>
      </c>
      <c r="L684">
        <v>90</v>
      </c>
      <c r="M684" s="68" t="s">
        <v>2012</v>
      </c>
      <c r="N684">
        <v>81.8</v>
      </c>
      <c r="P684" s="67" t="s">
        <v>2013</v>
      </c>
      <c r="Q684" s="68">
        <v>200.6</v>
      </c>
      <c r="R684" s="67" t="s">
        <v>2014</v>
      </c>
      <c r="S684" s="68">
        <v>214.4</v>
      </c>
      <c r="T684" s="68">
        <f t="shared" si="80"/>
        <v>13.800000000000011</v>
      </c>
      <c r="U684">
        <f t="shared" si="76"/>
        <v>62</v>
      </c>
      <c r="V684">
        <f t="shared" si="81"/>
        <v>13.4</v>
      </c>
      <c r="W684">
        <f t="shared" si="77"/>
        <v>9.49</v>
      </c>
      <c r="X684" s="19">
        <v>45844</v>
      </c>
      <c r="Y684" s="26">
        <v>433.6</v>
      </c>
      <c r="Z684" s="61">
        <v>0</v>
      </c>
      <c r="AB684" s="28">
        <f t="shared" si="78"/>
        <v>0.11510204081632648</v>
      </c>
      <c r="AE684" s="61" t="str">
        <f t="shared" si="79"/>
        <v/>
      </c>
      <c r="AF684" s="77" t="str">
        <f>_xlfn.XLOOKUP(AD684,menu!$K$2:$K$9,menu!$J$2:$J$9,"",1)</f>
        <v/>
      </c>
      <c r="AG684" s="80" t="str">
        <f>_xlfn.XLOOKUP(AH684,menu!$O$2:$O$9,menu!$H$2:$H$9,"")</f>
        <v/>
      </c>
      <c r="AI684" t="str">
        <f>_xlfn.LET(_xlpm.x,_xlfn.CONCAT(_xlfn.XLOOKUP(D684,beans!$A$2:$A$300,beans!$J$2:$J$300,"")," / ",_xlfn.XLOOKUP(D684,beans!$A$2:$A$300,beans!$K$2:$K$300,"")," - ",_xlfn.XLOOKUP(D684,beans!$A$2:$A$300,beans!$L$2:$L$300,"")),IF(_xlpm.x=" /  - ","",_xlpm.x))</f>
        <v xml:space="preserve">古吉 / 阿比比 - </v>
      </c>
      <c r="AJ684" s="23" t="s">
        <v>2043</v>
      </c>
    </row>
    <row r="685" spans="1:36" x14ac:dyDescent="0.3">
      <c r="A685">
        <v>668</v>
      </c>
      <c r="B685">
        <v>497</v>
      </c>
      <c r="D685">
        <v>114</v>
      </c>
      <c r="E685" t="str">
        <f>_xlfn.LET(_xlpm.x,_xlfn.XLOOKUP(D685,beans!$A$2:$A$300,beans!$H$2:$H$300,""),IF(_xlpm.x="","",_xlpm.x))</f>
        <v>衣索比亞</v>
      </c>
      <c r="F685" s="22" t="str">
        <f>_xlfn.XLOOKUP(E685,menu!$A$2:$A$37,menu!$B$2:$B$37,"")</f>
        <v>Ethiopia</v>
      </c>
      <c r="G685" t="str">
        <f>_xlfn.XLOOKUP(E685,menu!$A$2:$A$37,menu!$C$2:$C$37,"")</f>
        <v>eth</v>
      </c>
      <c r="H685" t="str">
        <f>_xlfn.LET(_xlpm.x,_xlfn.XLOOKUP(_xlfn.XLOOKUP(D685,beans!$A$2:$A$300,beans!$I$2:$I$300),menu!$E$2:$E$20,menu!$F$2:$F$20),IF(_xlpm.x="","",_xlpm.x))</f>
        <v>washed</v>
      </c>
      <c r="I685">
        <v>190</v>
      </c>
      <c r="J685">
        <v>80</v>
      </c>
      <c r="K685">
        <v>35</v>
      </c>
      <c r="L685">
        <v>90</v>
      </c>
      <c r="M685" s="68" t="s">
        <v>2012</v>
      </c>
      <c r="N685">
        <v>82.1</v>
      </c>
      <c r="P685" s="67" t="s">
        <v>2013</v>
      </c>
      <c r="Q685" s="68">
        <v>200.1</v>
      </c>
      <c r="R685" s="67" t="s">
        <v>2015</v>
      </c>
      <c r="S685" s="68">
        <v>210.1</v>
      </c>
      <c r="T685" s="68">
        <f t="shared" si="80"/>
        <v>10</v>
      </c>
      <c r="U685">
        <f t="shared" si="76"/>
        <v>49</v>
      </c>
      <c r="V685">
        <f t="shared" si="81"/>
        <v>12.2</v>
      </c>
      <c r="W685">
        <f t="shared" si="77"/>
        <v>7.66</v>
      </c>
      <c r="X685" s="19">
        <v>45844</v>
      </c>
      <c r="Y685" s="26">
        <v>443</v>
      </c>
      <c r="AB685" s="28">
        <f t="shared" si="78"/>
        <v>0.10865191146881288</v>
      </c>
      <c r="AE685" s="61" t="str">
        <f t="shared" si="79"/>
        <v/>
      </c>
      <c r="AF685" s="77" t="str">
        <f>_xlfn.XLOOKUP(AD685,menu!$K$2:$K$9,menu!$J$2:$J$9,"",1)</f>
        <v/>
      </c>
      <c r="AG685" s="80" t="str">
        <f>_xlfn.XLOOKUP(AH685,menu!$O$2:$O$9,menu!$H$2:$H$9,"")</f>
        <v/>
      </c>
      <c r="AI685" t="str">
        <f>_xlfn.LET(_xlpm.x,_xlfn.CONCAT(_xlfn.XLOOKUP(D685,beans!$A$2:$A$300,beans!$J$2:$J$300,"")," / ",_xlfn.XLOOKUP(D685,beans!$A$2:$A$300,beans!$K$2:$K$300,"")," - ",_xlfn.XLOOKUP(D685,beans!$A$2:$A$300,beans!$L$2:$L$300,"")),IF(_xlpm.x=" /  - ","",_xlpm.x))</f>
        <v xml:space="preserve">果丁丁 /  - </v>
      </c>
    </row>
    <row r="686" spans="1:36" x14ac:dyDescent="0.3">
      <c r="A686">
        <v>669</v>
      </c>
      <c r="B686">
        <v>496</v>
      </c>
      <c r="D686">
        <v>106</v>
      </c>
      <c r="E686" t="str">
        <f>_xlfn.LET(_xlpm.x,_xlfn.XLOOKUP(D686,beans!$A$2:$A$300,beans!$H$2:$H$300,""),IF(_xlpm.x="","",_xlpm.x))</f>
        <v>衣索比亞</v>
      </c>
      <c r="F686" s="22" t="str">
        <f>_xlfn.XLOOKUP(E686,menu!$A$2:$A$37,menu!$B$2:$B$37,"")</f>
        <v>Ethiopia</v>
      </c>
      <c r="G686" t="str">
        <f>_xlfn.XLOOKUP(E686,menu!$A$2:$A$37,menu!$C$2:$C$37,"")</f>
        <v>eth</v>
      </c>
      <c r="H686" t="str">
        <f>_xlfn.LET(_xlpm.x,_xlfn.XLOOKUP(_xlfn.XLOOKUP(D686,beans!$A$2:$A$300,beans!$I$2:$I$300),menu!$E$2:$E$20,menu!$F$2:$F$20),IF(_xlpm.x="","",_xlpm.x))</f>
        <v>washed</v>
      </c>
      <c r="I686">
        <v>190</v>
      </c>
      <c r="J686">
        <v>80</v>
      </c>
      <c r="K686">
        <v>35</v>
      </c>
      <c r="L686">
        <v>90</v>
      </c>
      <c r="M686" s="68" t="s">
        <v>2016</v>
      </c>
      <c r="N686">
        <v>82</v>
      </c>
      <c r="P686" s="67" t="s">
        <v>2017</v>
      </c>
      <c r="Q686" s="68">
        <v>199.8</v>
      </c>
      <c r="R686" s="67" t="s">
        <v>2018</v>
      </c>
      <c r="S686" s="68">
        <v>214.4</v>
      </c>
      <c r="T686" s="68">
        <f t="shared" si="80"/>
        <v>14.599999999999994</v>
      </c>
      <c r="U686">
        <f t="shared" si="76"/>
        <v>81</v>
      </c>
      <c r="V686">
        <f t="shared" si="81"/>
        <v>10.8</v>
      </c>
      <c r="W686">
        <f t="shared" si="77"/>
        <v>12.18</v>
      </c>
      <c r="X686" s="19">
        <v>45844</v>
      </c>
      <c r="Y686" s="26">
        <v>429</v>
      </c>
      <c r="Z686" s="61">
        <v>0</v>
      </c>
      <c r="AB686" s="28">
        <f t="shared" si="78"/>
        <v>0.13508064516129031</v>
      </c>
      <c r="AE686" s="61" t="str">
        <f t="shared" si="79"/>
        <v/>
      </c>
      <c r="AF686" s="77" t="str">
        <f>_xlfn.XLOOKUP(AD686,menu!$K$2:$K$9,menu!$J$2:$J$9,"",1)</f>
        <v/>
      </c>
      <c r="AG686" s="80" t="str">
        <f>_xlfn.XLOOKUP(AH686,menu!$O$2:$O$9,menu!$H$2:$H$9,"")</f>
        <v/>
      </c>
      <c r="AI686" t="str">
        <f>_xlfn.LET(_xlpm.x,_xlfn.CONCAT(_xlfn.XLOOKUP(D686,beans!$A$2:$A$300,beans!$J$2:$J$300,"")," / ",_xlfn.XLOOKUP(D686,beans!$A$2:$A$300,beans!$K$2:$K$300,"")," - ",_xlfn.XLOOKUP(D686,beans!$A$2:$A$300,beans!$L$2:$L$300,"")),IF(_xlpm.x=" /  - ","",_xlpm.x))</f>
        <v xml:space="preserve">耶加雪菲 / 橋巴 - </v>
      </c>
      <c r="AJ686" s="23" t="s">
        <v>2042</v>
      </c>
    </row>
    <row r="687" spans="1:36" x14ac:dyDescent="0.3">
      <c r="A687">
        <v>670</v>
      </c>
      <c r="B687">
        <v>499</v>
      </c>
      <c r="D687">
        <v>112</v>
      </c>
      <c r="E687" t="str">
        <f>_xlfn.LET(_xlpm.x,_xlfn.XLOOKUP(D687,beans!$A$2:$A$300,beans!$H$2:$H$300,""),IF(_xlpm.x="","",_xlpm.x))</f>
        <v>衣索比亞</v>
      </c>
      <c r="F687" s="22" t="str">
        <f>_xlfn.XLOOKUP(E687,menu!$A$2:$A$37,menu!$B$2:$B$37,"")</f>
        <v>Ethiopia</v>
      </c>
      <c r="G687" t="str">
        <f>_xlfn.XLOOKUP(E687,menu!$A$2:$A$37,menu!$C$2:$C$37,"")</f>
        <v>eth</v>
      </c>
      <c r="H687" t="str">
        <f>_xlfn.LET(_xlpm.x,_xlfn.XLOOKUP(_xlfn.XLOOKUP(D687,beans!$A$2:$A$300,beans!$I$2:$I$300),menu!$E$2:$E$20,menu!$F$2:$F$20),IF(_xlpm.x="","",_xlpm.x))</f>
        <v>washed</v>
      </c>
      <c r="I687">
        <v>190</v>
      </c>
      <c r="J687">
        <v>80</v>
      </c>
      <c r="K687">
        <v>35</v>
      </c>
      <c r="L687">
        <v>90</v>
      </c>
      <c r="M687" s="68" t="s">
        <v>2016</v>
      </c>
      <c r="N687">
        <v>83.7</v>
      </c>
      <c r="P687" s="67" t="s">
        <v>2019</v>
      </c>
      <c r="Q687" s="68">
        <v>201.1</v>
      </c>
      <c r="R687" s="67" t="s">
        <v>2020</v>
      </c>
      <c r="S687" s="68">
        <v>213.2</v>
      </c>
      <c r="T687" s="68">
        <f t="shared" si="80"/>
        <v>12.099999999999994</v>
      </c>
      <c r="U687">
        <f t="shared" si="76"/>
        <v>78</v>
      </c>
      <c r="V687">
        <f t="shared" si="81"/>
        <v>9.3000000000000007</v>
      </c>
      <c r="W687">
        <f t="shared" si="77"/>
        <v>12.28</v>
      </c>
      <c r="X687" s="19">
        <v>45844</v>
      </c>
      <c r="Y687" s="26">
        <v>439</v>
      </c>
      <c r="AB687" s="28">
        <f t="shared" si="78"/>
        <v>0.12024048096192384</v>
      </c>
      <c r="AE687" s="61" t="str">
        <f t="shared" si="79"/>
        <v/>
      </c>
      <c r="AF687" s="77" t="str">
        <f>_xlfn.XLOOKUP(AD687,menu!$K$2:$K$9,menu!$J$2:$J$9,"",1)</f>
        <v/>
      </c>
      <c r="AG687" s="80" t="str">
        <f>_xlfn.XLOOKUP(AH687,menu!$O$2:$O$9,menu!$H$2:$H$9,"")</f>
        <v/>
      </c>
      <c r="AI687" t="str">
        <f>_xlfn.LET(_xlpm.x,_xlfn.CONCAT(_xlfn.XLOOKUP(D687,beans!$A$2:$A$300,beans!$J$2:$J$300,"")," / ",_xlfn.XLOOKUP(D687,beans!$A$2:$A$300,beans!$K$2:$K$300,"")," - ",_xlfn.XLOOKUP(D687,beans!$A$2:$A$300,beans!$L$2:$L$300,"")),IF(_xlpm.x=" /  - ","",_xlpm.x))</f>
        <v xml:space="preserve">西達馬 / 桃子甜心/桃可可 - </v>
      </c>
      <c r="AJ687" s="23" t="s">
        <v>2036</v>
      </c>
    </row>
    <row r="688" spans="1:36" x14ac:dyDescent="0.3">
      <c r="A688">
        <v>671</v>
      </c>
      <c r="B688">
        <v>498</v>
      </c>
      <c r="D688">
        <v>63</v>
      </c>
      <c r="E688" t="str">
        <f>_xlfn.LET(_xlpm.x,_xlfn.XLOOKUP(D688,beans!$A$2:$A$300,beans!$H$2:$H$300,""),IF(_xlpm.x="","",_xlpm.x))</f>
        <v>衣索比亞</v>
      </c>
      <c r="F688" s="22" t="str">
        <f>_xlfn.XLOOKUP(E688,menu!$A$2:$A$37,menu!$B$2:$B$37,"")</f>
        <v>Ethiopia</v>
      </c>
      <c r="G688" t="str">
        <f>_xlfn.XLOOKUP(E688,menu!$A$2:$A$37,menu!$C$2:$C$37,"")</f>
        <v>eth</v>
      </c>
      <c r="H688" t="str">
        <f>_xlfn.LET(_xlpm.x,_xlfn.XLOOKUP(_xlfn.XLOOKUP(D688,beans!$A$2:$A$300,beans!$I$2:$I$300),menu!$E$2:$E$20,menu!$F$2:$F$20),IF(_xlpm.x="","",_xlpm.x))</f>
        <v>washed</v>
      </c>
      <c r="I688">
        <v>190</v>
      </c>
      <c r="J688">
        <v>80</v>
      </c>
      <c r="K688">
        <v>35</v>
      </c>
      <c r="L688">
        <v>90</v>
      </c>
      <c r="M688" s="68" t="s">
        <v>2007</v>
      </c>
      <c r="N688">
        <v>83.4</v>
      </c>
      <c r="P688" s="67" t="s">
        <v>2021</v>
      </c>
      <c r="Q688" s="68">
        <v>199.1</v>
      </c>
      <c r="R688" s="67" t="s">
        <v>2022</v>
      </c>
      <c r="S688" s="68">
        <v>213.6</v>
      </c>
      <c r="T688" s="68">
        <f t="shared" si="80"/>
        <v>14.5</v>
      </c>
      <c r="U688">
        <f t="shared" si="76"/>
        <v>88</v>
      </c>
      <c r="V688">
        <f t="shared" si="81"/>
        <v>9.9</v>
      </c>
      <c r="W688">
        <f t="shared" si="77"/>
        <v>13.56</v>
      </c>
      <c r="X688" s="19">
        <v>45844</v>
      </c>
      <c r="Y688" s="26">
        <v>433</v>
      </c>
      <c r="AB688" s="28">
        <f t="shared" si="78"/>
        <v>0.13052208835341367</v>
      </c>
      <c r="AE688" s="61" t="str">
        <f t="shared" si="79"/>
        <v/>
      </c>
      <c r="AF688" s="77" t="str">
        <f>_xlfn.XLOOKUP(AD688,menu!$K$2:$K$9,menu!$J$2:$J$9,"",1)</f>
        <v/>
      </c>
      <c r="AG688" s="80" t="str">
        <f>_xlfn.XLOOKUP(AH688,menu!$O$2:$O$9,menu!$H$2:$H$9,"")</f>
        <v/>
      </c>
      <c r="AI688" t="str">
        <f>_xlfn.LET(_xlpm.x,_xlfn.CONCAT(_xlfn.XLOOKUP(D688,beans!$A$2:$A$300,beans!$J$2:$J$300,"")," / ",_xlfn.XLOOKUP(D688,beans!$A$2:$A$300,beans!$K$2:$K$300,"")," - ",_xlfn.XLOOKUP(D688,beans!$A$2:$A$300,beans!$L$2:$L$300,"")),IF(_xlpm.x=" /  - ","",_xlpm.x))</f>
        <v>班奇 馬吉 / 露西 - Geisha</v>
      </c>
      <c r="AJ688" s="23" t="s">
        <v>2041</v>
      </c>
    </row>
    <row r="689" spans="1:36" x14ac:dyDescent="0.3">
      <c r="A689">
        <v>672</v>
      </c>
      <c r="B689">
        <v>498</v>
      </c>
      <c r="D689">
        <v>72</v>
      </c>
      <c r="E689" t="str">
        <f>_xlfn.LET(_xlpm.x,_xlfn.XLOOKUP(D689,beans!$A$2:$A$300,beans!$H$2:$H$300,""),IF(_xlpm.x="","",_xlpm.x))</f>
        <v>瓜地馬拉</v>
      </c>
      <c r="F689" s="22" t="str">
        <f>_xlfn.XLOOKUP(E689,menu!$A$2:$A$37,menu!$B$2:$B$37,"")</f>
        <v>Guatemala</v>
      </c>
      <c r="G689" t="str">
        <f>_xlfn.XLOOKUP(E689,menu!$A$2:$A$37,menu!$C$2:$C$37,"")</f>
        <v>gtm</v>
      </c>
      <c r="H689" t="str">
        <f>_xlfn.LET(_xlpm.x,_xlfn.XLOOKUP(_xlfn.XLOOKUP(D689,beans!$A$2:$A$300,beans!$I$2:$I$300),menu!$E$2:$E$20,menu!$F$2:$F$20),IF(_xlpm.x="","",_xlpm.x))</f>
        <v>washed</v>
      </c>
      <c r="I689">
        <v>190</v>
      </c>
      <c r="J689">
        <v>80</v>
      </c>
      <c r="K689">
        <v>35</v>
      </c>
      <c r="L689">
        <v>90</v>
      </c>
      <c r="M689" s="68" t="s">
        <v>2001</v>
      </c>
      <c r="N689">
        <v>83.8</v>
      </c>
      <c r="P689" s="67" t="s">
        <v>2023</v>
      </c>
      <c r="Q689" s="68">
        <v>203.9</v>
      </c>
      <c r="R689" s="67" t="s">
        <v>2024</v>
      </c>
      <c r="S689" s="68">
        <v>231.4</v>
      </c>
      <c r="T689" s="68">
        <f t="shared" si="80"/>
        <v>27.5</v>
      </c>
      <c r="U689">
        <f t="shared" si="76"/>
        <v>120</v>
      </c>
      <c r="V689">
        <f t="shared" si="81"/>
        <v>13.8</v>
      </c>
      <c r="W689">
        <f t="shared" si="77"/>
        <v>17.239999999999998</v>
      </c>
      <c r="X689" s="19">
        <v>45844</v>
      </c>
      <c r="Y689" s="26">
        <v>415.5</v>
      </c>
      <c r="AB689" s="28">
        <f t="shared" si="78"/>
        <v>0.16566265060240964</v>
      </c>
      <c r="AE689" s="61" t="str">
        <f t="shared" si="79"/>
        <v/>
      </c>
      <c r="AF689" s="77" t="str">
        <f>_xlfn.XLOOKUP(AD689,menu!$K$2:$K$9,menu!$J$2:$J$9,"",1)</f>
        <v/>
      </c>
      <c r="AG689" s="80" t="str">
        <f>_xlfn.XLOOKUP(AH689,menu!$O$2:$O$9,menu!$H$2:$H$9,"")</f>
        <v/>
      </c>
      <c r="AI689" t="str">
        <f>_xlfn.LET(_xlpm.x,_xlfn.CONCAT(_xlfn.XLOOKUP(D689,beans!$A$2:$A$300,beans!$J$2:$J$300,"")," / ",_xlfn.XLOOKUP(D689,beans!$A$2:$A$300,beans!$K$2:$K$300,"")," - ",_xlfn.XLOOKUP(D689,beans!$A$2:$A$300,beans!$L$2:$L$300,"")),IF(_xlpm.x=" /  - ","",_xlpm.x))</f>
        <v>薇薇特南果 / 艾因赫特莊園 - 波旁、卡杜拉、卡杜艾</v>
      </c>
      <c r="AJ689" s="23" t="s">
        <v>2040</v>
      </c>
    </row>
    <row r="690" spans="1:36" x14ac:dyDescent="0.3">
      <c r="A690">
        <v>673</v>
      </c>
      <c r="B690">
        <v>497.5</v>
      </c>
      <c r="D690">
        <v>78</v>
      </c>
      <c r="E690" t="str">
        <f>_xlfn.LET(_xlpm.x,_xlfn.XLOOKUP(D690,beans!$A$2:$A$300,beans!$H$2:$H$300,""),IF(_xlpm.x="","",_xlpm.x))</f>
        <v>衣索比亞</v>
      </c>
      <c r="F690" s="22" t="str">
        <f>_xlfn.XLOOKUP(E690,menu!$A$2:$A$37,menu!$B$2:$B$37,"")</f>
        <v>Ethiopia</v>
      </c>
      <c r="G690" t="str">
        <f>_xlfn.XLOOKUP(E690,menu!$A$2:$A$37,menu!$C$2:$C$37,"")</f>
        <v>eth</v>
      </c>
      <c r="H690" t="str">
        <f>_xlfn.LET(_xlpm.x,_xlfn.XLOOKUP(_xlfn.XLOOKUP(D690,beans!$A$2:$A$300,beans!$I$2:$I$300),menu!$E$2:$E$20,menu!$F$2:$F$20),IF(_xlpm.x="","",_xlpm.x))</f>
        <v>honey</v>
      </c>
      <c r="I690">
        <v>190</v>
      </c>
      <c r="J690">
        <v>80</v>
      </c>
      <c r="K690">
        <v>35</v>
      </c>
      <c r="L690">
        <v>90</v>
      </c>
      <c r="M690" s="68" t="s">
        <v>2025</v>
      </c>
      <c r="N690">
        <v>83.7</v>
      </c>
      <c r="P690" s="67" t="s">
        <v>2026</v>
      </c>
      <c r="Q690" s="68">
        <v>203.5</v>
      </c>
      <c r="R690" s="67" t="s">
        <v>2027</v>
      </c>
      <c r="S690" s="68">
        <v>220.2</v>
      </c>
      <c r="T690" s="68">
        <f t="shared" si="80"/>
        <v>16.699999999999989</v>
      </c>
      <c r="U690">
        <f t="shared" si="76"/>
        <v>64</v>
      </c>
      <c r="V690">
        <f t="shared" si="81"/>
        <v>15.7</v>
      </c>
      <c r="W690">
        <f t="shared" si="77"/>
        <v>10</v>
      </c>
      <c r="X690" s="19">
        <v>45844</v>
      </c>
      <c r="Y690" s="26">
        <v>426.2</v>
      </c>
      <c r="Z690" s="61">
        <v>0</v>
      </c>
      <c r="AB690" s="28">
        <f t="shared" si="78"/>
        <v>0.14331658291457289</v>
      </c>
      <c r="AE690" s="61" t="str">
        <f t="shared" si="79"/>
        <v/>
      </c>
      <c r="AF690" s="77" t="str">
        <f>_xlfn.XLOOKUP(AD690,menu!$K$2:$K$9,menu!$J$2:$J$9,"",1)</f>
        <v/>
      </c>
      <c r="AG690" s="80" t="str">
        <f>_xlfn.XLOOKUP(AH690,menu!$O$2:$O$9,menu!$H$2:$H$9,"")</f>
        <v/>
      </c>
      <c r="AI690" t="str">
        <f>_xlfn.LET(_xlpm.x,_xlfn.CONCAT(_xlfn.XLOOKUP(D690,beans!$A$2:$A$300,beans!$J$2:$J$300,"")," / ",_xlfn.XLOOKUP(D690,beans!$A$2:$A$300,beans!$K$2:$K$300,"")," - ",_xlfn.XLOOKUP(D690,beans!$A$2:$A$300,beans!$L$2:$L$300,"")),IF(_xlpm.x=" /  - ","",_xlpm.x))</f>
        <v xml:space="preserve">耶加雪菲 / 科克 - </v>
      </c>
      <c r="AJ690" s="23" t="s">
        <v>2039</v>
      </c>
    </row>
    <row r="691" spans="1:36" x14ac:dyDescent="0.3">
      <c r="A691">
        <v>674</v>
      </c>
      <c r="B691">
        <v>497</v>
      </c>
      <c r="D691">
        <v>93</v>
      </c>
      <c r="E691" t="str">
        <f>_xlfn.LET(_xlpm.x,_xlfn.XLOOKUP(D691,beans!$A$2:$A$300,beans!$H$2:$H$300,""),IF(_xlpm.x="","",_xlpm.x))</f>
        <v>巴拿馬</v>
      </c>
      <c r="F691" s="22" t="str">
        <f>_xlfn.XLOOKUP(E691,menu!$A$2:$A$37,menu!$B$2:$B$37,"")</f>
        <v>Panama</v>
      </c>
      <c r="G691" t="str">
        <f>_xlfn.XLOOKUP(E691,menu!$A$2:$A$37,menu!$C$2:$C$37,"")</f>
        <v>pan</v>
      </c>
      <c r="H691" t="str">
        <f>_xlfn.LET(_xlpm.x,_xlfn.XLOOKUP(_xlfn.XLOOKUP(D691,beans!$A$2:$A$300,beans!$I$2:$I$300),menu!$E$2:$E$20,menu!$F$2:$F$20),IF(_xlpm.x="","",_xlpm.x))</f>
        <v>natural</v>
      </c>
      <c r="I691">
        <v>190</v>
      </c>
      <c r="J691">
        <v>80</v>
      </c>
      <c r="K691">
        <v>35</v>
      </c>
      <c r="L691">
        <v>90</v>
      </c>
      <c r="M691" s="68" t="s">
        <v>2028</v>
      </c>
      <c r="N691">
        <v>83.5</v>
      </c>
      <c r="P691" s="67" t="s">
        <v>2029</v>
      </c>
      <c r="Q691" s="68">
        <v>201.8</v>
      </c>
      <c r="R691" s="67" t="s">
        <v>2030</v>
      </c>
      <c r="S691" s="68">
        <v>216.2</v>
      </c>
      <c r="T691" s="68">
        <f t="shared" si="80"/>
        <v>14.399999999999977</v>
      </c>
      <c r="U691">
        <f t="shared" si="76"/>
        <v>64</v>
      </c>
      <c r="V691">
        <f t="shared" si="81"/>
        <v>13.5</v>
      </c>
      <c r="W691">
        <f t="shared" si="77"/>
        <v>10.16</v>
      </c>
      <c r="X691" s="19">
        <v>45844</v>
      </c>
      <c r="Y691" s="26">
        <v>420</v>
      </c>
      <c r="AB691" s="28">
        <f t="shared" si="78"/>
        <v>0.15492957746478872</v>
      </c>
      <c r="AE691" s="61" t="str">
        <f t="shared" si="79"/>
        <v/>
      </c>
      <c r="AF691" s="77" t="str">
        <f>_xlfn.XLOOKUP(AD691,menu!$K$2:$K$9,menu!$J$2:$J$9,"",1)</f>
        <v/>
      </c>
      <c r="AG691" s="80" t="str">
        <f>_xlfn.XLOOKUP(AH691,menu!$O$2:$O$9,menu!$H$2:$H$9,"")</f>
        <v/>
      </c>
      <c r="AI691" t="str">
        <f>_xlfn.LET(_xlpm.x,_xlfn.CONCAT(_xlfn.XLOOKUP(D691,beans!$A$2:$A$300,beans!$J$2:$J$300,"")," / ",_xlfn.XLOOKUP(D691,beans!$A$2:$A$300,beans!$K$2:$K$300,"")," - ",_xlfn.XLOOKUP(D691,beans!$A$2:$A$300,beans!$L$2:$L$300,"")),IF(_xlpm.x=" /  - ","",_xlpm.x))</f>
        <v xml:space="preserve">波奎特 / 百合花 - </v>
      </c>
      <c r="AJ691" s="23" t="s">
        <v>2038</v>
      </c>
    </row>
    <row r="692" spans="1:36" x14ac:dyDescent="0.3">
      <c r="A692">
        <v>675</v>
      </c>
      <c r="B692">
        <v>490.5</v>
      </c>
      <c r="D692">
        <v>86</v>
      </c>
      <c r="E692" t="str">
        <f>_xlfn.LET(_xlpm.x,_xlfn.XLOOKUP(D692,beans!$A$2:$A$300,beans!$H$2:$H$300,""),IF(_xlpm.x="","",_xlpm.x))</f>
        <v>衣索比亞</v>
      </c>
      <c r="F692" s="22" t="str">
        <f>_xlfn.XLOOKUP(E692,menu!$A$2:$A$37,menu!$B$2:$B$37,"")</f>
        <v>Ethiopia</v>
      </c>
      <c r="G692" t="str">
        <f>_xlfn.XLOOKUP(E692,menu!$A$2:$A$37,menu!$C$2:$C$37,"")</f>
        <v>eth</v>
      </c>
      <c r="H692" t="str">
        <f>_xlfn.LET(_xlpm.x,_xlfn.XLOOKUP(_xlfn.XLOOKUP(D692,beans!$A$2:$A$300,beans!$I$2:$I$300),menu!$E$2:$E$20,menu!$F$2:$F$20),IF(_xlpm.x="","",_xlpm.x))</f>
        <v>natural</v>
      </c>
      <c r="I692">
        <v>190</v>
      </c>
      <c r="J692">
        <v>80</v>
      </c>
      <c r="K692">
        <v>35</v>
      </c>
      <c r="L692">
        <v>90</v>
      </c>
      <c r="M692" s="68" t="s">
        <v>2031</v>
      </c>
      <c r="N692">
        <v>85.5</v>
      </c>
      <c r="P692" s="67" t="s">
        <v>2029</v>
      </c>
      <c r="Q692" s="68">
        <v>202.9</v>
      </c>
      <c r="R692" s="67" t="s">
        <v>2032</v>
      </c>
      <c r="S692" s="68">
        <v>218.7</v>
      </c>
      <c r="T692" s="68">
        <f t="shared" si="80"/>
        <v>15.799999999999983</v>
      </c>
      <c r="U692">
        <f t="shared" si="76"/>
        <v>65</v>
      </c>
      <c r="V692">
        <f t="shared" si="81"/>
        <v>14.6</v>
      </c>
      <c r="W692">
        <f t="shared" si="77"/>
        <v>10.3</v>
      </c>
      <c r="X692" s="19">
        <v>45844</v>
      </c>
      <c r="Y692" s="26">
        <v>420</v>
      </c>
      <c r="AB692" s="28">
        <f t="shared" si="78"/>
        <v>0.14373088685015289</v>
      </c>
      <c r="AE692" s="61" t="str">
        <f t="shared" si="79"/>
        <v/>
      </c>
      <c r="AF692" s="77" t="str">
        <f>_xlfn.XLOOKUP(AD692,menu!$K$2:$K$9,menu!$J$2:$J$9,"",1)</f>
        <v/>
      </c>
      <c r="AG692" s="80" t="str">
        <f>_xlfn.XLOOKUP(AH692,menu!$O$2:$O$9,menu!$H$2:$H$9,"")</f>
        <v/>
      </c>
      <c r="AI692" t="str">
        <f>_xlfn.LET(_xlpm.x,_xlfn.CONCAT(_xlfn.XLOOKUP(D692,beans!$A$2:$A$300,beans!$J$2:$J$300,"")," / ",_xlfn.XLOOKUP(D692,beans!$A$2:$A$300,beans!$K$2:$K$300,"")," - ",_xlfn.XLOOKUP(D692,beans!$A$2:$A$300,beans!$L$2:$L$300,"")),IF(_xlpm.x=" /  - ","",_xlpm.x))</f>
        <v xml:space="preserve">耶加雪菲 / (沃卡)凱菲亞歐蓓絲  Kefeyalew Obese - </v>
      </c>
      <c r="AJ692" s="23" t="s">
        <v>2037</v>
      </c>
    </row>
    <row r="693" spans="1:36" x14ac:dyDescent="0.3">
      <c r="A693">
        <v>676</v>
      </c>
      <c r="B693">
        <v>497</v>
      </c>
      <c r="D693">
        <v>102</v>
      </c>
      <c r="E693" t="str">
        <f>_xlfn.LET(_xlpm.x,_xlfn.XLOOKUP(D693,beans!$A$2:$A$300,beans!$H$2:$H$300,""),IF(_xlpm.x="","",_xlpm.x))</f>
        <v>哥倫比亞</v>
      </c>
      <c r="F693" s="22" t="str">
        <f>_xlfn.XLOOKUP(E693,menu!$A$2:$A$37,menu!$B$2:$B$37,"")</f>
        <v>Colombia</v>
      </c>
      <c r="G693" t="str">
        <f>_xlfn.XLOOKUP(E693,menu!$A$2:$A$37,menu!$C$2:$C$37,"")</f>
        <v>col</v>
      </c>
      <c r="H693" t="str">
        <f>_xlfn.LET(_xlpm.x,_xlfn.XLOOKUP(_xlfn.XLOOKUP(D693,beans!$A$2:$A$300,beans!$I$2:$I$300),menu!$E$2:$E$20,menu!$F$2:$F$20),IF(_xlpm.x="","",_xlpm.x))</f>
        <v>natural</v>
      </c>
      <c r="I693">
        <v>190</v>
      </c>
      <c r="J693">
        <v>80</v>
      </c>
      <c r="K693">
        <v>35</v>
      </c>
      <c r="L693">
        <v>90</v>
      </c>
      <c r="M693" s="68" t="s">
        <v>2033</v>
      </c>
      <c r="N693">
        <v>86.1</v>
      </c>
      <c r="P693" s="67" t="s">
        <v>2034</v>
      </c>
      <c r="Q693" s="68">
        <v>201.8</v>
      </c>
      <c r="R693" s="67" t="s">
        <v>2035</v>
      </c>
      <c r="S693" s="68">
        <v>216</v>
      </c>
      <c r="T693" s="68">
        <f t="shared" si="80"/>
        <v>14.199999999999989</v>
      </c>
      <c r="U693">
        <f t="shared" si="76"/>
        <v>66</v>
      </c>
      <c r="V693">
        <f t="shared" si="81"/>
        <v>12.9</v>
      </c>
      <c r="W693">
        <f t="shared" si="77"/>
        <v>10.68</v>
      </c>
      <c r="X693" s="19">
        <v>45844</v>
      </c>
      <c r="Y693" s="26">
        <v>428.9</v>
      </c>
      <c r="AB693" s="28">
        <f t="shared" si="78"/>
        <v>0.13702213279678074</v>
      </c>
      <c r="AE693" s="61" t="str">
        <f t="shared" si="79"/>
        <v/>
      </c>
      <c r="AF693" s="77" t="str">
        <f>_xlfn.XLOOKUP(AD693,menu!$K$2:$K$9,menu!$J$2:$J$9,"",1)</f>
        <v/>
      </c>
      <c r="AG693" s="80" t="str">
        <f>_xlfn.XLOOKUP(AH693,menu!$O$2:$O$9,menu!$H$2:$H$9,"")</f>
        <v/>
      </c>
      <c r="AI693" t="str">
        <f>_xlfn.LET(_xlpm.x,_xlfn.CONCAT(_xlfn.XLOOKUP(D693,beans!$A$2:$A$300,beans!$J$2:$J$300,"")," / ",_xlfn.XLOOKUP(D693,beans!$A$2:$A$300,beans!$K$2:$K$300,"")," - ",_xlfn.XLOOKUP(D693,beans!$A$2:$A$300,beans!$L$2:$L$300,"")),IF(_xlpm.x=" /  - ","",_xlpm.x))</f>
        <v xml:space="preserve"> / 甜野莓 - </v>
      </c>
      <c r="AJ693" s="23" t="s">
        <v>2036</v>
      </c>
    </row>
    <row r="694" spans="1:36" x14ac:dyDescent="0.3">
      <c r="A694">
        <v>677</v>
      </c>
      <c r="E694" t="str">
        <f>_xlfn.LET(_xlpm.x,_xlfn.XLOOKUP(D694,beans!$A$2:$A$300,beans!$H$2:$H$300,""),IF(_xlpm.x="","",_xlpm.x))</f>
        <v/>
      </c>
      <c r="F694" s="22" t="str">
        <f>_xlfn.XLOOKUP(E694,menu!$A$2:$A$37,menu!$B$2:$B$37,"")</f>
        <v/>
      </c>
      <c r="G694" t="str">
        <f>_xlfn.XLOOKUP(E694,menu!$A$2:$A$37,menu!$C$2:$C$37,"")</f>
        <v/>
      </c>
      <c r="H694" t="str">
        <f>_xlfn.LET(_xlpm.x,_xlfn.XLOOKUP(_xlfn.XLOOKUP(D694,beans!$A$2:$A$300,beans!$I$2:$I$300),menu!$E$2:$E$20,menu!$F$2:$F$20),IF(_xlpm.x="","",_xlpm.x))</f>
        <v/>
      </c>
      <c r="T694" s="68" t="str">
        <f t="shared" si="80"/>
        <v/>
      </c>
      <c r="U694" t="str">
        <f t="shared" si="76"/>
        <v/>
      </c>
      <c r="V694">
        <f t="shared" si="81"/>
        <v>0</v>
      </c>
      <c r="W694" t="str">
        <f t="shared" si="77"/>
        <v/>
      </c>
      <c r="AB694" s="28" t="str">
        <f t="shared" si="78"/>
        <v xml:space="preserve"> </v>
      </c>
      <c r="AE694" s="61" t="str">
        <f t="shared" si="79"/>
        <v/>
      </c>
      <c r="AF694" s="77" t="str">
        <f>_xlfn.XLOOKUP(AD694,menu!$K$2:$K$9,menu!$J$2:$J$9,"",1)</f>
        <v/>
      </c>
      <c r="AG694" s="80" t="str">
        <f>_xlfn.XLOOKUP(AH694,menu!$O$2:$O$9,menu!$H$2:$H$9,"")</f>
        <v/>
      </c>
      <c r="AI694" t="str">
        <f>_xlfn.LET(_xlpm.x,_xlfn.CONCAT(_xlfn.XLOOKUP(D694,beans!$A$2:$A$300,beans!$J$2:$J$300,"")," / ",_xlfn.XLOOKUP(D694,beans!$A$2:$A$300,beans!$K$2:$K$300,"")," - ",_xlfn.XLOOKUP(D694,beans!$A$2:$A$300,beans!$L$2:$L$300,"")),IF(_xlpm.x=" /  - ","",_xlpm.x))</f>
        <v/>
      </c>
    </row>
    <row r="695" spans="1:36" x14ac:dyDescent="0.3">
      <c r="A695">
        <v>678</v>
      </c>
      <c r="E695" t="str">
        <f>_xlfn.LET(_xlpm.x,_xlfn.XLOOKUP(D695,beans!$A$2:$A$300,beans!$H$2:$H$300,""),IF(_xlpm.x="","",_xlpm.x))</f>
        <v/>
      </c>
      <c r="F695" s="22" t="str">
        <f>_xlfn.XLOOKUP(E695,menu!$A$2:$A$37,menu!$B$2:$B$37,"")</f>
        <v/>
      </c>
      <c r="G695" t="str">
        <f>_xlfn.XLOOKUP(E695,menu!$A$2:$A$37,menu!$C$2:$C$37,"")</f>
        <v/>
      </c>
      <c r="H695" t="str">
        <f>_xlfn.LET(_xlpm.x,_xlfn.XLOOKUP(_xlfn.XLOOKUP(D695,beans!$A$2:$A$300,beans!$I$2:$I$300),menu!$E$2:$E$20,menu!$F$2:$F$20),IF(_xlpm.x="","",_xlpm.x))</f>
        <v/>
      </c>
      <c r="T695" s="68" t="str">
        <f t="shared" si="80"/>
        <v/>
      </c>
      <c r="U695" t="str">
        <f t="shared" si="76"/>
        <v/>
      </c>
      <c r="V695">
        <f t="shared" si="81"/>
        <v>0</v>
      </c>
      <c r="W695" t="str">
        <f t="shared" si="77"/>
        <v/>
      </c>
      <c r="AB695" s="28" t="str">
        <f t="shared" si="78"/>
        <v xml:space="preserve"> </v>
      </c>
      <c r="AE695" s="61" t="str">
        <f t="shared" si="79"/>
        <v/>
      </c>
      <c r="AF695" s="77" t="str">
        <f>_xlfn.XLOOKUP(AD695,menu!$K$2:$K$9,menu!$J$2:$J$9,"",1)</f>
        <v/>
      </c>
      <c r="AG695" s="80" t="str">
        <f>_xlfn.XLOOKUP(AH695,menu!$O$2:$O$9,menu!$H$2:$H$9,"")</f>
        <v/>
      </c>
      <c r="AI695" t="str">
        <f>_xlfn.LET(_xlpm.x,_xlfn.CONCAT(_xlfn.XLOOKUP(D695,beans!$A$2:$A$300,beans!$J$2:$J$300,"")," / ",_xlfn.XLOOKUP(D695,beans!$A$2:$A$300,beans!$K$2:$K$300,"")," - ",_xlfn.XLOOKUP(D695,beans!$A$2:$A$300,beans!$L$2:$L$300,"")),IF(_xlpm.x=" /  - ","",_xlpm.x))</f>
        <v/>
      </c>
    </row>
    <row r="696" spans="1:36" x14ac:dyDescent="0.3">
      <c r="A696">
        <v>679</v>
      </c>
      <c r="E696" t="str">
        <f>_xlfn.LET(_xlpm.x,_xlfn.XLOOKUP(D696,beans!$A$2:$A$300,beans!$H$2:$H$300,""),IF(_xlpm.x="","",_xlpm.x))</f>
        <v/>
      </c>
      <c r="F696" s="22" t="str">
        <f>_xlfn.XLOOKUP(E696,menu!$A$2:$A$37,menu!$B$2:$B$37,"")</f>
        <v/>
      </c>
      <c r="G696" t="str">
        <f>_xlfn.XLOOKUP(E696,menu!$A$2:$A$37,menu!$C$2:$C$37,"")</f>
        <v/>
      </c>
      <c r="H696" t="str">
        <f>_xlfn.LET(_xlpm.x,_xlfn.XLOOKUP(_xlfn.XLOOKUP(D696,beans!$A$2:$A$300,beans!$I$2:$I$300),menu!$E$2:$E$20,menu!$F$2:$F$20),IF(_xlpm.x="","",_xlpm.x))</f>
        <v/>
      </c>
      <c r="T696" s="68" t="str">
        <f t="shared" si="80"/>
        <v/>
      </c>
      <c r="U696" t="str">
        <f t="shared" si="76"/>
        <v/>
      </c>
      <c r="V696">
        <f t="shared" si="81"/>
        <v>0</v>
      </c>
      <c r="W696" t="str">
        <f t="shared" si="77"/>
        <v/>
      </c>
      <c r="AB696" s="28" t="str">
        <f t="shared" si="78"/>
        <v xml:space="preserve"> </v>
      </c>
      <c r="AE696" s="61" t="str">
        <f t="shared" si="79"/>
        <v/>
      </c>
      <c r="AF696" s="77" t="str">
        <f>_xlfn.XLOOKUP(AD696,menu!$K$2:$K$9,menu!$J$2:$J$9,"",1)</f>
        <v/>
      </c>
      <c r="AG696" s="80" t="str">
        <f>_xlfn.XLOOKUP(AH696,menu!$O$2:$O$9,menu!$H$2:$H$9,"")</f>
        <v/>
      </c>
      <c r="AI696" t="str">
        <f>_xlfn.LET(_xlpm.x,_xlfn.CONCAT(_xlfn.XLOOKUP(D696,beans!$A$2:$A$300,beans!$J$2:$J$300,"")," / ",_xlfn.XLOOKUP(D696,beans!$A$2:$A$300,beans!$K$2:$K$300,"")," - ",_xlfn.XLOOKUP(D696,beans!$A$2:$A$300,beans!$L$2:$L$300,"")),IF(_xlpm.x=" /  - ","",_xlpm.x))</f>
        <v/>
      </c>
    </row>
    <row r="697" spans="1:36" x14ac:dyDescent="0.3">
      <c r="A697">
        <v>680</v>
      </c>
      <c r="E697" t="str">
        <f>_xlfn.LET(_xlpm.x,_xlfn.XLOOKUP(D697,beans!$A$2:$A$300,beans!$H$2:$H$300,""),IF(_xlpm.x="","",_xlpm.x))</f>
        <v/>
      </c>
      <c r="F697" s="22" t="str">
        <f>_xlfn.XLOOKUP(E697,menu!$A$2:$A$37,menu!$B$2:$B$37,"")</f>
        <v/>
      </c>
      <c r="G697" t="str">
        <f>_xlfn.XLOOKUP(E697,menu!$A$2:$A$37,menu!$C$2:$C$37,"")</f>
        <v/>
      </c>
      <c r="H697" t="str">
        <f>_xlfn.LET(_xlpm.x,_xlfn.XLOOKUP(_xlfn.XLOOKUP(D697,beans!$A$2:$A$300,beans!$I$2:$I$300),menu!$E$2:$E$20,menu!$F$2:$F$20),IF(_xlpm.x="","",_xlpm.x))</f>
        <v/>
      </c>
      <c r="T697" s="68" t="str">
        <f t="shared" si="80"/>
        <v/>
      </c>
      <c r="U697" t="str">
        <f t="shared" si="76"/>
        <v/>
      </c>
      <c r="V697">
        <f t="shared" si="81"/>
        <v>0</v>
      </c>
      <c r="W697" t="str">
        <f t="shared" si="77"/>
        <v/>
      </c>
      <c r="AB697" s="28" t="str">
        <f t="shared" si="78"/>
        <v xml:space="preserve"> </v>
      </c>
      <c r="AE697" s="61" t="str">
        <f t="shared" si="79"/>
        <v/>
      </c>
      <c r="AF697" s="77" t="str">
        <f>_xlfn.XLOOKUP(AD697,menu!$K$2:$K$9,menu!$J$2:$J$9,"",1)</f>
        <v/>
      </c>
      <c r="AG697" s="80" t="str">
        <f>_xlfn.XLOOKUP(AH697,menu!$O$2:$O$9,menu!$H$2:$H$9,"")</f>
        <v/>
      </c>
      <c r="AI697" t="str">
        <f>_xlfn.LET(_xlpm.x,_xlfn.CONCAT(_xlfn.XLOOKUP(D697,beans!$A$2:$A$300,beans!$J$2:$J$300,"")," / ",_xlfn.XLOOKUP(D697,beans!$A$2:$A$300,beans!$K$2:$K$300,"")," - ",_xlfn.XLOOKUP(D697,beans!$A$2:$A$300,beans!$L$2:$L$300,"")),IF(_xlpm.x=" /  - ","",_xlpm.x))</f>
        <v/>
      </c>
    </row>
    <row r="698" spans="1:36" x14ac:dyDescent="0.3">
      <c r="A698">
        <v>681</v>
      </c>
      <c r="E698" t="str">
        <f>_xlfn.LET(_xlpm.x,_xlfn.XLOOKUP(D698,beans!$A$2:$A$300,beans!$H$2:$H$300,""),IF(_xlpm.x="","",_xlpm.x))</f>
        <v/>
      </c>
      <c r="F698" s="22" t="str">
        <f>_xlfn.XLOOKUP(E698,menu!$A$2:$A$37,menu!$B$2:$B$37,"")</f>
        <v/>
      </c>
      <c r="G698" t="str">
        <f>_xlfn.XLOOKUP(E698,menu!$A$2:$A$37,menu!$C$2:$C$37,"")</f>
        <v/>
      </c>
      <c r="H698" t="str">
        <f>_xlfn.LET(_xlpm.x,_xlfn.XLOOKUP(_xlfn.XLOOKUP(D698,beans!$A$2:$A$300,beans!$I$2:$I$300),menu!$E$2:$E$20,menu!$F$2:$F$20),IF(_xlpm.x="","",_xlpm.x))</f>
        <v/>
      </c>
      <c r="T698" s="68" t="str">
        <f t="shared" si="80"/>
        <v/>
      </c>
      <c r="U698" t="str">
        <f t="shared" si="76"/>
        <v/>
      </c>
      <c r="V698">
        <f t="shared" si="81"/>
        <v>0</v>
      </c>
      <c r="W698" t="str">
        <f t="shared" si="77"/>
        <v/>
      </c>
      <c r="AB698" s="28" t="str">
        <f t="shared" si="78"/>
        <v xml:space="preserve"> </v>
      </c>
      <c r="AE698" s="61" t="str">
        <f t="shared" si="79"/>
        <v/>
      </c>
      <c r="AF698" s="77" t="str">
        <f>_xlfn.XLOOKUP(AD698,menu!$K$2:$K$9,menu!$J$2:$J$9,"",1)</f>
        <v/>
      </c>
      <c r="AG698" s="80" t="str">
        <f>_xlfn.XLOOKUP(AH698,menu!$O$2:$O$9,menu!$H$2:$H$9,"")</f>
        <v/>
      </c>
      <c r="AI698" t="str">
        <f>_xlfn.LET(_xlpm.x,_xlfn.CONCAT(_xlfn.XLOOKUP(D698,beans!$A$2:$A$300,beans!$J$2:$J$300,"")," / ",_xlfn.XLOOKUP(D698,beans!$A$2:$A$300,beans!$K$2:$K$300,"")," - ",_xlfn.XLOOKUP(D698,beans!$A$2:$A$300,beans!$L$2:$L$300,"")),IF(_xlpm.x=" /  - ","",_xlpm.x))</f>
        <v/>
      </c>
    </row>
    <row r="699" spans="1:36" x14ac:dyDescent="0.3">
      <c r="A699">
        <v>682</v>
      </c>
      <c r="E699" t="str">
        <f>_xlfn.LET(_xlpm.x,_xlfn.XLOOKUP(D699,beans!$A$2:$A$300,beans!$H$2:$H$300,""),IF(_xlpm.x="","",_xlpm.x))</f>
        <v/>
      </c>
      <c r="F699" s="22" t="str">
        <f>_xlfn.XLOOKUP(E699,menu!$A$2:$A$37,menu!$B$2:$B$37,"")</f>
        <v/>
      </c>
      <c r="G699" t="str">
        <f>_xlfn.XLOOKUP(E699,menu!$A$2:$A$37,menu!$C$2:$C$37,"")</f>
        <v/>
      </c>
      <c r="H699" t="str">
        <f>_xlfn.LET(_xlpm.x,_xlfn.XLOOKUP(_xlfn.XLOOKUP(D699,beans!$A$2:$A$300,beans!$I$2:$I$300),menu!$E$2:$E$20,menu!$F$2:$F$20),IF(_xlpm.x="","",_xlpm.x))</f>
        <v/>
      </c>
      <c r="T699" s="68" t="str">
        <f t="shared" si="80"/>
        <v/>
      </c>
      <c r="U699" t="str">
        <f t="shared" si="76"/>
        <v/>
      </c>
      <c r="V699">
        <f t="shared" si="81"/>
        <v>0</v>
      </c>
      <c r="W699" t="str">
        <f t="shared" si="77"/>
        <v/>
      </c>
      <c r="AB699" s="28" t="str">
        <f t="shared" si="78"/>
        <v xml:space="preserve"> </v>
      </c>
      <c r="AE699" s="61" t="str">
        <f t="shared" si="79"/>
        <v/>
      </c>
      <c r="AF699" s="77" t="str">
        <f>_xlfn.XLOOKUP(AD699,menu!$K$2:$K$9,menu!$J$2:$J$9,"",1)</f>
        <v/>
      </c>
      <c r="AG699" s="80" t="str">
        <f>_xlfn.XLOOKUP(AH699,menu!$O$2:$O$9,menu!$H$2:$H$9,"")</f>
        <v/>
      </c>
      <c r="AI699" t="str">
        <f>_xlfn.LET(_xlpm.x,_xlfn.CONCAT(_xlfn.XLOOKUP(D699,beans!$A$2:$A$300,beans!$J$2:$J$300,"")," / ",_xlfn.XLOOKUP(D699,beans!$A$2:$A$300,beans!$K$2:$K$300,"")," - ",_xlfn.XLOOKUP(D699,beans!$A$2:$A$300,beans!$L$2:$L$300,"")),IF(_xlpm.x=" /  - ","",_xlpm.x))</f>
        <v/>
      </c>
    </row>
    <row r="700" spans="1:36" x14ac:dyDescent="0.3">
      <c r="A700">
        <v>683</v>
      </c>
      <c r="E700" t="str">
        <f>_xlfn.LET(_xlpm.x,_xlfn.XLOOKUP(D700,beans!$A$2:$A$300,beans!$H$2:$H$300,""),IF(_xlpm.x="","",_xlpm.x))</f>
        <v/>
      </c>
      <c r="F700" s="22" t="str">
        <f>_xlfn.XLOOKUP(E700,menu!$A$2:$A$37,menu!$B$2:$B$37,"")</f>
        <v/>
      </c>
      <c r="G700" t="str">
        <f>_xlfn.XLOOKUP(E700,menu!$A$2:$A$37,menu!$C$2:$C$37,"")</f>
        <v/>
      </c>
      <c r="H700" t="str">
        <f>_xlfn.LET(_xlpm.x,_xlfn.XLOOKUP(_xlfn.XLOOKUP(D700,beans!$A$2:$A$300,beans!$I$2:$I$300),menu!$E$2:$E$20,menu!$F$2:$F$20),IF(_xlpm.x="","",_xlpm.x))</f>
        <v/>
      </c>
      <c r="T700" s="68" t="str">
        <f t="shared" si="80"/>
        <v/>
      </c>
      <c r="U700" t="str">
        <f t="shared" si="76"/>
        <v/>
      </c>
      <c r="V700">
        <f t="shared" si="81"/>
        <v>0</v>
      </c>
      <c r="W700" t="str">
        <f t="shared" si="77"/>
        <v/>
      </c>
      <c r="AB700" s="28" t="str">
        <f t="shared" si="78"/>
        <v xml:space="preserve"> </v>
      </c>
      <c r="AE700" s="61" t="str">
        <f t="shared" si="79"/>
        <v/>
      </c>
      <c r="AF700" s="77" t="str">
        <f>_xlfn.XLOOKUP(AD700,menu!$K$2:$K$9,menu!$J$2:$J$9,"",1)</f>
        <v/>
      </c>
      <c r="AG700" s="80" t="str">
        <f>_xlfn.XLOOKUP(AH700,menu!$O$2:$O$9,menu!$H$2:$H$9,"")</f>
        <v/>
      </c>
      <c r="AI700" t="str">
        <f>_xlfn.LET(_xlpm.x,_xlfn.CONCAT(_xlfn.XLOOKUP(D700,beans!$A$2:$A$300,beans!$J$2:$J$300,"")," / ",_xlfn.XLOOKUP(D700,beans!$A$2:$A$300,beans!$K$2:$K$300,"")," - ",_xlfn.XLOOKUP(D700,beans!$A$2:$A$300,beans!$L$2:$L$300,"")),IF(_xlpm.x=" /  - ","",_xlpm.x))</f>
        <v/>
      </c>
    </row>
    <row r="701" spans="1:36" x14ac:dyDescent="0.3">
      <c r="A701">
        <v>684</v>
      </c>
      <c r="E701" t="str">
        <f>_xlfn.LET(_xlpm.x,_xlfn.XLOOKUP(D701,beans!$A$2:$A$300,beans!$H$2:$H$300,""),IF(_xlpm.x="","",_xlpm.x))</f>
        <v/>
      </c>
      <c r="F701" s="22" t="str">
        <f>_xlfn.XLOOKUP(E701,menu!$A$2:$A$37,menu!$B$2:$B$37,"")</f>
        <v/>
      </c>
      <c r="G701" t="str">
        <f>_xlfn.XLOOKUP(E701,menu!$A$2:$A$37,menu!$C$2:$C$37,"")</f>
        <v/>
      </c>
      <c r="H701" t="str">
        <f>_xlfn.LET(_xlpm.x,_xlfn.XLOOKUP(_xlfn.XLOOKUP(D701,beans!$A$2:$A$300,beans!$I$2:$I$300),menu!$E$2:$E$20,menu!$F$2:$F$20),IF(_xlpm.x="","",_xlpm.x))</f>
        <v/>
      </c>
      <c r="T701" s="68" t="str">
        <f t="shared" si="80"/>
        <v/>
      </c>
      <c r="U701" t="str">
        <f t="shared" si="76"/>
        <v/>
      </c>
      <c r="V701">
        <f t="shared" si="81"/>
        <v>0</v>
      </c>
      <c r="W701" t="str">
        <f t="shared" si="77"/>
        <v/>
      </c>
      <c r="AB701" s="28" t="str">
        <f t="shared" si="78"/>
        <v xml:space="preserve"> </v>
      </c>
      <c r="AE701" s="61" t="str">
        <f t="shared" si="79"/>
        <v/>
      </c>
      <c r="AF701" s="77" t="str">
        <f>_xlfn.XLOOKUP(AD701,menu!$K$2:$K$9,menu!$J$2:$J$9,"",1)</f>
        <v/>
      </c>
      <c r="AG701" s="80" t="str">
        <f>_xlfn.XLOOKUP(AH701,menu!$O$2:$O$9,menu!$H$2:$H$9,"")</f>
        <v/>
      </c>
      <c r="AI701" t="str">
        <f>_xlfn.LET(_xlpm.x,_xlfn.CONCAT(_xlfn.XLOOKUP(D701,beans!$A$2:$A$300,beans!$J$2:$J$300,"")," / ",_xlfn.XLOOKUP(D701,beans!$A$2:$A$300,beans!$K$2:$K$300,"")," - ",_xlfn.XLOOKUP(D701,beans!$A$2:$A$300,beans!$L$2:$L$300,"")),IF(_xlpm.x=" /  - ","",_xlpm.x))</f>
        <v/>
      </c>
    </row>
    <row r="702" spans="1:36" x14ac:dyDescent="0.3">
      <c r="A702">
        <v>685</v>
      </c>
      <c r="E702" t="str">
        <f>_xlfn.LET(_xlpm.x,_xlfn.XLOOKUP(D702,beans!$A$2:$A$300,beans!$H$2:$H$300,""),IF(_xlpm.x="","",_xlpm.x))</f>
        <v/>
      </c>
      <c r="F702" s="22" t="str">
        <f>_xlfn.XLOOKUP(E702,menu!$A$2:$A$37,menu!$B$2:$B$37,"")</f>
        <v/>
      </c>
      <c r="G702" t="str">
        <f>_xlfn.XLOOKUP(E702,menu!$A$2:$A$37,menu!$C$2:$C$37,"")</f>
        <v/>
      </c>
      <c r="H702" t="str">
        <f>_xlfn.LET(_xlpm.x,_xlfn.XLOOKUP(_xlfn.XLOOKUP(D702,beans!$A$2:$A$300,beans!$I$2:$I$300),menu!$E$2:$E$20,menu!$F$2:$F$20),IF(_xlpm.x="","",_xlpm.x))</f>
        <v/>
      </c>
      <c r="T702" s="68" t="str">
        <f t="shared" si="80"/>
        <v/>
      </c>
      <c r="U702" t="str">
        <f t="shared" si="76"/>
        <v/>
      </c>
      <c r="V702">
        <f t="shared" si="81"/>
        <v>0</v>
      </c>
      <c r="W702" t="str">
        <f t="shared" si="77"/>
        <v/>
      </c>
      <c r="AB702" s="28" t="str">
        <f t="shared" si="78"/>
        <v xml:space="preserve"> </v>
      </c>
      <c r="AE702" s="61" t="str">
        <f t="shared" si="79"/>
        <v/>
      </c>
      <c r="AF702" s="77" t="str">
        <f>_xlfn.XLOOKUP(AD702,menu!$K$2:$K$9,menu!$J$2:$J$9,"",1)</f>
        <v/>
      </c>
      <c r="AG702" s="80" t="str">
        <f>_xlfn.XLOOKUP(AH702,menu!$O$2:$O$9,menu!$H$2:$H$9,"")</f>
        <v/>
      </c>
      <c r="AI702" t="str">
        <f>_xlfn.LET(_xlpm.x,_xlfn.CONCAT(_xlfn.XLOOKUP(D702,beans!$A$2:$A$300,beans!$J$2:$J$300,"")," / ",_xlfn.XLOOKUP(D702,beans!$A$2:$A$300,beans!$K$2:$K$300,"")," - ",_xlfn.XLOOKUP(D702,beans!$A$2:$A$300,beans!$L$2:$L$300,"")),IF(_xlpm.x=" /  - ","",_xlpm.x))</f>
        <v/>
      </c>
    </row>
    <row r="703" spans="1:36" x14ac:dyDescent="0.3">
      <c r="A703">
        <v>686</v>
      </c>
      <c r="E703" t="str">
        <f>_xlfn.LET(_xlpm.x,_xlfn.XLOOKUP(D703,beans!$A$2:$A$300,beans!$H$2:$H$300,""),IF(_xlpm.x="","",_xlpm.x))</f>
        <v/>
      </c>
      <c r="F703" s="22" t="str">
        <f>_xlfn.XLOOKUP(E703,menu!$A$2:$A$37,menu!$B$2:$B$37,"")</f>
        <v/>
      </c>
      <c r="G703" t="str">
        <f>_xlfn.XLOOKUP(E703,menu!$A$2:$A$37,menu!$C$2:$C$37,"")</f>
        <v/>
      </c>
      <c r="H703" t="str">
        <f>_xlfn.LET(_xlpm.x,_xlfn.XLOOKUP(_xlfn.XLOOKUP(D703,beans!$A$2:$A$300,beans!$I$2:$I$300),menu!$E$2:$E$20,menu!$F$2:$F$20),IF(_xlpm.x="","",_xlpm.x))</f>
        <v/>
      </c>
      <c r="T703" s="68" t="str">
        <f t="shared" si="80"/>
        <v/>
      </c>
      <c r="U703" t="str">
        <f t="shared" si="76"/>
        <v/>
      </c>
      <c r="V703">
        <f t="shared" si="81"/>
        <v>0</v>
      </c>
      <c r="W703" t="str">
        <f t="shared" si="77"/>
        <v/>
      </c>
      <c r="AB703" s="28" t="str">
        <f t="shared" si="78"/>
        <v xml:space="preserve"> </v>
      </c>
      <c r="AE703" s="61" t="str">
        <f t="shared" si="79"/>
        <v/>
      </c>
      <c r="AF703" s="77" t="str">
        <f>_xlfn.XLOOKUP(AD703,menu!$K$2:$K$9,menu!$J$2:$J$9,"",1)</f>
        <v/>
      </c>
      <c r="AG703" s="80" t="str">
        <f>_xlfn.XLOOKUP(AH703,menu!$O$2:$O$9,menu!$H$2:$H$9,"")</f>
        <v/>
      </c>
      <c r="AI703" t="str">
        <f>_xlfn.LET(_xlpm.x,_xlfn.CONCAT(_xlfn.XLOOKUP(D703,beans!$A$2:$A$300,beans!$J$2:$J$300,"")," / ",_xlfn.XLOOKUP(D703,beans!$A$2:$A$300,beans!$K$2:$K$300,"")," - ",_xlfn.XLOOKUP(D703,beans!$A$2:$A$300,beans!$L$2:$L$300,"")),IF(_xlpm.x=" /  - ","",_xlpm.x))</f>
        <v/>
      </c>
    </row>
    <row r="704" spans="1:36" x14ac:dyDescent="0.3">
      <c r="A704">
        <v>687</v>
      </c>
      <c r="E704" t="str">
        <f>_xlfn.LET(_xlpm.x,_xlfn.XLOOKUP(D704,beans!$A$2:$A$300,beans!$H$2:$H$300,""),IF(_xlpm.x="","",_xlpm.x))</f>
        <v/>
      </c>
      <c r="F704" s="22" t="str">
        <f>_xlfn.XLOOKUP(E704,menu!$A$2:$A$37,menu!$B$2:$B$37,"")</f>
        <v/>
      </c>
      <c r="G704" t="str">
        <f>_xlfn.XLOOKUP(E704,menu!$A$2:$A$37,menu!$C$2:$C$37,"")</f>
        <v/>
      </c>
      <c r="H704" t="str">
        <f>_xlfn.LET(_xlpm.x,_xlfn.XLOOKUP(_xlfn.XLOOKUP(D704,beans!$A$2:$A$300,beans!$I$2:$I$300),menu!$E$2:$E$20,menu!$F$2:$F$20),IF(_xlpm.x="","",_xlpm.x))</f>
        <v/>
      </c>
      <c r="T704" s="68" t="str">
        <f t="shared" si="80"/>
        <v/>
      </c>
      <c r="U704" t="str">
        <f t="shared" si="76"/>
        <v/>
      </c>
      <c r="V704">
        <f t="shared" si="81"/>
        <v>0</v>
      </c>
      <c r="W704" t="str">
        <f t="shared" si="77"/>
        <v/>
      </c>
      <c r="AB704" s="28" t="str">
        <f t="shared" si="78"/>
        <v xml:space="preserve"> </v>
      </c>
      <c r="AE704" s="61" t="str">
        <f t="shared" si="79"/>
        <v/>
      </c>
      <c r="AF704" s="77" t="str">
        <f>_xlfn.XLOOKUP(AD704,menu!$K$2:$K$9,menu!$J$2:$J$9,"",1)</f>
        <v/>
      </c>
      <c r="AG704" s="80" t="str">
        <f>_xlfn.XLOOKUP(AH704,menu!$O$2:$O$9,menu!$H$2:$H$9,"")</f>
        <v/>
      </c>
      <c r="AI704" t="str">
        <f>_xlfn.LET(_xlpm.x,_xlfn.CONCAT(_xlfn.XLOOKUP(D704,beans!$A$2:$A$300,beans!$J$2:$J$300,"")," / ",_xlfn.XLOOKUP(D704,beans!$A$2:$A$300,beans!$K$2:$K$300,"")," - ",_xlfn.XLOOKUP(D704,beans!$A$2:$A$300,beans!$L$2:$L$300,"")),IF(_xlpm.x=" /  - ","",_xlpm.x))</f>
        <v/>
      </c>
    </row>
    <row r="705" spans="1:35" x14ac:dyDescent="0.3">
      <c r="A705">
        <v>688</v>
      </c>
      <c r="E705" t="str">
        <f>_xlfn.LET(_xlpm.x,_xlfn.XLOOKUP(D705,beans!$A$2:$A$300,beans!$H$2:$H$300,""),IF(_xlpm.x="","",_xlpm.x))</f>
        <v/>
      </c>
      <c r="F705" s="22" t="str">
        <f>_xlfn.XLOOKUP(E705,menu!$A$2:$A$37,menu!$B$2:$B$37,"")</f>
        <v/>
      </c>
      <c r="G705" t="str">
        <f>_xlfn.XLOOKUP(E705,menu!$A$2:$A$37,menu!$C$2:$C$37,"")</f>
        <v/>
      </c>
      <c r="H705" t="str">
        <f>_xlfn.LET(_xlpm.x,_xlfn.XLOOKUP(_xlfn.XLOOKUP(D705,beans!$A$2:$A$300,beans!$I$2:$I$300),menu!$E$2:$E$20,menu!$F$2:$F$20),IF(_xlpm.x="","",_xlpm.x))</f>
        <v/>
      </c>
      <c r="T705" s="68" t="str">
        <f t="shared" si="80"/>
        <v/>
      </c>
      <c r="U705" t="str">
        <f t="shared" si="76"/>
        <v/>
      </c>
      <c r="V705">
        <f t="shared" si="81"/>
        <v>0</v>
      </c>
      <c r="W705" t="str">
        <f t="shared" si="77"/>
        <v/>
      </c>
      <c r="AB705" s="28" t="str">
        <f t="shared" si="78"/>
        <v xml:space="preserve"> </v>
      </c>
      <c r="AE705" s="61" t="str">
        <f t="shared" si="79"/>
        <v/>
      </c>
      <c r="AF705" s="77" t="str">
        <f>_xlfn.XLOOKUP(AD705,menu!$K$2:$K$9,menu!$J$2:$J$9,"",1)</f>
        <v/>
      </c>
      <c r="AG705" s="80" t="str">
        <f>_xlfn.XLOOKUP(AH705,menu!$O$2:$O$9,menu!$H$2:$H$9,"")</f>
        <v/>
      </c>
      <c r="AI705" t="str">
        <f>_xlfn.LET(_xlpm.x,_xlfn.CONCAT(_xlfn.XLOOKUP(D705,beans!$A$2:$A$300,beans!$J$2:$J$300,"")," / ",_xlfn.XLOOKUP(D705,beans!$A$2:$A$300,beans!$K$2:$K$300,"")," - ",_xlfn.XLOOKUP(D705,beans!$A$2:$A$300,beans!$L$2:$L$300,"")),IF(_xlpm.x=" /  - ","",_xlpm.x))</f>
        <v/>
      </c>
    </row>
    <row r="706" spans="1:35" x14ac:dyDescent="0.3">
      <c r="A706">
        <v>689</v>
      </c>
      <c r="E706" t="str">
        <f>_xlfn.LET(_xlpm.x,_xlfn.XLOOKUP(D706,beans!$A$2:$A$300,beans!$H$2:$H$300,""),IF(_xlpm.x="","",_xlpm.x))</f>
        <v/>
      </c>
      <c r="F706" s="22" t="str">
        <f>_xlfn.XLOOKUP(E706,menu!$A$2:$A$37,menu!$B$2:$B$37,"")</f>
        <v/>
      </c>
      <c r="G706" t="str">
        <f>_xlfn.XLOOKUP(E706,menu!$A$2:$A$37,menu!$C$2:$C$37,"")</f>
        <v/>
      </c>
      <c r="H706" t="str">
        <f>_xlfn.LET(_xlpm.x,_xlfn.XLOOKUP(_xlfn.XLOOKUP(D706,beans!$A$2:$A$300,beans!$I$2:$I$300),menu!$E$2:$E$20,menu!$F$2:$F$20),IF(_xlpm.x="","",_xlpm.x))</f>
        <v/>
      </c>
      <c r="T706" s="68" t="str">
        <f t="shared" si="80"/>
        <v/>
      </c>
      <c r="U706" t="str">
        <f t="shared" ref="U706:U769" si="82">_xlfn.LET(_xlpm.x,(TIMEVALUE("0:"&amp;SUBSTITUTE(R706,"'",":"))-TIMEVALUE("0:"&amp;SUBSTITUTE(P706,"'",":")))*86400,IF(_xlpm.x=0,"",ROUND(_xlpm.x,2)))</f>
        <v/>
      </c>
      <c r="V706">
        <f t="shared" si="81"/>
        <v>0</v>
      </c>
      <c r="W706" t="str">
        <f t="shared" ref="W706:W769" si="83">_xlfn.LET(_xlpm.x,(TIMEVALUE("0:"&amp;SUBSTITUTE(R706,"'",":"))-TIMEVALUE("0:"&amp;SUBSTITUTE(P706,"'",":")))*86400,IF(_xlpm.x=0,"",ROUND(_xlpm.x/((TIMEVALUE("0:"&amp;SUBSTITUTE(R706,"'",":"))-TIMEVALUE("0:0:0"))*864),2)))</f>
        <v/>
      </c>
      <c r="AB706" s="28" t="str">
        <f t="shared" ref="AB706:AB769" si="84">IF(Y706 &gt; 0,(B706-Y706)/B706," ")</f>
        <v xml:space="preserve"> </v>
      </c>
      <c r="AE706" s="61" t="str">
        <f t="shared" ref="AE706:AE769" si="85">_xlfn.LET(_xlpm.x,AD706-AC706,IF(_xlpm.x=0,"",_xlpm.x))</f>
        <v/>
      </c>
      <c r="AF706" s="77" t="str">
        <f>_xlfn.XLOOKUP(AD706,menu!$K$2:$K$9,menu!$J$2:$J$9,"",1)</f>
        <v/>
      </c>
      <c r="AG706" s="80" t="str">
        <f>_xlfn.XLOOKUP(AH706,menu!$O$2:$O$9,menu!$H$2:$H$9,"")</f>
        <v/>
      </c>
      <c r="AI706" t="str">
        <f>_xlfn.LET(_xlpm.x,_xlfn.CONCAT(_xlfn.XLOOKUP(D706,beans!$A$2:$A$300,beans!$J$2:$J$300,"")," / ",_xlfn.XLOOKUP(D706,beans!$A$2:$A$300,beans!$K$2:$K$300,"")," - ",_xlfn.XLOOKUP(D706,beans!$A$2:$A$300,beans!$L$2:$L$300,"")),IF(_xlpm.x=" /  - ","",_xlpm.x))</f>
        <v/>
      </c>
    </row>
    <row r="707" spans="1:35" x14ac:dyDescent="0.3">
      <c r="A707">
        <v>690</v>
      </c>
      <c r="E707" t="str">
        <f>_xlfn.LET(_xlpm.x,_xlfn.XLOOKUP(D707,beans!$A$2:$A$300,beans!$H$2:$H$300,""),IF(_xlpm.x="","",_xlpm.x))</f>
        <v/>
      </c>
      <c r="F707" s="22" t="str">
        <f>_xlfn.XLOOKUP(E707,menu!$A$2:$A$37,menu!$B$2:$B$37,"")</f>
        <v/>
      </c>
      <c r="G707" t="str">
        <f>_xlfn.XLOOKUP(E707,menu!$A$2:$A$37,menu!$C$2:$C$37,"")</f>
        <v/>
      </c>
      <c r="H707" t="str">
        <f>_xlfn.LET(_xlpm.x,_xlfn.XLOOKUP(_xlfn.XLOOKUP(D707,beans!$A$2:$A$300,beans!$I$2:$I$300),menu!$E$2:$E$20,menu!$F$2:$F$20),IF(_xlpm.x="","",_xlpm.x))</f>
        <v/>
      </c>
      <c r="T707" s="68" t="str">
        <f t="shared" ref="T707:T770" si="86">_xlfn.LET(_xlpm.x,S707-Q707,IF(_xlpm.x=0,"",_xlpm.x))</f>
        <v/>
      </c>
      <c r="U707" t="str">
        <f t="shared" si="82"/>
        <v/>
      </c>
      <c r="V707">
        <f t="shared" ref="V707:V770" si="87">IFERROR(ROUND(T707*60/U707,1), )</f>
        <v>0</v>
      </c>
      <c r="W707" t="str">
        <f t="shared" si="83"/>
        <v/>
      </c>
      <c r="AB707" s="28" t="str">
        <f t="shared" si="84"/>
        <v xml:space="preserve"> </v>
      </c>
      <c r="AE707" s="61" t="str">
        <f t="shared" si="85"/>
        <v/>
      </c>
      <c r="AF707" s="77" t="str">
        <f>_xlfn.XLOOKUP(AD707,menu!$K$2:$K$9,menu!$J$2:$J$9,"",1)</f>
        <v/>
      </c>
      <c r="AG707" s="80" t="str">
        <f>_xlfn.XLOOKUP(AH707,menu!$O$2:$O$9,menu!$H$2:$H$9,"")</f>
        <v/>
      </c>
      <c r="AI707" t="str">
        <f>_xlfn.LET(_xlpm.x,_xlfn.CONCAT(_xlfn.XLOOKUP(D707,beans!$A$2:$A$300,beans!$J$2:$J$300,"")," / ",_xlfn.XLOOKUP(D707,beans!$A$2:$A$300,beans!$K$2:$K$300,"")," - ",_xlfn.XLOOKUP(D707,beans!$A$2:$A$300,beans!$L$2:$L$300,"")),IF(_xlpm.x=" /  - ","",_xlpm.x))</f>
        <v/>
      </c>
    </row>
    <row r="708" spans="1:35" x14ac:dyDescent="0.3">
      <c r="A708">
        <v>691</v>
      </c>
      <c r="E708" t="str">
        <f>_xlfn.LET(_xlpm.x,_xlfn.XLOOKUP(D708,beans!$A$2:$A$300,beans!$H$2:$H$300,""),IF(_xlpm.x="","",_xlpm.x))</f>
        <v/>
      </c>
      <c r="F708" s="22" t="str">
        <f>_xlfn.XLOOKUP(E708,menu!$A$2:$A$37,menu!$B$2:$B$37,"")</f>
        <v/>
      </c>
      <c r="G708" t="str">
        <f>_xlfn.XLOOKUP(E708,menu!$A$2:$A$37,menu!$C$2:$C$37,"")</f>
        <v/>
      </c>
      <c r="H708" t="str">
        <f>_xlfn.LET(_xlpm.x,_xlfn.XLOOKUP(_xlfn.XLOOKUP(D708,beans!$A$2:$A$300,beans!$I$2:$I$300),menu!$E$2:$E$20,menu!$F$2:$F$20),IF(_xlpm.x="","",_xlpm.x))</f>
        <v/>
      </c>
      <c r="T708" s="68" t="str">
        <f t="shared" si="86"/>
        <v/>
      </c>
      <c r="U708" t="str">
        <f t="shared" si="82"/>
        <v/>
      </c>
      <c r="V708">
        <f t="shared" si="87"/>
        <v>0</v>
      </c>
      <c r="W708" t="str">
        <f t="shared" si="83"/>
        <v/>
      </c>
      <c r="AB708" s="28" t="str">
        <f t="shared" si="84"/>
        <v xml:space="preserve"> </v>
      </c>
      <c r="AE708" s="61" t="str">
        <f t="shared" si="85"/>
        <v/>
      </c>
      <c r="AF708" s="77" t="str">
        <f>_xlfn.XLOOKUP(AD708,menu!$K$2:$K$9,menu!$J$2:$J$9,"",1)</f>
        <v/>
      </c>
      <c r="AG708" s="80" t="str">
        <f>_xlfn.XLOOKUP(AH708,menu!$O$2:$O$9,menu!$H$2:$H$9,"")</f>
        <v/>
      </c>
      <c r="AI708" t="str">
        <f>_xlfn.LET(_xlpm.x,_xlfn.CONCAT(_xlfn.XLOOKUP(D708,beans!$A$2:$A$300,beans!$J$2:$J$300,"")," / ",_xlfn.XLOOKUP(D708,beans!$A$2:$A$300,beans!$K$2:$K$300,"")," - ",_xlfn.XLOOKUP(D708,beans!$A$2:$A$300,beans!$L$2:$L$300,"")),IF(_xlpm.x=" /  - ","",_xlpm.x))</f>
        <v/>
      </c>
    </row>
    <row r="709" spans="1:35" x14ac:dyDescent="0.3">
      <c r="A709">
        <v>692</v>
      </c>
      <c r="E709" t="str">
        <f>_xlfn.LET(_xlpm.x,_xlfn.XLOOKUP(D709,beans!$A$2:$A$300,beans!$H$2:$H$300,""),IF(_xlpm.x="","",_xlpm.x))</f>
        <v/>
      </c>
      <c r="F709" s="22" t="str">
        <f>_xlfn.XLOOKUP(E709,menu!$A$2:$A$37,menu!$B$2:$B$37,"")</f>
        <v/>
      </c>
      <c r="G709" t="str">
        <f>_xlfn.XLOOKUP(E709,menu!$A$2:$A$37,menu!$C$2:$C$37,"")</f>
        <v/>
      </c>
      <c r="H709" t="str">
        <f>_xlfn.LET(_xlpm.x,_xlfn.XLOOKUP(_xlfn.XLOOKUP(D709,beans!$A$2:$A$300,beans!$I$2:$I$300),menu!$E$2:$E$20,menu!$F$2:$F$20),IF(_xlpm.x="","",_xlpm.x))</f>
        <v/>
      </c>
      <c r="T709" s="68" t="str">
        <f t="shared" si="86"/>
        <v/>
      </c>
      <c r="U709" t="str">
        <f t="shared" si="82"/>
        <v/>
      </c>
      <c r="V709">
        <f t="shared" si="87"/>
        <v>0</v>
      </c>
      <c r="W709" t="str">
        <f t="shared" si="83"/>
        <v/>
      </c>
      <c r="AB709" s="28" t="str">
        <f t="shared" si="84"/>
        <v xml:space="preserve"> </v>
      </c>
      <c r="AE709" s="61" t="str">
        <f t="shared" si="85"/>
        <v/>
      </c>
      <c r="AF709" s="77" t="str">
        <f>_xlfn.XLOOKUP(AD709,menu!$K$2:$K$9,menu!$J$2:$J$9,"",1)</f>
        <v/>
      </c>
      <c r="AG709" s="80" t="str">
        <f>_xlfn.XLOOKUP(AH709,menu!$O$2:$O$9,menu!$H$2:$H$9,"")</f>
        <v/>
      </c>
      <c r="AI709" t="str">
        <f>_xlfn.LET(_xlpm.x,_xlfn.CONCAT(_xlfn.XLOOKUP(D709,beans!$A$2:$A$300,beans!$J$2:$J$300,"")," / ",_xlfn.XLOOKUP(D709,beans!$A$2:$A$300,beans!$K$2:$K$300,"")," - ",_xlfn.XLOOKUP(D709,beans!$A$2:$A$300,beans!$L$2:$L$300,"")),IF(_xlpm.x=" /  - ","",_xlpm.x))</f>
        <v/>
      </c>
    </row>
    <row r="710" spans="1:35" x14ac:dyDescent="0.3">
      <c r="A710">
        <v>693</v>
      </c>
      <c r="E710" t="str">
        <f>_xlfn.LET(_xlpm.x,_xlfn.XLOOKUP(D710,beans!$A$2:$A$300,beans!$H$2:$H$300,""),IF(_xlpm.x="","",_xlpm.x))</f>
        <v/>
      </c>
      <c r="F710" s="22" t="str">
        <f>_xlfn.XLOOKUP(E710,menu!$A$2:$A$37,menu!$B$2:$B$37,"")</f>
        <v/>
      </c>
      <c r="G710" t="str">
        <f>_xlfn.XLOOKUP(E710,menu!$A$2:$A$37,menu!$C$2:$C$37,"")</f>
        <v/>
      </c>
      <c r="H710" t="str">
        <f>_xlfn.LET(_xlpm.x,_xlfn.XLOOKUP(_xlfn.XLOOKUP(D710,beans!$A$2:$A$300,beans!$I$2:$I$300),menu!$E$2:$E$20,menu!$F$2:$F$20),IF(_xlpm.x="","",_xlpm.x))</f>
        <v/>
      </c>
      <c r="T710" s="68" t="str">
        <f t="shared" si="86"/>
        <v/>
      </c>
      <c r="U710" t="str">
        <f t="shared" si="82"/>
        <v/>
      </c>
      <c r="V710">
        <f t="shared" si="87"/>
        <v>0</v>
      </c>
      <c r="W710" t="str">
        <f t="shared" si="83"/>
        <v/>
      </c>
      <c r="AB710" s="28" t="str">
        <f t="shared" si="84"/>
        <v xml:space="preserve"> </v>
      </c>
      <c r="AE710" s="61" t="str">
        <f t="shared" si="85"/>
        <v/>
      </c>
      <c r="AF710" s="77" t="str">
        <f>_xlfn.XLOOKUP(AD710,menu!$K$2:$K$9,menu!$J$2:$J$9,"",1)</f>
        <v/>
      </c>
      <c r="AG710" s="80" t="str">
        <f>_xlfn.XLOOKUP(AH710,menu!$O$2:$O$9,menu!$H$2:$H$9,"")</f>
        <v/>
      </c>
      <c r="AI710" t="str">
        <f>_xlfn.LET(_xlpm.x,_xlfn.CONCAT(_xlfn.XLOOKUP(D710,beans!$A$2:$A$300,beans!$J$2:$J$300,"")," / ",_xlfn.XLOOKUP(D710,beans!$A$2:$A$300,beans!$K$2:$K$300,"")," - ",_xlfn.XLOOKUP(D710,beans!$A$2:$A$300,beans!$L$2:$L$300,"")),IF(_xlpm.x=" /  - ","",_xlpm.x))</f>
        <v/>
      </c>
    </row>
    <row r="711" spans="1:35" x14ac:dyDescent="0.3">
      <c r="A711">
        <v>694</v>
      </c>
      <c r="E711" t="str">
        <f>_xlfn.LET(_xlpm.x,_xlfn.XLOOKUP(D711,beans!$A$2:$A$300,beans!$H$2:$H$300,""),IF(_xlpm.x="","",_xlpm.x))</f>
        <v/>
      </c>
      <c r="F711" s="22" t="str">
        <f>_xlfn.XLOOKUP(E711,menu!$A$2:$A$37,menu!$B$2:$B$37,"")</f>
        <v/>
      </c>
      <c r="G711" t="str">
        <f>_xlfn.XLOOKUP(E711,menu!$A$2:$A$37,menu!$C$2:$C$37,"")</f>
        <v/>
      </c>
      <c r="H711" t="str">
        <f>_xlfn.LET(_xlpm.x,_xlfn.XLOOKUP(_xlfn.XLOOKUP(D711,beans!$A$2:$A$300,beans!$I$2:$I$300),menu!$E$2:$E$20,menu!$F$2:$F$20),IF(_xlpm.x="","",_xlpm.x))</f>
        <v/>
      </c>
      <c r="T711" s="68" t="str">
        <f t="shared" si="86"/>
        <v/>
      </c>
      <c r="U711" t="str">
        <f t="shared" si="82"/>
        <v/>
      </c>
      <c r="V711">
        <f t="shared" si="87"/>
        <v>0</v>
      </c>
      <c r="W711" t="str">
        <f t="shared" si="83"/>
        <v/>
      </c>
      <c r="AB711" s="28" t="str">
        <f t="shared" si="84"/>
        <v xml:space="preserve"> </v>
      </c>
      <c r="AE711" s="61" t="str">
        <f t="shared" si="85"/>
        <v/>
      </c>
      <c r="AF711" s="77" t="str">
        <f>_xlfn.XLOOKUP(AD711,menu!$K$2:$K$9,menu!$J$2:$J$9,"",1)</f>
        <v/>
      </c>
      <c r="AG711" s="80" t="str">
        <f>_xlfn.XLOOKUP(AH711,menu!$O$2:$O$9,menu!$H$2:$H$9,"")</f>
        <v/>
      </c>
      <c r="AI711" t="str">
        <f>_xlfn.LET(_xlpm.x,_xlfn.CONCAT(_xlfn.XLOOKUP(D711,beans!$A$2:$A$300,beans!$J$2:$J$300,"")," / ",_xlfn.XLOOKUP(D711,beans!$A$2:$A$300,beans!$K$2:$K$300,"")," - ",_xlfn.XLOOKUP(D711,beans!$A$2:$A$300,beans!$L$2:$L$300,"")),IF(_xlpm.x=" /  - ","",_xlpm.x))</f>
        <v/>
      </c>
    </row>
    <row r="712" spans="1:35" x14ac:dyDescent="0.3">
      <c r="A712">
        <v>695</v>
      </c>
      <c r="E712" t="str">
        <f>_xlfn.LET(_xlpm.x,_xlfn.XLOOKUP(D712,beans!$A$2:$A$300,beans!$H$2:$H$300,""),IF(_xlpm.x="","",_xlpm.x))</f>
        <v/>
      </c>
      <c r="F712" s="22" t="str">
        <f>_xlfn.XLOOKUP(E712,menu!$A$2:$A$37,menu!$B$2:$B$37,"")</f>
        <v/>
      </c>
      <c r="G712" t="str">
        <f>_xlfn.XLOOKUP(E712,menu!$A$2:$A$37,menu!$C$2:$C$37,"")</f>
        <v/>
      </c>
      <c r="H712" t="str">
        <f>_xlfn.LET(_xlpm.x,_xlfn.XLOOKUP(_xlfn.XLOOKUP(D712,beans!$A$2:$A$300,beans!$I$2:$I$300),menu!$E$2:$E$20,menu!$F$2:$F$20),IF(_xlpm.x="","",_xlpm.x))</f>
        <v/>
      </c>
      <c r="T712" s="68" t="str">
        <f t="shared" si="86"/>
        <v/>
      </c>
      <c r="U712" t="str">
        <f t="shared" si="82"/>
        <v/>
      </c>
      <c r="V712">
        <f t="shared" si="87"/>
        <v>0</v>
      </c>
      <c r="W712" t="str">
        <f t="shared" si="83"/>
        <v/>
      </c>
      <c r="AB712" s="28" t="str">
        <f t="shared" si="84"/>
        <v xml:space="preserve"> </v>
      </c>
      <c r="AE712" s="61" t="str">
        <f t="shared" si="85"/>
        <v/>
      </c>
      <c r="AF712" s="77" t="str">
        <f>_xlfn.XLOOKUP(AD712,menu!$K$2:$K$9,menu!$J$2:$J$9,"",1)</f>
        <v/>
      </c>
      <c r="AG712" s="80" t="str">
        <f>_xlfn.XLOOKUP(AH712,menu!$O$2:$O$9,menu!$H$2:$H$9,"")</f>
        <v/>
      </c>
      <c r="AI712" t="str">
        <f>_xlfn.LET(_xlpm.x,_xlfn.CONCAT(_xlfn.XLOOKUP(D712,beans!$A$2:$A$300,beans!$J$2:$J$300,"")," / ",_xlfn.XLOOKUP(D712,beans!$A$2:$A$300,beans!$K$2:$K$300,"")," - ",_xlfn.XLOOKUP(D712,beans!$A$2:$A$300,beans!$L$2:$L$300,"")),IF(_xlpm.x=" /  - ","",_xlpm.x))</f>
        <v/>
      </c>
    </row>
    <row r="713" spans="1:35" x14ac:dyDescent="0.3">
      <c r="A713">
        <v>696</v>
      </c>
      <c r="E713" t="str">
        <f>_xlfn.LET(_xlpm.x,_xlfn.XLOOKUP(D713,beans!$A$2:$A$300,beans!$H$2:$H$300,""),IF(_xlpm.x="","",_xlpm.x))</f>
        <v/>
      </c>
      <c r="F713" s="22" t="str">
        <f>_xlfn.XLOOKUP(E713,menu!$A$2:$A$37,menu!$B$2:$B$37,"")</f>
        <v/>
      </c>
      <c r="G713" t="str">
        <f>_xlfn.XLOOKUP(E713,menu!$A$2:$A$37,menu!$C$2:$C$37,"")</f>
        <v/>
      </c>
      <c r="H713" t="str">
        <f>_xlfn.LET(_xlpm.x,_xlfn.XLOOKUP(_xlfn.XLOOKUP(D713,beans!$A$2:$A$300,beans!$I$2:$I$300),menu!$E$2:$E$20,menu!$F$2:$F$20),IF(_xlpm.x="","",_xlpm.x))</f>
        <v/>
      </c>
      <c r="T713" s="68" t="str">
        <f t="shared" si="86"/>
        <v/>
      </c>
      <c r="U713" t="str">
        <f t="shared" si="82"/>
        <v/>
      </c>
      <c r="V713">
        <f t="shared" si="87"/>
        <v>0</v>
      </c>
      <c r="W713" t="str">
        <f t="shared" si="83"/>
        <v/>
      </c>
      <c r="AB713" s="28" t="str">
        <f t="shared" si="84"/>
        <v xml:space="preserve"> </v>
      </c>
      <c r="AE713" s="61" t="str">
        <f t="shared" si="85"/>
        <v/>
      </c>
      <c r="AF713" s="77" t="str">
        <f>_xlfn.XLOOKUP(AD713,menu!$K$2:$K$9,menu!$J$2:$J$9,"",1)</f>
        <v/>
      </c>
      <c r="AG713" s="80" t="str">
        <f>_xlfn.XLOOKUP(AH713,menu!$O$2:$O$9,menu!$H$2:$H$9,"")</f>
        <v/>
      </c>
      <c r="AI713" t="str">
        <f>_xlfn.LET(_xlpm.x,_xlfn.CONCAT(_xlfn.XLOOKUP(D713,beans!$A$2:$A$300,beans!$J$2:$J$300,"")," / ",_xlfn.XLOOKUP(D713,beans!$A$2:$A$300,beans!$K$2:$K$300,"")," - ",_xlfn.XLOOKUP(D713,beans!$A$2:$A$300,beans!$L$2:$L$300,"")),IF(_xlpm.x=" /  - ","",_xlpm.x))</f>
        <v/>
      </c>
    </row>
    <row r="714" spans="1:35" x14ac:dyDescent="0.3">
      <c r="A714">
        <v>697</v>
      </c>
      <c r="E714" t="str">
        <f>_xlfn.LET(_xlpm.x,_xlfn.XLOOKUP(D714,beans!$A$2:$A$300,beans!$H$2:$H$300,""),IF(_xlpm.x="","",_xlpm.x))</f>
        <v/>
      </c>
      <c r="F714" s="22" t="str">
        <f>_xlfn.XLOOKUP(E714,menu!$A$2:$A$37,menu!$B$2:$B$37,"")</f>
        <v/>
      </c>
      <c r="G714" t="str">
        <f>_xlfn.XLOOKUP(E714,menu!$A$2:$A$37,menu!$C$2:$C$37,"")</f>
        <v/>
      </c>
      <c r="H714" t="str">
        <f>_xlfn.LET(_xlpm.x,_xlfn.XLOOKUP(_xlfn.XLOOKUP(D714,beans!$A$2:$A$300,beans!$I$2:$I$300),menu!$E$2:$E$20,menu!$F$2:$F$20),IF(_xlpm.x="","",_xlpm.x))</f>
        <v/>
      </c>
      <c r="T714" s="68" t="str">
        <f t="shared" si="86"/>
        <v/>
      </c>
      <c r="U714" t="str">
        <f t="shared" si="82"/>
        <v/>
      </c>
      <c r="V714">
        <f t="shared" si="87"/>
        <v>0</v>
      </c>
      <c r="W714" t="str">
        <f t="shared" si="83"/>
        <v/>
      </c>
      <c r="AB714" s="28" t="str">
        <f t="shared" si="84"/>
        <v xml:space="preserve"> </v>
      </c>
      <c r="AE714" s="61" t="str">
        <f t="shared" si="85"/>
        <v/>
      </c>
      <c r="AF714" s="77" t="str">
        <f>_xlfn.XLOOKUP(AD714,menu!$K$2:$K$9,menu!$J$2:$J$9,"",1)</f>
        <v/>
      </c>
      <c r="AG714" s="80" t="str">
        <f>_xlfn.XLOOKUP(AH714,menu!$O$2:$O$9,menu!$H$2:$H$9,"")</f>
        <v/>
      </c>
      <c r="AI714" t="str">
        <f>_xlfn.LET(_xlpm.x,_xlfn.CONCAT(_xlfn.XLOOKUP(D714,beans!$A$2:$A$300,beans!$J$2:$J$300,"")," / ",_xlfn.XLOOKUP(D714,beans!$A$2:$A$300,beans!$K$2:$K$300,"")," - ",_xlfn.XLOOKUP(D714,beans!$A$2:$A$300,beans!$L$2:$L$300,"")),IF(_xlpm.x=" /  - ","",_xlpm.x))</f>
        <v/>
      </c>
    </row>
    <row r="715" spans="1:35" x14ac:dyDescent="0.3">
      <c r="A715">
        <v>698</v>
      </c>
      <c r="E715" t="str">
        <f>_xlfn.LET(_xlpm.x,_xlfn.XLOOKUP(D715,beans!$A$2:$A$300,beans!$H$2:$H$300,""),IF(_xlpm.x="","",_xlpm.x))</f>
        <v/>
      </c>
      <c r="F715" s="22" t="str">
        <f>_xlfn.XLOOKUP(E715,menu!$A$2:$A$37,menu!$B$2:$B$37,"")</f>
        <v/>
      </c>
      <c r="G715" t="str">
        <f>_xlfn.XLOOKUP(E715,menu!$A$2:$A$37,menu!$C$2:$C$37,"")</f>
        <v/>
      </c>
      <c r="H715" t="str">
        <f>_xlfn.LET(_xlpm.x,_xlfn.XLOOKUP(_xlfn.XLOOKUP(D715,beans!$A$2:$A$300,beans!$I$2:$I$300),menu!$E$2:$E$20,menu!$F$2:$F$20),IF(_xlpm.x="","",_xlpm.x))</f>
        <v/>
      </c>
      <c r="T715" s="68" t="str">
        <f t="shared" si="86"/>
        <v/>
      </c>
      <c r="U715" t="str">
        <f t="shared" si="82"/>
        <v/>
      </c>
      <c r="V715">
        <f t="shared" si="87"/>
        <v>0</v>
      </c>
      <c r="W715" t="str">
        <f t="shared" si="83"/>
        <v/>
      </c>
      <c r="AB715" s="28" t="str">
        <f t="shared" si="84"/>
        <v xml:space="preserve"> </v>
      </c>
      <c r="AE715" s="61" t="str">
        <f t="shared" si="85"/>
        <v/>
      </c>
      <c r="AF715" s="77" t="str">
        <f>_xlfn.XLOOKUP(AD715,menu!$K$2:$K$9,menu!$J$2:$J$9,"",1)</f>
        <v/>
      </c>
      <c r="AG715" s="80" t="str">
        <f>_xlfn.XLOOKUP(AH715,menu!$O$2:$O$9,menu!$H$2:$H$9,"")</f>
        <v/>
      </c>
      <c r="AI715" t="str">
        <f>_xlfn.LET(_xlpm.x,_xlfn.CONCAT(_xlfn.XLOOKUP(D715,beans!$A$2:$A$300,beans!$J$2:$J$300,"")," / ",_xlfn.XLOOKUP(D715,beans!$A$2:$A$300,beans!$K$2:$K$300,"")," - ",_xlfn.XLOOKUP(D715,beans!$A$2:$A$300,beans!$L$2:$L$300,"")),IF(_xlpm.x=" /  - ","",_xlpm.x))</f>
        <v/>
      </c>
    </row>
    <row r="716" spans="1:35" x14ac:dyDescent="0.3">
      <c r="A716">
        <v>699</v>
      </c>
      <c r="E716" t="str">
        <f>_xlfn.LET(_xlpm.x,_xlfn.XLOOKUP(D716,beans!$A$2:$A$300,beans!$H$2:$H$300,""),IF(_xlpm.x="","",_xlpm.x))</f>
        <v/>
      </c>
      <c r="F716" s="22" t="str">
        <f>_xlfn.XLOOKUP(E716,menu!$A$2:$A$37,menu!$B$2:$B$37,"")</f>
        <v/>
      </c>
      <c r="G716" t="str">
        <f>_xlfn.XLOOKUP(E716,menu!$A$2:$A$37,menu!$C$2:$C$37,"")</f>
        <v/>
      </c>
      <c r="H716" t="str">
        <f>_xlfn.LET(_xlpm.x,_xlfn.XLOOKUP(_xlfn.XLOOKUP(D716,beans!$A$2:$A$300,beans!$I$2:$I$300),menu!$E$2:$E$20,menu!$F$2:$F$20),IF(_xlpm.x="","",_xlpm.x))</f>
        <v/>
      </c>
      <c r="T716" s="68" t="str">
        <f t="shared" si="86"/>
        <v/>
      </c>
      <c r="U716" t="str">
        <f t="shared" si="82"/>
        <v/>
      </c>
      <c r="V716">
        <f t="shared" si="87"/>
        <v>0</v>
      </c>
      <c r="W716" t="str">
        <f t="shared" si="83"/>
        <v/>
      </c>
      <c r="AB716" s="28" t="str">
        <f t="shared" si="84"/>
        <v xml:space="preserve"> </v>
      </c>
      <c r="AE716" s="61" t="str">
        <f t="shared" si="85"/>
        <v/>
      </c>
      <c r="AF716" s="77" t="str">
        <f>_xlfn.XLOOKUP(AD716,menu!$K$2:$K$9,menu!$J$2:$J$9,"",1)</f>
        <v/>
      </c>
      <c r="AG716" s="80" t="str">
        <f>_xlfn.XLOOKUP(AH716,menu!$O$2:$O$9,menu!$H$2:$H$9,"")</f>
        <v/>
      </c>
      <c r="AI716" t="str">
        <f>_xlfn.LET(_xlpm.x,_xlfn.CONCAT(_xlfn.XLOOKUP(D716,beans!$A$2:$A$300,beans!$J$2:$J$300,"")," / ",_xlfn.XLOOKUP(D716,beans!$A$2:$A$300,beans!$K$2:$K$300,"")," - ",_xlfn.XLOOKUP(D716,beans!$A$2:$A$300,beans!$L$2:$L$300,"")),IF(_xlpm.x=" /  - ","",_xlpm.x))</f>
        <v/>
      </c>
    </row>
    <row r="717" spans="1:35" x14ac:dyDescent="0.3">
      <c r="A717">
        <v>700</v>
      </c>
      <c r="E717" t="str">
        <f>_xlfn.LET(_xlpm.x,_xlfn.XLOOKUP(D717,beans!$A$2:$A$300,beans!$H$2:$H$300,""),IF(_xlpm.x="","",_xlpm.x))</f>
        <v/>
      </c>
      <c r="F717" s="22" t="str">
        <f>_xlfn.XLOOKUP(E717,menu!$A$2:$A$37,menu!$B$2:$B$37,"")</f>
        <v/>
      </c>
      <c r="G717" t="str">
        <f>_xlfn.XLOOKUP(E717,menu!$A$2:$A$37,menu!$C$2:$C$37,"")</f>
        <v/>
      </c>
      <c r="H717" t="str">
        <f>_xlfn.LET(_xlpm.x,_xlfn.XLOOKUP(_xlfn.XLOOKUP(D717,beans!$A$2:$A$300,beans!$I$2:$I$300),menu!$E$2:$E$20,menu!$F$2:$F$20),IF(_xlpm.x="","",_xlpm.x))</f>
        <v/>
      </c>
      <c r="T717" s="68" t="str">
        <f t="shared" si="86"/>
        <v/>
      </c>
      <c r="U717" t="str">
        <f t="shared" si="82"/>
        <v/>
      </c>
      <c r="V717">
        <f t="shared" si="87"/>
        <v>0</v>
      </c>
      <c r="W717" t="str">
        <f t="shared" si="83"/>
        <v/>
      </c>
      <c r="AB717" s="28" t="str">
        <f t="shared" si="84"/>
        <v xml:space="preserve"> </v>
      </c>
      <c r="AE717" s="61" t="str">
        <f t="shared" si="85"/>
        <v/>
      </c>
      <c r="AF717" s="77" t="str">
        <f>_xlfn.XLOOKUP(AD717,menu!$K$2:$K$9,menu!$J$2:$J$9,"",1)</f>
        <v/>
      </c>
      <c r="AG717" s="80" t="str">
        <f>_xlfn.XLOOKUP(AH717,menu!$O$2:$O$9,menu!$H$2:$H$9,"")</f>
        <v/>
      </c>
      <c r="AI717" t="str">
        <f>_xlfn.LET(_xlpm.x,_xlfn.CONCAT(_xlfn.XLOOKUP(D717,beans!$A$2:$A$300,beans!$J$2:$J$300,"")," / ",_xlfn.XLOOKUP(D717,beans!$A$2:$A$300,beans!$K$2:$K$300,"")," - ",_xlfn.XLOOKUP(D717,beans!$A$2:$A$300,beans!$L$2:$L$300,"")),IF(_xlpm.x=" /  - ","",_xlpm.x))</f>
        <v/>
      </c>
    </row>
    <row r="718" spans="1:35" x14ac:dyDescent="0.3">
      <c r="A718">
        <v>701</v>
      </c>
      <c r="E718" t="str">
        <f>_xlfn.LET(_xlpm.x,_xlfn.XLOOKUP(D718,beans!$A$2:$A$300,beans!$H$2:$H$300,""),IF(_xlpm.x="","",_xlpm.x))</f>
        <v/>
      </c>
      <c r="F718" s="22" t="str">
        <f>_xlfn.XLOOKUP(E718,menu!$A$2:$A$37,menu!$B$2:$B$37,"")</f>
        <v/>
      </c>
      <c r="G718" t="str">
        <f>_xlfn.XLOOKUP(E718,menu!$A$2:$A$37,menu!$C$2:$C$37,"")</f>
        <v/>
      </c>
      <c r="H718" t="str">
        <f>_xlfn.LET(_xlpm.x,_xlfn.XLOOKUP(_xlfn.XLOOKUP(D718,beans!$A$2:$A$300,beans!$I$2:$I$300),menu!$E$2:$E$20,menu!$F$2:$F$20),IF(_xlpm.x="","",_xlpm.x))</f>
        <v/>
      </c>
      <c r="T718" s="68" t="str">
        <f t="shared" si="86"/>
        <v/>
      </c>
      <c r="U718" t="str">
        <f t="shared" si="82"/>
        <v/>
      </c>
      <c r="V718">
        <f t="shared" si="87"/>
        <v>0</v>
      </c>
      <c r="W718" t="str">
        <f t="shared" si="83"/>
        <v/>
      </c>
      <c r="AB718" s="28" t="str">
        <f t="shared" si="84"/>
        <v xml:space="preserve"> </v>
      </c>
      <c r="AE718" s="61" t="str">
        <f t="shared" si="85"/>
        <v/>
      </c>
      <c r="AF718" s="77" t="str">
        <f>_xlfn.XLOOKUP(AD718,menu!$K$2:$K$9,menu!$J$2:$J$9,"",1)</f>
        <v/>
      </c>
      <c r="AG718" s="80" t="str">
        <f>_xlfn.XLOOKUP(AH718,menu!$O$2:$O$9,menu!$H$2:$H$9,"")</f>
        <v/>
      </c>
      <c r="AI718" t="str">
        <f>_xlfn.LET(_xlpm.x,_xlfn.CONCAT(_xlfn.XLOOKUP(D718,beans!$A$2:$A$300,beans!$J$2:$J$300,"")," / ",_xlfn.XLOOKUP(D718,beans!$A$2:$A$300,beans!$K$2:$K$300,"")," - ",_xlfn.XLOOKUP(D718,beans!$A$2:$A$300,beans!$L$2:$L$300,"")),IF(_xlpm.x=" /  - ","",_xlpm.x))</f>
        <v/>
      </c>
    </row>
    <row r="719" spans="1:35" x14ac:dyDescent="0.3">
      <c r="A719">
        <v>702</v>
      </c>
      <c r="E719" t="str">
        <f>_xlfn.LET(_xlpm.x,_xlfn.XLOOKUP(D719,beans!$A$2:$A$300,beans!$H$2:$H$300,""),IF(_xlpm.x="","",_xlpm.x))</f>
        <v/>
      </c>
      <c r="F719" s="22" t="str">
        <f>_xlfn.XLOOKUP(E719,menu!$A$2:$A$37,menu!$B$2:$B$37,"")</f>
        <v/>
      </c>
      <c r="G719" t="str">
        <f>_xlfn.XLOOKUP(E719,menu!$A$2:$A$37,menu!$C$2:$C$37,"")</f>
        <v/>
      </c>
      <c r="H719" t="str">
        <f>_xlfn.LET(_xlpm.x,_xlfn.XLOOKUP(_xlfn.XLOOKUP(D719,beans!$A$2:$A$300,beans!$I$2:$I$300),menu!$E$2:$E$20,menu!$F$2:$F$20),IF(_xlpm.x="","",_xlpm.x))</f>
        <v/>
      </c>
      <c r="T719" s="68" t="str">
        <f t="shared" si="86"/>
        <v/>
      </c>
      <c r="U719" t="str">
        <f t="shared" si="82"/>
        <v/>
      </c>
      <c r="V719">
        <f t="shared" si="87"/>
        <v>0</v>
      </c>
      <c r="W719" t="str">
        <f t="shared" si="83"/>
        <v/>
      </c>
      <c r="AB719" s="28" t="str">
        <f t="shared" si="84"/>
        <v xml:space="preserve"> </v>
      </c>
      <c r="AE719" s="61" t="str">
        <f t="shared" si="85"/>
        <v/>
      </c>
      <c r="AF719" s="77" t="str">
        <f>_xlfn.XLOOKUP(AD719,menu!$K$2:$K$9,menu!$J$2:$J$9,"",1)</f>
        <v/>
      </c>
      <c r="AG719" s="80" t="str">
        <f>_xlfn.XLOOKUP(AH719,menu!$O$2:$O$9,menu!$H$2:$H$9,"")</f>
        <v/>
      </c>
      <c r="AI719" t="str">
        <f>_xlfn.LET(_xlpm.x,_xlfn.CONCAT(_xlfn.XLOOKUP(D719,beans!$A$2:$A$300,beans!$J$2:$J$300,"")," / ",_xlfn.XLOOKUP(D719,beans!$A$2:$A$300,beans!$K$2:$K$300,"")," - ",_xlfn.XLOOKUP(D719,beans!$A$2:$A$300,beans!$L$2:$L$300,"")),IF(_xlpm.x=" /  - ","",_xlpm.x))</f>
        <v/>
      </c>
    </row>
    <row r="720" spans="1:35" x14ac:dyDescent="0.3">
      <c r="A720">
        <v>703</v>
      </c>
      <c r="E720" t="str">
        <f>_xlfn.LET(_xlpm.x,_xlfn.XLOOKUP(D720,beans!$A$2:$A$300,beans!$H$2:$H$300,""),IF(_xlpm.x="","",_xlpm.x))</f>
        <v/>
      </c>
      <c r="F720" s="22" t="str">
        <f>_xlfn.XLOOKUP(E720,menu!$A$2:$A$37,menu!$B$2:$B$37,"")</f>
        <v/>
      </c>
      <c r="G720" t="str">
        <f>_xlfn.XLOOKUP(E720,menu!$A$2:$A$37,menu!$C$2:$C$37,"")</f>
        <v/>
      </c>
      <c r="H720" t="str">
        <f>_xlfn.LET(_xlpm.x,_xlfn.XLOOKUP(_xlfn.XLOOKUP(D720,beans!$A$2:$A$300,beans!$I$2:$I$300),menu!$E$2:$E$20,menu!$F$2:$F$20),IF(_xlpm.x="","",_xlpm.x))</f>
        <v/>
      </c>
      <c r="T720" s="68" t="str">
        <f t="shared" si="86"/>
        <v/>
      </c>
      <c r="U720" t="str">
        <f t="shared" si="82"/>
        <v/>
      </c>
      <c r="V720">
        <f t="shared" si="87"/>
        <v>0</v>
      </c>
      <c r="W720" t="str">
        <f t="shared" si="83"/>
        <v/>
      </c>
      <c r="AB720" s="28" t="str">
        <f t="shared" si="84"/>
        <v xml:space="preserve"> </v>
      </c>
      <c r="AE720" s="61" t="str">
        <f t="shared" si="85"/>
        <v/>
      </c>
      <c r="AF720" s="77" t="str">
        <f>_xlfn.XLOOKUP(AD720,menu!$K$2:$K$9,menu!$J$2:$J$9,"",1)</f>
        <v/>
      </c>
      <c r="AG720" s="80" t="str">
        <f>_xlfn.XLOOKUP(AH720,menu!$O$2:$O$9,menu!$H$2:$H$9,"")</f>
        <v/>
      </c>
      <c r="AI720" t="str">
        <f>_xlfn.LET(_xlpm.x,_xlfn.CONCAT(_xlfn.XLOOKUP(D720,beans!$A$2:$A$300,beans!$J$2:$J$300,"")," / ",_xlfn.XLOOKUP(D720,beans!$A$2:$A$300,beans!$K$2:$K$300,"")," - ",_xlfn.XLOOKUP(D720,beans!$A$2:$A$300,beans!$L$2:$L$300,"")),IF(_xlpm.x=" /  - ","",_xlpm.x))</f>
        <v/>
      </c>
    </row>
    <row r="721" spans="1:35" x14ac:dyDescent="0.3">
      <c r="A721">
        <v>704</v>
      </c>
      <c r="E721" t="str">
        <f>_xlfn.LET(_xlpm.x,_xlfn.XLOOKUP(D721,beans!$A$2:$A$300,beans!$H$2:$H$300,""),IF(_xlpm.x="","",_xlpm.x))</f>
        <v/>
      </c>
      <c r="F721" s="22" t="str">
        <f>_xlfn.XLOOKUP(E721,menu!$A$2:$A$37,menu!$B$2:$B$37,"")</f>
        <v/>
      </c>
      <c r="G721" t="str">
        <f>_xlfn.XLOOKUP(E721,menu!$A$2:$A$37,menu!$C$2:$C$37,"")</f>
        <v/>
      </c>
      <c r="H721" t="str">
        <f>_xlfn.LET(_xlpm.x,_xlfn.XLOOKUP(_xlfn.XLOOKUP(D721,beans!$A$2:$A$300,beans!$I$2:$I$300),menu!$E$2:$E$20,menu!$F$2:$F$20),IF(_xlpm.x="","",_xlpm.x))</f>
        <v/>
      </c>
      <c r="T721" s="68" t="str">
        <f t="shared" si="86"/>
        <v/>
      </c>
      <c r="U721" t="str">
        <f t="shared" si="82"/>
        <v/>
      </c>
      <c r="V721">
        <f t="shared" si="87"/>
        <v>0</v>
      </c>
      <c r="W721" t="str">
        <f t="shared" si="83"/>
        <v/>
      </c>
      <c r="AB721" s="28" t="str">
        <f t="shared" si="84"/>
        <v xml:space="preserve"> </v>
      </c>
      <c r="AE721" s="61" t="str">
        <f t="shared" si="85"/>
        <v/>
      </c>
      <c r="AF721" s="77" t="str">
        <f>_xlfn.XLOOKUP(AD721,menu!$K$2:$K$9,menu!$J$2:$J$9,"",1)</f>
        <v/>
      </c>
      <c r="AG721" s="80" t="str">
        <f>_xlfn.XLOOKUP(AH721,menu!$O$2:$O$9,menu!$H$2:$H$9,"")</f>
        <v/>
      </c>
      <c r="AI721" t="str">
        <f>_xlfn.LET(_xlpm.x,_xlfn.CONCAT(_xlfn.XLOOKUP(D721,beans!$A$2:$A$300,beans!$J$2:$J$300,"")," / ",_xlfn.XLOOKUP(D721,beans!$A$2:$A$300,beans!$K$2:$K$300,"")," - ",_xlfn.XLOOKUP(D721,beans!$A$2:$A$300,beans!$L$2:$L$300,"")),IF(_xlpm.x=" /  - ","",_xlpm.x))</f>
        <v/>
      </c>
    </row>
    <row r="722" spans="1:35" x14ac:dyDescent="0.3">
      <c r="A722">
        <v>705</v>
      </c>
      <c r="E722" t="str">
        <f>_xlfn.LET(_xlpm.x,_xlfn.XLOOKUP(D722,beans!$A$2:$A$300,beans!$H$2:$H$300,""),IF(_xlpm.x="","",_xlpm.x))</f>
        <v/>
      </c>
      <c r="F722" s="22" t="str">
        <f>_xlfn.XLOOKUP(E722,menu!$A$2:$A$37,menu!$B$2:$B$37,"")</f>
        <v/>
      </c>
      <c r="G722" t="str">
        <f>_xlfn.XLOOKUP(E722,menu!$A$2:$A$37,menu!$C$2:$C$37,"")</f>
        <v/>
      </c>
      <c r="H722" t="str">
        <f>_xlfn.LET(_xlpm.x,_xlfn.XLOOKUP(_xlfn.XLOOKUP(D722,beans!$A$2:$A$300,beans!$I$2:$I$300),menu!$E$2:$E$20,menu!$F$2:$F$20),IF(_xlpm.x="","",_xlpm.x))</f>
        <v/>
      </c>
      <c r="T722" s="68" t="str">
        <f t="shared" si="86"/>
        <v/>
      </c>
      <c r="U722" t="str">
        <f t="shared" si="82"/>
        <v/>
      </c>
      <c r="V722">
        <f t="shared" si="87"/>
        <v>0</v>
      </c>
      <c r="W722" t="str">
        <f t="shared" si="83"/>
        <v/>
      </c>
      <c r="AB722" s="28" t="str">
        <f t="shared" si="84"/>
        <v xml:space="preserve"> </v>
      </c>
      <c r="AE722" s="61" t="str">
        <f t="shared" si="85"/>
        <v/>
      </c>
      <c r="AF722" s="77" t="str">
        <f>_xlfn.XLOOKUP(AD722,menu!$K$2:$K$9,menu!$J$2:$J$9,"",1)</f>
        <v/>
      </c>
      <c r="AG722" s="80" t="str">
        <f>_xlfn.XLOOKUP(AH722,menu!$O$2:$O$9,menu!$H$2:$H$9,"")</f>
        <v/>
      </c>
      <c r="AI722" t="str">
        <f>_xlfn.LET(_xlpm.x,_xlfn.CONCAT(_xlfn.XLOOKUP(D722,beans!$A$2:$A$300,beans!$J$2:$J$300,"")," / ",_xlfn.XLOOKUP(D722,beans!$A$2:$A$300,beans!$K$2:$K$300,"")," - ",_xlfn.XLOOKUP(D722,beans!$A$2:$A$300,beans!$L$2:$L$300,"")),IF(_xlpm.x=" /  - ","",_xlpm.x))</f>
        <v/>
      </c>
    </row>
    <row r="723" spans="1:35" x14ac:dyDescent="0.3">
      <c r="A723">
        <v>706</v>
      </c>
      <c r="E723" t="str">
        <f>_xlfn.LET(_xlpm.x,_xlfn.XLOOKUP(D723,beans!$A$2:$A$300,beans!$H$2:$H$300,""),IF(_xlpm.x="","",_xlpm.x))</f>
        <v/>
      </c>
      <c r="F723" s="22" t="str">
        <f>_xlfn.XLOOKUP(E723,menu!$A$2:$A$37,menu!$B$2:$B$37,"")</f>
        <v/>
      </c>
      <c r="G723" t="str">
        <f>_xlfn.XLOOKUP(E723,menu!$A$2:$A$37,menu!$C$2:$C$37,"")</f>
        <v/>
      </c>
      <c r="H723" t="str">
        <f>_xlfn.LET(_xlpm.x,_xlfn.XLOOKUP(_xlfn.XLOOKUP(D723,beans!$A$2:$A$300,beans!$I$2:$I$300),menu!$E$2:$E$20,menu!$F$2:$F$20),IF(_xlpm.x="","",_xlpm.x))</f>
        <v/>
      </c>
      <c r="T723" s="68" t="str">
        <f t="shared" si="86"/>
        <v/>
      </c>
      <c r="U723" t="str">
        <f t="shared" si="82"/>
        <v/>
      </c>
      <c r="V723">
        <f t="shared" si="87"/>
        <v>0</v>
      </c>
      <c r="W723" t="str">
        <f t="shared" si="83"/>
        <v/>
      </c>
      <c r="AB723" s="28" t="str">
        <f t="shared" si="84"/>
        <v xml:space="preserve"> </v>
      </c>
      <c r="AE723" s="61" t="str">
        <f t="shared" si="85"/>
        <v/>
      </c>
      <c r="AF723" s="77" t="str">
        <f>_xlfn.XLOOKUP(AD723,menu!$K$2:$K$9,menu!$J$2:$J$9,"",1)</f>
        <v/>
      </c>
      <c r="AG723" s="80" t="str">
        <f>_xlfn.XLOOKUP(AH723,menu!$O$2:$O$9,menu!$H$2:$H$9,"")</f>
        <v/>
      </c>
      <c r="AI723" t="str">
        <f>_xlfn.LET(_xlpm.x,_xlfn.CONCAT(_xlfn.XLOOKUP(D723,beans!$A$2:$A$300,beans!$J$2:$J$300,"")," / ",_xlfn.XLOOKUP(D723,beans!$A$2:$A$300,beans!$K$2:$K$300,"")," - ",_xlfn.XLOOKUP(D723,beans!$A$2:$A$300,beans!$L$2:$L$300,"")),IF(_xlpm.x=" /  - ","",_xlpm.x))</f>
        <v/>
      </c>
    </row>
    <row r="724" spans="1:35" x14ac:dyDescent="0.3">
      <c r="A724">
        <v>707</v>
      </c>
      <c r="E724" t="str">
        <f>_xlfn.LET(_xlpm.x,_xlfn.XLOOKUP(D724,beans!$A$2:$A$300,beans!$H$2:$H$300,""),IF(_xlpm.x="","",_xlpm.x))</f>
        <v/>
      </c>
      <c r="F724" s="22" t="str">
        <f>_xlfn.XLOOKUP(E724,menu!$A$2:$A$37,menu!$B$2:$B$37,"")</f>
        <v/>
      </c>
      <c r="G724" t="str">
        <f>_xlfn.XLOOKUP(E724,menu!$A$2:$A$37,menu!$C$2:$C$37,"")</f>
        <v/>
      </c>
      <c r="H724" t="str">
        <f>_xlfn.LET(_xlpm.x,_xlfn.XLOOKUP(_xlfn.XLOOKUP(D724,beans!$A$2:$A$300,beans!$I$2:$I$300),menu!$E$2:$E$20,menu!$F$2:$F$20),IF(_xlpm.x="","",_xlpm.x))</f>
        <v/>
      </c>
      <c r="T724" s="68" t="str">
        <f t="shared" si="86"/>
        <v/>
      </c>
      <c r="U724" t="str">
        <f t="shared" si="82"/>
        <v/>
      </c>
      <c r="V724">
        <f t="shared" si="87"/>
        <v>0</v>
      </c>
      <c r="W724" t="str">
        <f t="shared" si="83"/>
        <v/>
      </c>
      <c r="AB724" s="28" t="str">
        <f t="shared" si="84"/>
        <v xml:space="preserve"> </v>
      </c>
      <c r="AE724" s="61" t="str">
        <f t="shared" si="85"/>
        <v/>
      </c>
      <c r="AF724" s="77" t="str">
        <f>_xlfn.XLOOKUP(AD724,menu!$K$2:$K$9,menu!$J$2:$J$9,"",1)</f>
        <v/>
      </c>
      <c r="AG724" s="80" t="str">
        <f>_xlfn.XLOOKUP(AH724,menu!$O$2:$O$9,menu!$H$2:$H$9,"")</f>
        <v/>
      </c>
      <c r="AI724" t="str">
        <f>_xlfn.LET(_xlpm.x,_xlfn.CONCAT(_xlfn.XLOOKUP(D724,beans!$A$2:$A$300,beans!$J$2:$J$300,"")," / ",_xlfn.XLOOKUP(D724,beans!$A$2:$A$300,beans!$K$2:$K$300,"")," - ",_xlfn.XLOOKUP(D724,beans!$A$2:$A$300,beans!$L$2:$L$300,"")),IF(_xlpm.x=" /  - ","",_xlpm.x))</f>
        <v/>
      </c>
    </row>
    <row r="725" spans="1:35" x14ac:dyDescent="0.3">
      <c r="A725">
        <v>708</v>
      </c>
      <c r="E725" t="str">
        <f>_xlfn.LET(_xlpm.x,_xlfn.XLOOKUP(D725,beans!$A$2:$A$300,beans!$H$2:$H$300,""),IF(_xlpm.x="","",_xlpm.x))</f>
        <v/>
      </c>
      <c r="F725" s="22" t="str">
        <f>_xlfn.XLOOKUP(E725,menu!$A$2:$A$37,menu!$B$2:$B$37,"")</f>
        <v/>
      </c>
      <c r="G725" t="str">
        <f>_xlfn.XLOOKUP(E725,menu!$A$2:$A$37,menu!$C$2:$C$37,"")</f>
        <v/>
      </c>
      <c r="H725" t="str">
        <f>_xlfn.LET(_xlpm.x,_xlfn.XLOOKUP(_xlfn.XLOOKUP(D725,beans!$A$2:$A$300,beans!$I$2:$I$300),menu!$E$2:$E$20,menu!$F$2:$F$20),IF(_xlpm.x="","",_xlpm.x))</f>
        <v/>
      </c>
      <c r="T725" s="68" t="str">
        <f t="shared" si="86"/>
        <v/>
      </c>
      <c r="U725" t="str">
        <f t="shared" si="82"/>
        <v/>
      </c>
      <c r="V725">
        <f t="shared" si="87"/>
        <v>0</v>
      </c>
      <c r="W725" t="str">
        <f t="shared" si="83"/>
        <v/>
      </c>
      <c r="AB725" s="28" t="str">
        <f t="shared" si="84"/>
        <v xml:space="preserve"> </v>
      </c>
      <c r="AE725" s="61" t="str">
        <f t="shared" si="85"/>
        <v/>
      </c>
      <c r="AF725" s="77" t="str">
        <f>_xlfn.XLOOKUP(AD725,menu!$K$2:$K$9,menu!$J$2:$J$9,"",1)</f>
        <v/>
      </c>
      <c r="AG725" s="80" t="str">
        <f>_xlfn.XLOOKUP(AH725,menu!$O$2:$O$9,menu!$H$2:$H$9,"")</f>
        <v/>
      </c>
      <c r="AI725" t="str">
        <f>_xlfn.LET(_xlpm.x,_xlfn.CONCAT(_xlfn.XLOOKUP(D725,beans!$A$2:$A$300,beans!$J$2:$J$300,"")," / ",_xlfn.XLOOKUP(D725,beans!$A$2:$A$300,beans!$K$2:$K$300,"")," - ",_xlfn.XLOOKUP(D725,beans!$A$2:$A$300,beans!$L$2:$L$300,"")),IF(_xlpm.x=" /  - ","",_xlpm.x))</f>
        <v/>
      </c>
    </row>
    <row r="726" spans="1:35" x14ac:dyDescent="0.3">
      <c r="A726">
        <v>709</v>
      </c>
      <c r="E726" t="str">
        <f>_xlfn.LET(_xlpm.x,_xlfn.XLOOKUP(D726,beans!$A$2:$A$300,beans!$H$2:$H$300,""),IF(_xlpm.x="","",_xlpm.x))</f>
        <v/>
      </c>
      <c r="F726" s="22" t="str">
        <f>_xlfn.XLOOKUP(E726,menu!$A$2:$A$37,menu!$B$2:$B$37,"")</f>
        <v/>
      </c>
      <c r="G726" t="str">
        <f>_xlfn.XLOOKUP(E726,menu!$A$2:$A$37,menu!$C$2:$C$37,"")</f>
        <v/>
      </c>
      <c r="H726" t="str">
        <f>_xlfn.LET(_xlpm.x,_xlfn.XLOOKUP(_xlfn.XLOOKUP(D726,beans!$A$2:$A$300,beans!$I$2:$I$300),menu!$E$2:$E$20,menu!$F$2:$F$20),IF(_xlpm.x="","",_xlpm.x))</f>
        <v/>
      </c>
      <c r="T726" s="68" t="str">
        <f t="shared" si="86"/>
        <v/>
      </c>
      <c r="U726" t="str">
        <f t="shared" si="82"/>
        <v/>
      </c>
      <c r="V726">
        <f t="shared" si="87"/>
        <v>0</v>
      </c>
      <c r="W726" t="str">
        <f t="shared" si="83"/>
        <v/>
      </c>
      <c r="AB726" s="28" t="str">
        <f t="shared" si="84"/>
        <v xml:space="preserve"> </v>
      </c>
      <c r="AE726" s="61" t="str">
        <f t="shared" si="85"/>
        <v/>
      </c>
      <c r="AF726" s="77" t="str">
        <f>_xlfn.XLOOKUP(AD726,menu!$K$2:$K$9,menu!$J$2:$J$9,"",1)</f>
        <v/>
      </c>
      <c r="AG726" s="80" t="str">
        <f>_xlfn.XLOOKUP(AH726,menu!$O$2:$O$9,menu!$H$2:$H$9,"")</f>
        <v/>
      </c>
      <c r="AI726" t="str">
        <f>_xlfn.LET(_xlpm.x,_xlfn.CONCAT(_xlfn.XLOOKUP(D726,beans!$A$2:$A$300,beans!$J$2:$J$300,"")," / ",_xlfn.XLOOKUP(D726,beans!$A$2:$A$300,beans!$K$2:$K$300,"")," - ",_xlfn.XLOOKUP(D726,beans!$A$2:$A$300,beans!$L$2:$L$300,"")),IF(_xlpm.x=" /  - ","",_xlpm.x))</f>
        <v/>
      </c>
    </row>
    <row r="727" spans="1:35" x14ac:dyDescent="0.3">
      <c r="A727">
        <v>710</v>
      </c>
      <c r="E727" t="str">
        <f>_xlfn.LET(_xlpm.x,_xlfn.XLOOKUP(D727,beans!$A$2:$A$300,beans!$H$2:$H$300,""),IF(_xlpm.x="","",_xlpm.x))</f>
        <v/>
      </c>
      <c r="F727" s="22" t="str">
        <f>_xlfn.XLOOKUP(E727,menu!$A$2:$A$37,menu!$B$2:$B$37,"")</f>
        <v/>
      </c>
      <c r="G727" t="str">
        <f>_xlfn.XLOOKUP(E727,menu!$A$2:$A$37,menu!$C$2:$C$37,"")</f>
        <v/>
      </c>
      <c r="H727" t="str">
        <f>_xlfn.LET(_xlpm.x,_xlfn.XLOOKUP(_xlfn.XLOOKUP(D727,beans!$A$2:$A$300,beans!$I$2:$I$300),menu!$E$2:$E$20,menu!$F$2:$F$20),IF(_xlpm.x="","",_xlpm.x))</f>
        <v/>
      </c>
      <c r="T727" s="68" t="str">
        <f t="shared" si="86"/>
        <v/>
      </c>
      <c r="U727" t="str">
        <f t="shared" si="82"/>
        <v/>
      </c>
      <c r="V727">
        <f t="shared" si="87"/>
        <v>0</v>
      </c>
      <c r="W727" t="str">
        <f t="shared" si="83"/>
        <v/>
      </c>
      <c r="AB727" s="28" t="str">
        <f t="shared" si="84"/>
        <v xml:space="preserve"> </v>
      </c>
      <c r="AE727" s="61" t="str">
        <f t="shared" si="85"/>
        <v/>
      </c>
      <c r="AF727" s="77" t="str">
        <f>_xlfn.XLOOKUP(AD727,menu!$K$2:$K$9,menu!$J$2:$J$9,"",1)</f>
        <v/>
      </c>
      <c r="AG727" s="80" t="str">
        <f>_xlfn.XLOOKUP(AH727,menu!$O$2:$O$9,menu!$H$2:$H$9,"")</f>
        <v/>
      </c>
      <c r="AI727" t="str">
        <f>_xlfn.LET(_xlpm.x,_xlfn.CONCAT(_xlfn.XLOOKUP(D727,beans!$A$2:$A$300,beans!$J$2:$J$300,"")," / ",_xlfn.XLOOKUP(D727,beans!$A$2:$A$300,beans!$K$2:$K$300,"")," - ",_xlfn.XLOOKUP(D727,beans!$A$2:$A$300,beans!$L$2:$L$300,"")),IF(_xlpm.x=" /  - ","",_xlpm.x))</f>
        <v/>
      </c>
    </row>
    <row r="728" spans="1:35" x14ac:dyDescent="0.3">
      <c r="A728">
        <v>711</v>
      </c>
      <c r="E728" t="str">
        <f>_xlfn.LET(_xlpm.x,_xlfn.XLOOKUP(D728,beans!$A$2:$A$300,beans!$H$2:$H$300,""),IF(_xlpm.x="","",_xlpm.x))</f>
        <v/>
      </c>
      <c r="F728" s="22" t="str">
        <f>_xlfn.XLOOKUP(E728,menu!$A$2:$A$37,menu!$B$2:$B$37,"")</f>
        <v/>
      </c>
      <c r="G728" t="str">
        <f>_xlfn.XLOOKUP(E728,menu!$A$2:$A$37,menu!$C$2:$C$37,"")</f>
        <v/>
      </c>
      <c r="H728" t="str">
        <f>_xlfn.LET(_xlpm.x,_xlfn.XLOOKUP(_xlfn.XLOOKUP(D728,beans!$A$2:$A$300,beans!$I$2:$I$300),menu!$E$2:$E$20,menu!$F$2:$F$20),IF(_xlpm.x="","",_xlpm.x))</f>
        <v/>
      </c>
      <c r="T728" s="68" t="str">
        <f t="shared" si="86"/>
        <v/>
      </c>
      <c r="U728" t="str">
        <f t="shared" si="82"/>
        <v/>
      </c>
      <c r="V728">
        <f t="shared" si="87"/>
        <v>0</v>
      </c>
      <c r="W728" t="str">
        <f t="shared" si="83"/>
        <v/>
      </c>
      <c r="AB728" s="28" t="str">
        <f t="shared" si="84"/>
        <v xml:space="preserve"> </v>
      </c>
      <c r="AE728" s="61" t="str">
        <f t="shared" si="85"/>
        <v/>
      </c>
      <c r="AF728" s="77" t="str">
        <f>_xlfn.XLOOKUP(AD728,menu!$K$2:$K$9,menu!$J$2:$J$9,"",1)</f>
        <v/>
      </c>
      <c r="AG728" s="80" t="str">
        <f>_xlfn.XLOOKUP(AH728,menu!$O$2:$O$9,menu!$H$2:$H$9,"")</f>
        <v/>
      </c>
      <c r="AI728" t="str">
        <f>_xlfn.LET(_xlpm.x,_xlfn.CONCAT(_xlfn.XLOOKUP(D728,beans!$A$2:$A$300,beans!$J$2:$J$300,"")," / ",_xlfn.XLOOKUP(D728,beans!$A$2:$A$300,beans!$K$2:$K$300,"")," - ",_xlfn.XLOOKUP(D728,beans!$A$2:$A$300,beans!$L$2:$L$300,"")),IF(_xlpm.x=" /  - ","",_xlpm.x))</f>
        <v/>
      </c>
    </row>
    <row r="729" spans="1:35" x14ac:dyDescent="0.3">
      <c r="A729">
        <v>712</v>
      </c>
      <c r="E729" t="str">
        <f>_xlfn.LET(_xlpm.x,_xlfn.XLOOKUP(D729,beans!$A$2:$A$300,beans!$H$2:$H$300,""),IF(_xlpm.x="","",_xlpm.x))</f>
        <v/>
      </c>
      <c r="F729" s="22" t="str">
        <f>_xlfn.XLOOKUP(E729,menu!$A$2:$A$37,menu!$B$2:$B$37,"")</f>
        <v/>
      </c>
      <c r="G729" t="str">
        <f>_xlfn.XLOOKUP(E729,menu!$A$2:$A$37,menu!$C$2:$C$37,"")</f>
        <v/>
      </c>
      <c r="H729" t="str">
        <f>_xlfn.LET(_xlpm.x,_xlfn.XLOOKUP(_xlfn.XLOOKUP(D729,beans!$A$2:$A$300,beans!$I$2:$I$300),menu!$E$2:$E$20,menu!$F$2:$F$20),IF(_xlpm.x="","",_xlpm.x))</f>
        <v/>
      </c>
      <c r="T729" s="68" t="str">
        <f t="shared" si="86"/>
        <v/>
      </c>
      <c r="U729" t="str">
        <f t="shared" si="82"/>
        <v/>
      </c>
      <c r="V729">
        <f t="shared" si="87"/>
        <v>0</v>
      </c>
      <c r="W729" t="str">
        <f t="shared" si="83"/>
        <v/>
      </c>
      <c r="AB729" s="28" t="str">
        <f t="shared" si="84"/>
        <v xml:space="preserve"> </v>
      </c>
      <c r="AE729" s="61" t="str">
        <f t="shared" si="85"/>
        <v/>
      </c>
      <c r="AF729" s="77" t="str">
        <f>_xlfn.XLOOKUP(AD729,menu!$K$2:$K$9,menu!$J$2:$J$9,"",1)</f>
        <v/>
      </c>
      <c r="AG729" s="80" t="str">
        <f>_xlfn.XLOOKUP(AH729,menu!$O$2:$O$9,menu!$H$2:$H$9,"")</f>
        <v/>
      </c>
      <c r="AI729" t="str">
        <f>_xlfn.LET(_xlpm.x,_xlfn.CONCAT(_xlfn.XLOOKUP(D729,beans!$A$2:$A$300,beans!$J$2:$J$300,"")," / ",_xlfn.XLOOKUP(D729,beans!$A$2:$A$300,beans!$K$2:$K$300,"")," - ",_xlfn.XLOOKUP(D729,beans!$A$2:$A$300,beans!$L$2:$L$300,"")),IF(_xlpm.x=" /  - ","",_xlpm.x))</f>
        <v/>
      </c>
    </row>
    <row r="730" spans="1:35" x14ac:dyDescent="0.3">
      <c r="A730">
        <v>713</v>
      </c>
      <c r="E730" t="str">
        <f>_xlfn.LET(_xlpm.x,_xlfn.XLOOKUP(D730,beans!$A$2:$A$300,beans!$H$2:$H$300,""),IF(_xlpm.x="","",_xlpm.x))</f>
        <v/>
      </c>
      <c r="F730" s="22" t="str">
        <f>_xlfn.XLOOKUP(E730,menu!$A$2:$A$37,menu!$B$2:$B$37,"")</f>
        <v/>
      </c>
      <c r="G730" t="str">
        <f>_xlfn.XLOOKUP(E730,menu!$A$2:$A$37,menu!$C$2:$C$37,"")</f>
        <v/>
      </c>
      <c r="H730" t="str">
        <f>_xlfn.LET(_xlpm.x,_xlfn.XLOOKUP(_xlfn.XLOOKUP(D730,beans!$A$2:$A$300,beans!$I$2:$I$300),menu!$E$2:$E$20,menu!$F$2:$F$20),IF(_xlpm.x="","",_xlpm.x))</f>
        <v/>
      </c>
      <c r="T730" s="68" t="str">
        <f t="shared" si="86"/>
        <v/>
      </c>
      <c r="U730" t="str">
        <f t="shared" si="82"/>
        <v/>
      </c>
      <c r="V730">
        <f t="shared" si="87"/>
        <v>0</v>
      </c>
      <c r="W730" t="str">
        <f t="shared" si="83"/>
        <v/>
      </c>
      <c r="AB730" s="28" t="str">
        <f t="shared" si="84"/>
        <v xml:space="preserve"> </v>
      </c>
      <c r="AE730" s="61" t="str">
        <f t="shared" si="85"/>
        <v/>
      </c>
      <c r="AF730" s="77" t="str">
        <f>_xlfn.XLOOKUP(AD730,menu!$K$2:$K$9,menu!$J$2:$J$9,"",1)</f>
        <v/>
      </c>
      <c r="AG730" s="80" t="str">
        <f>_xlfn.XLOOKUP(AH730,menu!$O$2:$O$9,menu!$H$2:$H$9,"")</f>
        <v/>
      </c>
      <c r="AI730" t="str">
        <f>_xlfn.LET(_xlpm.x,_xlfn.CONCAT(_xlfn.XLOOKUP(D730,beans!$A$2:$A$300,beans!$J$2:$J$300,"")," / ",_xlfn.XLOOKUP(D730,beans!$A$2:$A$300,beans!$K$2:$K$300,"")," - ",_xlfn.XLOOKUP(D730,beans!$A$2:$A$300,beans!$L$2:$L$300,"")),IF(_xlpm.x=" /  - ","",_xlpm.x))</f>
        <v/>
      </c>
    </row>
    <row r="731" spans="1:35" x14ac:dyDescent="0.3">
      <c r="A731">
        <v>714</v>
      </c>
      <c r="E731" t="str">
        <f>_xlfn.LET(_xlpm.x,_xlfn.XLOOKUP(D731,beans!$A$2:$A$300,beans!$H$2:$H$300,""),IF(_xlpm.x="","",_xlpm.x))</f>
        <v/>
      </c>
      <c r="F731" s="22" t="str">
        <f>_xlfn.XLOOKUP(E731,menu!$A$2:$A$37,menu!$B$2:$B$37,"")</f>
        <v/>
      </c>
      <c r="G731" t="str">
        <f>_xlfn.XLOOKUP(E731,menu!$A$2:$A$37,menu!$C$2:$C$37,"")</f>
        <v/>
      </c>
      <c r="H731" t="str">
        <f>_xlfn.LET(_xlpm.x,_xlfn.XLOOKUP(_xlfn.XLOOKUP(D731,beans!$A$2:$A$300,beans!$I$2:$I$300),menu!$E$2:$E$20,menu!$F$2:$F$20),IF(_xlpm.x="","",_xlpm.x))</f>
        <v/>
      </c>
      <c r="T731" s="68" t="str">
        <f t="shared" si="86"/>
        <v/>
      </c>
      <c r="U731" t="str">
        <f t="shared" si="82"/>
        <v/>
      </c>
      <c r="V731">
        <f t="shared" si="87"/>
        <v>0</v>
      </c>
      <c r="W731" t="str">
        <f t="shared" si="83"/>
        <v/>
      </c>
      <c r="AB731" s="28" t="str">
        <f t="shared" si="84"/>
        <v xml:space="preserve"> </v>
      </c>
      <c r="AE731" s="61" t="str">
        <f t="shared" si="85"/>
        <v/>
      </c>
      <c r="AF731" s="77" t="str">
        <f>_xlfn.XLOOKUP(AD731,menu!$K$2:$K$9,menu!$J$2:$J$9,"",1)</f>
        <v/>
      </c>
      <c r="AG731" s="80" t="str">
        <f>_xlfn.XLOOKUP(AH731,menu!$O$2:$O$9,menu!$H$2:$H$9,"")</f>
        <v/>
      </c>
      <c r="AI731" t="str">
        <f>_xlfn.LET(_xlpm.x,_xlfn.CONCAT(_xlfn.XLOOKUP(D731,beans!$A$2:$A$300,beans!$J$2:$J$300,"")," / ",_xlfn.XLOOKUP(D731,beans!$A$2:$A$300,beans!$K$2:$K$300,"")," - ",_xlfn.XLOOKUP(D731,beans!$A$2:$A$300,beans!$L$2:$L$300,"")),IF(_xlpm.x=" /  - ","",_xlpm.x))</f>
        <v/>
      </c>
    </row>
    <row r="732" spans="1:35" x14ac:dyDescent="0.3">
      <c r="A732">
        <v>715</v>
      </c>
      <c r="E732" t="str">
        <f>_xlfn.LET(_xlpm.x,_xlfn.XLOOKUP(D732,beans!$A$2:$A$300,beans!$H$2:$H$300,""),IF(_xlpm.x="","",_xlpm.x))</f>
        <v/>
      </c>
      <c r="F732" s="22" t="str">
        <f>_xlfn.XLOOKUP(E732,menu!$A$2:$A$37,menu!$B$2:$B$37,"")</f>
        <v/>
      </c>
      <c r="G732" t="str">
        <f>_xlfn.XLOOKUP(E732,menu!$A$2:$A$37,menu!$C$2:$C$37,"")</f>
        <v/>
      </c>
      <c r="H732" t="str">
        <f>_xlfn.LET(_xlpm.x,_xlfn.XLOOKUP(_xlfn.XLOOKUP(D732,beans!$A$2:$A$300,beans!$I$2:$I$300),menu!$E$2:$E$20,menu!$F$2:$F$20),IF(_xlpm.x="","",_xlpm.x))</f>
        <v/>
      </c>
      <c r="T732" s="68" t="str">
        <f t="shared" si="86"/>
        <v/>
      </c>
      <c r="U732" t="str">
        <f t="shared" si="82"/>
        <v/>
      </c>
      <c r="V732">
        <f t="shared" si="87"/>
        <v>0</v>
      </c>
      <c r="W732" t="str">
        <f t="shared" si="83"/>
        <v/>
      </c>
      <c r="AB732" s="28" t="str">
        <f t="shared" si="84"/>
        <v xml:space="preserve"> </v>
      </c>
      <c r="AE732" s="61" t="str">
        <f t="shared" si="85"/>
        <v/>
      </c>
      <c r="AF732" s="77" t="str">
        <f>_xlfn.XLOOKUP(AD732,menu!$K$2:$K$9,menu!$J$2:$J$9,"",1)</f>
        <v/>
      </c>
      <c r="AG732" s="80" t="str">
        <f>_xlfn.XLOOKUP(AH732,menu!$O$2:$O$9,menu!$H$2:$H$9,"")</f>
        <v/>
      </c>
      <c r="AI732" t="str">
        <f>_xlfn.LET(_xlpm.x,_xlfn.CONCAT(_xlfn.XLOOKUP(D732,beans!$A$2:$A$300,beans!$J$2:$J$300,"")," / ",_xlfn.XLOOKUP(D732,beans!$A$2:$A$300,beans!$K$2:$K$300,"")," - ",_xlfn.XLOOKUP(D732,beans!$A$2:$A$300,beans!$L$2:$L$300,"")),IF(_xlpm.x=" /  - ","",_xlpm.x))</f>
        <v/>
      </c>
    </row>
    <row r="733" spans="1:35" x14ac:dyDescent="0.3">
      <c r="A733">
        <v>716</v>
      </c>
      <c r="E733" t="str">
        <f>_xlfn.LET(_xlpm.x,_xlfn.XLOOKUP(D733,beans!$A$2:$A$300,beans!$H$2:$H$300,""),IF(_xlpm.x="","",_xlpm.x))</f>
        <v/>
      </c>
      <c r="F733" s="22" t="str">
        <f>_xlfn.XLOOKUP(E733,menu!$A$2:$A$37,menu!$B$2:$B$37,"")</f>
        <v/>
      </c>
      <c r="G733" t="str">
        <f>_xlfn.XLOOKUP(E733,menu!$A$2:$A$37,menu!$C$2:$C$37,"")</f>
        <v/>
      </c>
      <c r="H733" t="str">
        <f>_xlfn.LET(_xlpm.x,_xlfn.XLOOKUP(_xlfn.XLOOKUP(D733,beans!$A$2:$A$300,beans!$I$2:$I$300),menu!$E$2:$E$20,menu!$F$2:$F$20),IF(_xlpm.x="","",_xlpm.x))</f>
        <v/>
      </c>
      <c r="T733" s="68" t="str">
        <f t="shared" si="86"/>
        <v/>
      </c>
      <c r="U733" t="str">
        <f t="shared" si="82"/>
        <v/>
      </c>
      <c r="V733">
        <f t="shared" si="87"/>
        <v>0</v>
      </c>
      <c r="W733" t="str">
        <f t="shared" si="83"/>
        <v/>
      </c>
      <c r="AB733" s="28" t="str">
        <f t="shared" si="84"/>
        <v xml:space="preserve"> </v>
      </c>
      <c r="AE733" s="61" t="str">
        <f t="shared" si="85"/>
        <v/>
      </c>
      <c r="AF733" s="77" t="str">
        <f>_xlfn.XLOOKUP(AD733,menu!$K$2:$K$9,menu!$J$2:$J$9,"",1)</f>
        <v/>
      </c>
      <c r="AG733" s="80" t="str">
        <f>_xlfn.XLOOKUP(AH733,menu!$O$2:$O$9,menu!$H$2:$H$9,"")</f>
        <v/>
      </c>
      <c r="AI733" t="str">
        <f>_xlfn.LET(_xlpm.x,_xlfn.CONCAT(_xlfn.XLOOKUP(D733,beans!$A$2:$A$300,beans!$J$2:$J$300,"")," / ",_xlfn.XLOOKUP(D733,beans!$A$2:$A$300,beans!$K$2:$K$300,"")," - ",_xlfn.XLOOKUP(D733,beans!$A$2:$A$300,beans!$L$2:$L$300,"")),IF(_xlpm.x=" /  - ","",_xlpm.x))</f>
        <v/>
      </c>
    </row>
    <row r="734" spans="1:35" x14ac:dyDescent="0.3">
      <c r="A734">
        <v>717</v>
      </c>
      <c r="E734" t="str">
        <f>_xlfn.LET(_xlpm.x,_xlfn.XLOOKUP(D734,beans!$A$2:$A$300,beans!$H$2:$H$300,""),IF(_xlpm.x="","",_xlpm.x))</f>
        <v/>
      </c>
      <c r="F734" s="22" t="str">
        <f>_xlfn.XLOOKUP(E734,menu!$A$2:$A$37,menu!$B$2:$B$37,"")</f>
        <v/>
      </c>
      <c r="G734" t="str">
        <f>_xlfn.XLOOKUP(E734,menu!$A$2:$A$37,menu!$C$2:$C$37,"")</f>
        <v/>
      </c>
      <c r="H734" t="str">
        <f>_xlfn.LET(_xlpm.x,_xlfn.XLOOKUP(_xlfn.XLOOKUP(D734,beans!$A$2:$A$300,beans!$I$2:$I$300),menu!$E$2:$E$20,menu!$F$2:$F$20),IF(_xlpm.x="","",_xlpm.x))</f>
        <v/>
      </c>
      <c r="T734" s="68" t="str">
        <f t="shared" si="86"/>
        <v/>
      </c>
      <c r="U734" t="str">
        <f t="shared" si="82"/>
        <v/>
      </c>
      <c r="V734">
        <f t="shared" si="87"/>
        <v>0</v>
      </c>
      <c r="W734" t="str">
        <f t="shared" si="83"/>
        <v/>
      </c>
      <c r="AB734" s="28" t="str">
        <f t="shared" si="84"/>
        <v xml:space="preserve"> </v>
      </c>
      <c r="AE734" s="61" t="str">
        <f t="shared" si="85"/>
        <v/>
      </c>
      <c r="AF734" s="77" t="str">
        <f>_xlfn.XLOOKUP(AD734,menu!$K$2:$K$9,menu!$J$2:$J$9,"",1)</f>
        <v/>
      </c>
      <c r="AG734" s="80" t="str">
        <f>_xlfn.XLOOKUP(AH734,menu!$O$2:$O$9,menu!$H$2:$H$9,"")</f>
        <v/>
      </c>
      <c r="AI734" t="str">
        <f>_xlfn.LET(_xlpm.x,_xlfn.CONCAT(_xlfn.XLOOKUP(D734,beans!$A$2:$A$300,beans!$J$2:$J$300,"")," / ",_xlfn.XLOOKUP(D734,beans!$A$2:$A$300,beans!$K$2:$K$300,"")," - ",_xlfn.XLOOKUP(D734,beans!$A$2:$A$300,beans!$L$2:$L$300,"")),IF(_xlpm.x=" /  - ","",_xlpm.x))</f>
        <v/>
      </c>
    </row>
    <row r="735" spans="1:35" x14ac:dyDescent="0.3">
      <c r="A735">
        <v>718</v>
      </c>
      <c r="E735" t="str">
        <f>_xlfn.LET(_xlpm.x,_xlfn.XLOOKUP(D735,beans!$A$2:$A$300,beans!$H$2:$H$300,""),IF(_xlpm.x="","",_xlpm.x))</f>
        <v/>
      </c>
      <c r="F735" s="22" t="str">
        <f>_xlfn.XLOOKUP(E735,menu!$A$2:$A$37,menu!$B$2:$B$37,"")</f>
        <v/>
      </c>
      <c r="G735" t="str">
        <f>_xlfn.XLOOKUP(E735,menu!$A$2:$A$37,menu!$C$2:$C$37,"")</f>
        <v/>
      </c>
      <c r="H735" t="str">
        <f>_xlfn.LET(_xlpm.x,_xlfn.XLOOKUP(_xlfn.XLOOKUP(D735,beans!$A$2:$A$300,beans!$I$2:$I$300),menu!$E$2:$E$20,menu!$F$2:$F$20),IF(_xlpm.x="","",_xlpm.x))</f>
        <v/>
      </c>
      <c r="T735" s="68" t="str">
        <f t="shared" si="86"/>
        <v/>
      </c>
      <c r="U735" t="str">
        <f t="shared" si="82"/>
        <v/>
      </c>
      <c r="V735">
        <f t="shared" si="87"/>
        <v>0</v>
      </c>
      <c r="W735" t="str">
        <f t="shared" si="83"/>
        <v/>
      </c>
      <c r="AB735" s="28" t="str">
        <f t="shared" si="84"/>
        <v xml:space="preserve"> </v>
      </c>
      <c r="AE735" s="61" t="str">
        <f t="shared" si="85"/>
        <v/>
      </c>
      <c r="AF735" s="77" t="str">
        <f>_xlfn.XLOOKUP(AD735,menu!$K$2:$K$9,menu!$J$2:$J$9,"",1)</f>
        <v/>
      </c>
      <c r="AG735" s="80" t="str">
        <f>_xlfn.XLOOKUP(AH735,menu!$O$2:$O$9,menu!$H$2:$H$9,"")</f>
        <v/>
      </c>
      <c r="AI735" t="str">
        <f>_xlfn.LET(_xlpm.x,_xlfn.CONCAT(_xlfn.XLOOKUP(D735,beans!$A$2:$A$300,beans!$J$2:$J$300,"")," / ",_xlfn.XLOOKUP(D735,beans!$A$2:$A$300,beans!$K$2:$K$300,"")," - ",_xlfn.XLOOKUP(D735,beans!$A$2:$A$300,beans!$L$2:$L$300,"")),IF(_xlpm.x=" /  - ","",_xlpm.x))</f>
        <v/>
      </c>
    </row>
    <row r="736" spans="1:35" x14ac:dyDescent="0.3">
      <c r="A736">
        <v>719</v>
      </c>
      <c r="E736" t="str">
        <f>_xlfn.LET(_xlpm.x,_xlfn.XLOOKUP(D736,beans!$A$2:$A$300,beans!$H$2:$H$300,""),IF(_xlpm.x="","",_xlpm.x))</f>
        <v/>
      </c>
      <c r="F736" s="22" t="str">
        <f>_xlfn.XLOOKUP(E736,menu!$A$2:$A$37,menu!$B$2:$B$37,"")</f>
        <v/>
      </c>
      <c r="G736" t="str">
        <f>_xlfn.XLOOKUP(E736,menu!$A$2:$A$37,menu!$C$2:$C$37,"")</f>
        <v/>
      </c>
      <c r="H736" t="str">
        <f>_xlfn.LET(_xlpm.x,_xlfn.XLOOKUP(_xlfn.XLOOKUP(D736,beans!$A$2:$A$300,beans!$I$2:$I$300),menu!$E$2:$E$20,menu!$F$2:$F$20),IF(_xlpm.x="","",_xlpm.x))</f>
        <v/>
      </c>
      <c r="T736" s="68" t="str">
        <f t="shared" si="86"/>
        <v/>
      </c>
      <c r="U736" t="str">
        <f t="shared" si="82"/>
        <v/>
      </c>
      <c r="V736">
        <f t="shared" si="87"/>
        <v>0</v>
      </c>
      <c r="W736" t="str">
        <f t="shared" si="83"/>
        <v/>
      </c>
      <c r="AB736" s="28" t="str">
        <f t="shared" si="84"/>
        <v xml:space="preserve"> </v>
      </c>
      <c r="AE736" s="61" t="str">
        <f t="shared" si="85"/>
        <v/>
      </c>
      <c r="AF736" s="77" t="str">
        <f>_xlfn.XLOOKUP(AD736,menu!$K$2:$K$9,menu!$J$2:$J$9,"",1)</f>
        <v/>
      </c>
      <c r="AG736" s="80" t="str">
        <f>_xlfn.XLOOKUP(AH736,menu!$O$2:$O$9,menu!$H$2:$H$9,"")</f>
        <v/>
      </c>
      <c r="AI736" t="str">
        <f>_xlfn.LET(_xlpm.x,_xlfn.CONCAT(_xlfn.XLOOKUP(D736,beans!$A$2:$A$300,beans!$J$2:$J$300,"")," / ",_xlfn.XLOOKUP(D736,beans!$A$2:$A$300,beans!$K$2:$K$300,"")," - ",_xlfn.XLOOKUP(D736,beans!$A$2:$A$300,beans!$L$2:$L$300,"")),IF(_xlpm.x=" /  - ","",_xlpm.x))</f>
        <v/>
      </c>
    </row>
    <row r="737" spans="1:35" x14ac:dyDescent="0.3">
      <c r="A737">
        <v>720</v>
      </c>
      <c r="E737" t="str">
        <f>_xlfn.LET(_xlpm.x,_xlfn.XLOOKUP(D737,beans!$A$2:$A$300,beans!$H$2:$H$300,""),IF(_xlpm.x="","",_xlpm.x))</f>
        <v/>
      </c>
      <c r="F737" s="22" t="str">
        <f>_xlfn.XLOOKUP(E737,menu!$A$2:$A$37,menu!$B$2:$B$37,"")</f>
        <v/>
      </c>
      <c r="G737" t="str">
        <f>_xlfn.XLOOKUP(E737,menu!$A$2:$A$37,menu!$C$2:$C$37,"")</f>
        <v/>
      </c>
      <c r="H737" t="str">
        <f>_xlfn.LET(_xlpm.x,_xlfn.XLOOKUP(_xlfn.XLOOKUP(D737,beans!$A$2:$A$300,beans!$I$2:$I$300),menu!$E$2:$E$20,menu!$F$2:$F$20),IF(_xlpm.x="","",_xlpm.x))</f>
        <v/>
      </c>
      <c r="T737" s="68" t="str">
        <f t="shared" si="86"/>
        <v/>
      </c>
      <c r="U737" t="str">
        <f t="shared" si="82"/>
        <v/>
      </c>
      <c r="V737">
        <f t="shared" si="87"/>
        <v>0</v>
      </c>
      <c r="W737" t="str">
        <f t="shared" si="83"/>
        <v/>
      </c>
      <c r="AB737" s="28" t="str">
        <f t="shared" si="84"/>
        <v xml:space="preserve"> </v>
      </c>
      <c r="AE737" s="61" t="str">
        <f t="shared" si="85"/>
        <v/>
      </c>
      <c r="AF737" s="77" t="str">
        <f>_xlfn.XLOOKUP(AD737,menu!$K$2:$K$9,menu!$J$2:$J$9,"",1)</f>
        <v/>
      </c>
      <c r="AG737" s="80" t="str">
        <f>_xlfn.XLOOKUP(AH737,menu!$O$2:$O$9,menu!$H$2:$H$9,"")</f>
        <v/>
      </c>
      <c r="AI737" t="str">
        <f>_xlfn.LET(_xlpm.x,_xlfn.CONCAT(_xlfn.XLOOKUP(D737,beans!$A$2:$A$300,beans!$J$2:$J$300,"")," / ",_xlfn.XLOOKUP(D737,beans!$A$2:$A$300,beans!$K$2:$K$300,"")," - ",_xlfn.XLOOKUP(D737,beans!$A$2:$A$300,beans!$L$2:$L$300,"")),IF(_xlpm.x=" /  - ","",_xlpm.x))</f>
        <v/>
      </c>
    </row>
    <row r="738" spans="1:35" x14ac:dyDescent="0.3">
      <c r="A738">
        <v>721</v>
      </c>
      <c r="E738" t="str">
        <f>_xlfn.LET(_xlpm.x,_xlfn.XLOOKUP(D738,beans!$A$2:$A$300,beans!$H$2:$H$300,""),IF(_xlpm.x="","",_xlpm.x))</f>
        <v/>
      </c>
      <c r="F738" s="22" t="str">
        <f>_xlfn.XLOOKUP(E738,menu!$A$2:$A$37,menu!$B$2:$B$37,"")</f>
        <v/>
      </c>
      <c r="G738" t="str">
        <f>_xlfn.XLOOKUP(E738,menu!$A$2:$A$37,menu!$C$2:$C$37,"")</f>
        <v/>
      </c>
      <c r="H738" t="str">
        <f>_xlfn.LET(_xlpm.x,_xlfn.XLOOKUP(_xlfn.XLOOKUP(D738,beans!$A$2:$A$300,beans!$I$2:$I$300),menu!$E$2:$E$20,menu!$F$2:$F$20),IF(_xlpm.x="","",_xlpm.x))</f>
        <v/>
      </c>
      <c r="T738" s="68" t="str">
        <f t="shared" si="86"/>
        <v/>
      </c>
      <c r="U738" t="str">
        <f t="shared" si="82"/>
        <v/>
      </c>
      <c r="V738">
        <f t="shared" si="87"/>
        <v>0</v>
      </c>
      <c r="W738" t="str">
        <f t="shared" si="83"/>
        <v/>
      </c>
      <c r="AB738" s="28" t="str">
        <f t="shared" si="84"/>
        <v xml:space="preserve"> </v>
      </c>
      <c r="AE738" s="61" t="str">
        <f t="shared" si="85"/>
        <v/>
      </c>
      <c r="AF738" s="77" t="str">
        <f>_xlfn.XLOOKUP(AD738,menu!$K$2:$K$9,menu!$J$2:$J$9,"",1)</f>
        <v/>
      </c>
      <c r="AG738" s="80" t="str">
        <f>_xlfn.XLOOKUP(AH738,menu!$O$2:$O$9,menu!$H$2:$H$9,"")</f>
        <v/>
      </c>
      <c r="AI738" t="str">
        <f>_xlfn.LET(_xlpm.x,_xlfn.CONCAT(_xlfn.XLOOKUP(D738,beans!$A$2:$A$300,beans!$J$2:$J$300,"")," / ",_xlfn.XLOOKUP(D738,beans!$A$2:$A$300,beans!$K$2:$K$300,"")," - ",_xlfn.XLOOKUP(D738,beans!$A$2:$A$300,beans!$L$2:$L$300,"")),IF(_xlpm.x=" /  - ","",_xlpm.x))</f>
        <v/>
      </c>
    </row>
    <row r="739" spans="1:35" x14ac:dyDescent="0.3">
      <c r="A739">
        <v>722</v>
      </c>
      <c r="E739" t="str">
        <f>_xlfn.LET(_xlpm.x,_xlfn.XLOOKUP(D739,beans!$A$2:$A$300,beans!$H$2:$H$300,""),IF(_xlpm.x="","",_xlpm.x))</f>
        <v/>
      </c>
      <c r="F739" s="22" t="str">
        <f>_xlfn.XLOOKUP(E739,menu!$A$2:$A$37,menu!$B$2:$B$37,"")</f>
        <v/>
      </c>
      <c r="G739" t="str">
        <f>_xlfn.XLOOKUP(E739,menu!$A$2:$A$37,menu!$C$2:$C$37,"")</f>
        <v/>
      </c>
      <c r="H739" t="str">
        <f>_xlfn.LET(_xlpm.x,_xlfn.XLOOKUP(_xlfn.XLOOKUP(D739,beans!$A$2:$A$300,beans!$I$2:$I$300),menu!$E$2:$E$20,menu!$F$2:$F$20),IF(_xlpm.x="","",_xlpm.x))</f>
        <v/>
      </c>
      <c r="T739" s="68" t="str">
        <f t="shared" si="86"/>
        <v/>
      </c>
      <c r="U739" t="str">
        <f t="shared" si="82"/>
        <v/>
      </c>
      <c r="V739">
        <f t="shared" si="87"/>
        <v>0</v>
      </c>
      <c r="W739" t="str">
        <f t="shared" si="83"/>
        <v/>
      </c>
      <c r="AB739" s="28" t="str">
        <f t="shared" si="84"/>
        <v xml:space="preserve"> </v>
      </c>
      <c r="AE739" s="61" t="str">
        <f t="shared" si="85"/>
        <v/>
      </c>
      <c r="AF739" s="77" t="str">
        <f>_xlfn.XLOOKUP(AD739,menu!$K$2:$K$9,menu!$J$2:$J$9,"",1)</f>
        <v/>
      </c>
      <c r="AG739" s="80" t="str">
        <f>_xlfn.XLOOKUP(AH739,menu!$O$2:$O$9,menu!$H$2:$H$9,"")</f>
        <v/>
      </c>
      <c r="AI739" t="str">
        <f>_xlfn.LET(_xlpm.x,_xlfn.CONCAT(_xlfn.XLOOKUP(D739,beans!$A$2:$A$300,beans!$J$2:$J$300,"")," / ",_xlfn.XLOOKUP(D739,beans!$A$2:$A$300,beans!$K$2:$K$300,"")," - ",_xlfn.XLOOKUP(D739,beans!$A$2:$A$300,beans!$L$2:$L$300,"")),IF(_xlpm.x=" /  - ","",_xlpm.x))</f>
        <v/>
      </c>
    </row>
    <row r="740" spans="1:35" x14ac:dyDescent="0.3">
      <c r="A740">
        <v>723</v>
      </c>
      <c r="E740" t="str">
        <f>_xlfn.LET(_xlpm.x,_xlfn.XLOOKUP(D740,beans!$A$2:$A$300,beans!$H$2:$H$300,""),IF(_xlpm.x="","",_xlpm.x))</f>
        <v/>
      </c>
      <c r="F740" s="22" t="str">
        <f>_xlfn.XLOOKUP(E740,menu!$A$2:$A$37,menu!$B$2:$B$37,"")</f>
        <v/>
      </c>
      <c r="G740" t="str">
        <f>_xlfn.XLOOKUP(E740,menu!$A$2:$A$37,menu!$C$2:$C$37,"")</f>
        <v/>
      </c>
      <c r="H740" t="str">
        <f>_xlfn.LET(_xlpm.x,_xlfn.XLOOKUP(_xlfn.XLOOKUP(D740,beans!$A$2:$A$300,beans!$I$2:$I$300),menu!$E$2:$E$20,menu!$F$2:$F$20),IF(_xlpm.x="","",_xlpm.x))</f>
        <v/>
      </c>
      <c r="T740" s="68" t="str">
        <f t="shared" si="86"/>
        <v/>
      </c>
      <c r="U740" t="str">
        <f t="shared" si="82"/>
        <v/>
      </c>
      <c r="V740">
        <f t="shared" si="87"/>
        <v>0</v>
      </c>
      <c r="W740" t="str">
        <f t="shared" si="83"/>
        <v/>
      </c>
      <c r="AB740" s="28" t="str">
        <f t="shared" si="84"/>
        <v xml:space="preserve"> </v>
      </c>
      <c r="AE740" s="61" t="str">
        <f t="shared" si="85"/>
        <v/>
      </c>
      <c r="AF740" s="77" t="str">
        <f>_xlfn.XLOOKUP(AD740,menu!$K$2:$K$9,menu!$J$2:$J$9,"",1)</f>
        <v/>
      </c>
      <c r="AG740" s="80" t="str">
        <f>_xlfn.XLOOKUP(AH740,menu!$O$2:$O$9,menu!$H$2:$H$9,"")</f>
        <v/>
      </c>
      <c r="AI740" t="str">
        <f>_xlfn.LET(_xlpm.x,_xlfn.CONCAT(_xlfn.XLOOKUP(D740,beans!$A$2:$A$300,beans!$J$2:$J$300,"")," / ",_xlfn.XLOOKUP(D740,beans!$A$2:$A$300,beans!$K$2:$K$300,"")," - ",_xlfn.XLOOKUP(D740,beans!$A$2:$A$300,beans!$L$2:$L$300,"")),IF(_xlpm.x=" /  - ","",_xlpm.x))</f>
        <v/>
      </c>
    </row>
    <row r="741" spans="1:35" x14ac:dyDescent="0.3">
      <c r="A741">
        <v>724</v>
      </c>
      <c r="E741" t="str">
        <f>_xlfn.LET(_xlpm.x,_xlfn.XLOOKUP(D741,beans!$A$2:$A$300,beans!$H$2:$H$300,""),IF(_xlpm.x="","",_xlpm.x))</f>
        <v/>
      </c>
      <c r="F741" s="22" t="str">
        <f>_xlfn.XLOOKUP(E741,menu!$A$2:$A$37,menu!$B$2:$B$37,"")</f>
        <v/>
      </c>
      <c r="G741" t="str">
        <f>_xlfn.XLOOKUP(E741,menu!$A$2:$A$37,menu!$C$2:$C$37,"")</f>
        <v/>
      </c>
      <c r="H741" t="str">
        <f>_xlfn.LET(_xlpm.x,_xlfn.XLOOKUP(_xlfn.XLOOKUP(D741,beans!$A$2:$A$300,beans!$I$2:$I$300),menu!$E$2:$E$20,menu!$F$2:$F$20),IF(_xlpm.x="","",_xlpm.x))</f>
        <v/>
      </c>
      <c r="T741" s="68" t="str">
        <f t="shared" si="86"/>
        <v/>
      </c>
      <c r="U741" t="str">
        <f t="shared" si="82"/>
        <v/>
      </c>
      <c r="V741">
        <f t="shared" si="87"/>
        <v>0</v>
      </c>
      <c r="W741" t="str">
        <f t="shared" si="83"/>
        <v/>
      </c>
      <c r="AB741" s="28" t="str">
        <f t="shared" si="84"/>
        <v xml:space="preserve"> </v>
      </c>
      <c r="AE741" s="61" t="str">
        <f t="shared" si="85"/>
        <v/>
      </c>
      <c r="AF741" s="77" t="str">
        <f>_xlfn.XLOOKUP(AD741,menu!$K$2:$K$9,menu!$J$2:$J$9,"",1)</f>
        <v/>
      </c>
      <c r="AG741" s="80" t="str">
        <f>_xlfn.XLOOKUP(AH741,menu!$O$2:$O$9,menu!$H$2:$H$9,"")</f>
        <v/>
      </c>
      <c r="AI741" t="str">
        <f>_xlfn.LET(_xlpm.x,_xlfn.CONCAT(_xlfn.XLOOKUP(D741,beans!$A$2:$A$300,beans!$J$2:$J$300,"")," / ",_xlfn.XLOOKUP(D741,beans!$A$2:$A$300,beans!$K$2:$K$300,"")," - ",_xlfn.XLOOKUP(D741,beans!$A$2:$A$300,beans!$L$2:$L$300,"")),IF(_xlpm.x=" /  - ","",_xlpm.x))</f>
        <v/>
      </c>
    </row>
    <row r="742" spans="1:35" x14ac:dyDescent="0.3">
      <c r="A742">
        <v>725</v>
      </c>
      <c r="E742" t="str">
        <f>_xlfn.LET(_xlpm.x,_xlfn.XLOOKUP(D742,beans!$A$2:$A$300,beans!$H$2:$H$300,""),IF(_xlpm.x="","",_xlpm.x))</f>
        <v/>
      </c>
      <c r="F742" s="22" t="str">
        <f>_xlfn.XLOOKUP(E742,menu!$A$2:$A$37,menu!$B$2:$B$37,"")</f>
        <v/>
      </c>
      <c r="G742" t="str">
        <f>_xlfn.XLOOKUP(E742,menu!$A$2:$A$37,menu!$C$2:$C$37,"")</f>
        <v/>
      </c>
      <c r="H742" t="str">
        <f>_xlfn.LET(_xlpm.x,_xlfn.XLOOKUP(_xlfn.XLOOKUP(D742,beans!$A$2:$A$300,beans!$I$2:$I$300),menu!$E$2:$E$20,menu!$F$2:$F$20),IF(_xlpm.x="","",_xlpm.x))</f>
        <v/>
      </c>
      <c r="T742" s="68" t="str">
        <f t="shared" si="86"/>
        <v/>
      </c>
      <c r="U742" t="str">
        <f t="shared" si="82"/>
        <v/>
      </c>
      <c r="V742">
        <f t="shared" si="87"/>
        <v>0</v>
      </c>
      <c r="W742" t="str">
        <f t="shared" si="83"/>
        <v/>
      </c>
      <c r="AB742" s="28" t="str">
        <f t="shared" si="84"/>
        <v xml:space="preserve"> </v>
      </c>
      <c r="AE742" s="61" t="str">
        <f t="shared" si="85"/>
        <v/>
      </c>
      <c r="AF742" s="77" t="str">
        <f>_xlfn.XLOOKUP(AD742,menu!$K$2:$K$9,menu!$J$2:$J$9,"",1)</f>
        <v/>
      </c>
      <c r="AG742" s="80" t="str">
        <f>_xlfn.XLOOKUP(AH742,menu!$O$2:$O$9,menu!$H$2:$H$9,"")</f>
        <v/>
      </c>
      <c r="AI742" t="str">
        <f>_xlfn.LET(_xlpm.x,_xlfn.CONCAT(_xlfn.XLOOKUP(D742,beans!$A$2:$A$300,beans!$J$2:$J$300,"")," / ",_xlfn.XLOOKUP(D742,beans!$A$2:$A$300,beans!$K$2:$K$300,"")," - ",_xlfn.XLOOKUP(D742,beans!$A$2:$A$300,beans!$L$2:$L$300,"")),IF(_xlpm.x=" /  - ","",_xlpm.x))</f>
        <v/>
      </c>
    </row>
    <row r="743" spans="1:35" x14ac:dyDescent="0.3">
      <c r="A743">
        <v>726</v>
      </c>
      <c r="E743" t="str">
        <f>_xlfn.LET(_xlpm.x,_xlfn.XLOOKUP(D743,beans!$A$2:$A$300,beans!$H$2:$H$300,""),IF(_xlpm.x="","",_xlpm.x))</f>
        <v/>
      </c>
      <c r="F743" s="22" t="str">
        <f>_xlfn.XLOOKUP(E743,menu!$A$2:$A$37,menu!$B$2:$B$37,"")</f>
        <v/>
      </c>
      <c r="G743" t="str">
        <f>_xlfn.XLOOKUP(E743,menu!$A$2:$A$37,menu!$C$2:$C$37,"")</f>
        <v/>
      </c>
      <c r="H743" t="str">
        <f>_xlfn.LET(_xlpm.x,_xlfn.XLOOKUP(_xlfn.XLOOKUP(D743,beans!$A$2:$A$300,beans!$I$2:$I$300),menu!$E$2:$E$20,menu!$F$2:$F$20),IF(_xlpm.x="","",_xlpm.x))</f>
        <v/>
      </c>
      <c r="T743" s="68" t="str">
        <f t="shared" si="86"/>
        <v/>
      </c>
      <c r="U743" t="str">
        <f t="shared" si="82"/>
        <v/>
      </c>
      <c r="V743">
        <f t="shared" si="87"/>
        <v>0</v>
      </c>
      <c r="W743" t="str">
        <f t="shared" si="83"/>
        <v/>
      </c>
      <c r="AB743" s="28" t="str">
        <f t="shared" si="84"/>
        <v xml:space="preserve"> </v>
      </c>
      <c r="AE743" s="61" t="str">
        <f t="shared" si="85"/>
        <v/>
      </c>
      <c r="AF743" s="77" t="str">
        <f>_xlfn.XLOOKUP(AD743,menu!$K$2:$K$9,menu!$J$2:$J$9,"",1)</f>
        <v/>
      </c>
      <c r="AG743" s="80" t="str">
        <f>_xlfn.XLOOKUP(AH743,menu!$O$2:$O$9,menu!$H$2:$H$9,"")</f>
        <v/>
      </c>
      <c r="AI743" t="str">
        <f>_xlfn.LET(_xlpm.x,_xlfn.CONCAT(_xlfn.XLOOKUP(D743,beans!$A$2:$A$300,beans!$J$2:$J$300,"")," / ",_xlfn.XLOOKUP(D743,beans!$A$2:$A$300,beans!$K$2:$K$300,"")," - ",_xlfn.XLOOKUP(D743,beans!$A$2:$A$300,beans!$L$2:$L$300,"")),IF(_xlpm.x=" /  - ","",_xlpm.x))</f>
        <v/>
      </c>
    </row>
    <row r="744" spans="1:35" x14ac:dyDescent="0.3">
      <c r="A744">
        <v>727</v>
      </c>
      <c r="E744" t="str">
        <f>_xlfn.LET(_xlpm.x,_xlfn.XLOOKUP(D744,beans!$A$2:$A$300,beans!$H$2:$H$300,""),IF(_xlpm.x="","",_xlpm.x))</f>
        <v/>
      </c>
      <c r="F744" s="22" t="str">
        <f>_xlfn.XLOOKUP(E744,menu!$A$2:$A$37,menu!$B$2:$B$37,"")</f>
        <v/>
      </c>
      <c r="G744" t="str">
        <f>_xlfn.XLOOKUP(E744,menu!$A$2:$A$37,menu!$C$2:$C$37,"")</f>
        <v/>
      </c>
      <c r="H744" t="str">
        <f>_xlfn.LET(_xlpm.x,_xlfn.XLOOKUP(_xlfn.XLOOKUP(D744,beans!$A$2:$A$300,beans!$I$2:$I$300),menu!$E$2:$E$20,menu!$F$2:$F$20),IF(_xlpm.x="","",_xlpm.x))</f>
        <v/>
      </c>
      <c r="T744" s="68" t="str">
        <f t="shared" si="86"/>
        <v/>
      </c>
      <c r="U744" t="str">
        <f t="shared" si="82"/>
        <v/>
      </c>
      <c r="V744">
        <f t="shared" si="87"/>
        <v>0</v>
      </c>
      <c r="W744" t="str">
        <f t="shared" si="83"/>
        <v/>
      </c>
      <c r="AB744" s="28" t="str">
        <f t="shared" si="84"/>
        <v xml:space="preserve"> </v>
      </c>
      <c r="AE744" s="61" t="str">
        <f t="shared" si="85"/>
        <v/>
      </c>
      <c r="AF744" s="77" t="str">
        <f>_xlfn.XLOOKUP(AD744,menu!$K$2:$K$9,menu!$J$2:$J$9,"",1)</f>
        <v/>
      </c>
      <c r="AG744" s="80" t="str">
        <f>_xlfn.XLOOKUP(AH744,menu!$O$2:$O$9,menu!$H$2:$H$9,"")</f>
        <v/>
      </c>
      <c r="AI744" t="str">
        <f>_xlfn.LET(_xlpm.x,_xlfn.CONCAT(_xlfn.XLOOKUP(D744,beans!$A$2:$A$300,beans!$J$2:$J$300,"")," / ",_xlfn.XLOOKUP(D744,beans!$A$2:$A$300,beans!$K$2:$K$300,"")," - ",_xlfn.XLOOKUP(D744,beans!$A$2:$A$300,beans!$L$2:$L$300,"")),IF(_xlpm.x=" /  - ","",_xlpm.x))</f>
        <v/>
      </c>
    </row>
    <row r="745" spans="1:35" x14ac:dyDescent="0.3">
      <c r="A745">
        <v>728</v>
      </c>
      <c r="E745" t="str">
        <f>_xlfn.LET(_xlpm.x,_xlfn.XLOOKUP(D745,beans!$A$2:$A$300,beans!$H$2:$H$300,""),IF(_xlpm.x="","",_xlpm.x))</f>
        <v/>
      </c>
      <c r="F745" s="22" t="str">
        <f>_xlfn.XLOOKUP(E745,menu!$A$2:$A$37,menu!$B$2:$B$37,"")</f>
        <v/>
      </c>
      <c r="G745" t="str">
        <f>_xlfn.XLOOKUP(E745,menu!$A$2:$A$37,menu!$C$2:$C$37,"")</f>
        <v/>
      </c>
      <c r="H745" t="str">
        <f>_xlfn.LET(_xlpm.x,_xlfn.XLOOKUP(_xlfn.XLOOKUP(D745,beans!$A$2:$A$300,beans!$I$2:$I$300),menu!$E$2:$E$20,menu!$F$2:$F$20),IF(_xlpm.x="","",_xlpm.x))</f>
        <v/>
      </c>
      <c r="T745" s="68" t="str">
        <f t="shared" si="86"/>
        <v/>
      </c>
      <c r="U745" t="str">
        <f t="shared" si="82"/>
        <v/>
      </c>
      <c r="V745">
        <f t="shared" si="87"/>
        <v>0</v>
      </c>
      <c r="W745" t="str">
        <f t="shared" si="83"/>
        <v/>
      </c>
      <c r="AB745" s="28" t="str">
        <f t="shared" si="84"/>
        <v xml:space="preserve"> </v>
      </c>
      <c r="AE745" s="61" t="str">
        <f t="shared" si="85"/>
        <v/>
      </c>
      <c r="AF745" s="77" t="str">
        <f>_xlfn.XLOOKUP(AD745,menu!$K$2:$K$9,menu!$J$2:$J$9,"",1)</f>
        <v/>
      </c>
      <c r="AG745" s="80" t="str">
        <f>_xlfn.XLOOKUP(AH745,menu!$O$2:$O$9,menu!$H$2:$H$9,"")</f>
        <v/>
      </c>
      <c r="AI745" t="str">
        <f>_xlfn.LET(_xlpm.x,_xlfn.CONCAT(_xlfn.XLOOKUP(D745,beans!$A$2:$A$300,beans!$J$2:$J$300,"")," / ",_xlfn.XLOOKUP(D745,beans!$A$2:$A$300,beans!$K$2:$K$300,"")," - ",_xlfn.XLOOKUP(D745,beans!$A$2:$A$300,beans!$L$2:$L$300,"")),IF(_xlpm.x=" /  - ","",_xlpm.x))</f>
        <v/>
      </c>
    </row>
    <row r="746" spans="1:35" x14ac:dyDescent="0.3">
      <c r="A746">
        <v>729</v>
      </c>
      <c r="E746" t="str">
        <f>_xlfn.LET(_xlpm.x,_xlfn.XLOOKUP(D746,beans!$A$2:$A$300,beans!$H$2:$H$300,""),IF(_xlpm.x="","",_xlpm.x))</f>
        <v/>
      </c>
      <c r="F746" s="22" t="str">
        <f>_xlfn.XLOOKUP(E746,menu!$A$2:$A$37,menu!$B$2:$B$37,"")</f>
        <v/>
      </c>
      <c r="G746" t="str">
        <f>_xlfn.XLOOKUP(E746,menu!$A$2:$A$37,menu!$C$2:$C$37,"")</f>
        <v/>
      </c>
      <c r="H746" t="str">
        <f>_xlfn.LET(_xlpm.x,_xlfn.XLOOKUP(_xlfn.XLOOKUP(D746,beans!$A$2:$A$300,beans!$I$2:$I$300),menu!$E$2:$E$20,menu!$F$2:$F$20),IF(_xlpm.x="","",_xlpm.x))</f>
        <v/>
      </c>
      <c r="T746" s="68" t="str">
        <f t="shared" si="86"/>
        <v/>
      </c>
      <c r="U746" t="str">
        <f t="shared" si="82"/>
        <v/>
      </c>
      <c r="V746">
        <f t="shared" si="87"/>
        <v>0</v>
      </c>
      <c r="W746" t="str">
        <f t="shared" si="83"/>
        <v/>
      </c>
      <c r="AB746" s="28" t="str">
        <f t="shared" si="84"/>
        <v xml:space="preserve"> </v>
      </c>
      <c r="AE746" s="61" t="str">
        <f t="shared" si="85"/>
        <v/>
      </c>
      <c r="AF746" s="77" t="str">
        <f>_xlfn.XLOOKUP(AD746,menu!$K$2:$K$9,menu!$J$2:$J$9,"",1)</f>
        <v/>
      </c>
      <c r="AG746" s="80" t="str">
        <f>_xlfn.XLOOKUP(AH746,menu!$O$2:$O$9,menu!$H$2:$H$9,"")</f>
        <v/>
      </c>
      <c r="AI746" t="str">
        <f>_xlfn.LET(_xlpm.x,_xlfn.CONCAT(_xlfn.XLOOKUP(D746,beans!$A$2:$A$300,beans!$J$2:$J$300,"")," / ",_xlfn.XLOOKUP(D746,beans!$A$2:$A$300,beans!$K$2:$K$300,"")," - ",_xlfn.XLOOKUP(D746,beans!$A$2:$A$300,beans!$L$2:$L$300,"")),IF(_xlpm.x=" /  - ","",_xlpm.x))</f>
        <v/>
      </c>
    </row>
    <row r="747" spans="1:35" x14ac:dyDescent="0.3">
      <c r="A747">
        <v>730</v>
      </c>
      <c r="E747" t="str">
        <f>_xlfn.LET(_xlpm.x,_xlfn.XLOOKUP(D747,beans!$A$2:$A$300,beans!$H$2:$H$300,""),IF(_xlpm.x="","",_xlpm.x))</f>
        <v/>
      </c>
      <c r="F747" s="22" t="str">
        <f>_xlfn.XLOOKUP(E747,menu!$A$2:$A$37,menu!$B$2:$B$37,"")</f>
        <v/>
      </c>
      <c r="G747" t="str">
        <f>_xlfn.XLOOKUP(E747,menu!$A$2:$A$37,menu!$C$2:$C$37,"")</f>
        <v/>
      </c>
      <c r="H747" t="str">
        <f>_xlfn.LET(_xlpm.x,_xlfn.XLOOKUP(_xlfn.XLOOKUP(D747,beans!$A$2:$A$300,beans!$I$2:$I$300),menu!$E$2:$E$20,menu!$F$2:$F$20),IF(_xlpm.x="","",_xlpm.x))</f>
        <v/>
      </c>
      <c r="T747" s="68" t="str">
        <f t="shared" si="86"/>
        <v/>
      </c>
      <c r="U747" t="str">
        <f t="shared" si="82"/>
        <v/>
      </c>
      <c r="V747">
        <f t="shared" si="87"/>
        <v>0</v>
      </c>
      <c r="W747" t="str">
        <f t="shared" si="83"/>
        <v/>
      </c>
      <c r="AB747" s="28" t="str">
        <f t="shared" si="84"/>
        <v xml:space="preserve"> </v>
      </c>
      <c r="AE747" s="61" t="str">
        <f t="shared" si="85"/>
        <v/>
      </c>
      <c r="AF747" s="77" t="str">
        <f>_xlfn.XLOOKUP(AD747,menu!$K$2:$K$9,menu!$J$2:$J$9,"",1)</f>
        <v/>
      </c>
      <c r="AG747" s="80" t="str">
        <f>_xlfn.XLOOKUP(AH747,menu!$O$2:$O$9,menu!$H$2:$H$9,"")</f>
        <v/>
      </c>
      <c r="AI747" t="str">
        <f>_xlfn.LET(_xlpm.x,_xlfn.CONCAT(_xlfn.XLOOKUP(D747,beans!$A$2:$A$300,beans!$J$2:$J$300,"")," / ",_xlfn.XLOOKUP(D747,beans!$A$2:$A$300,beans!$K$2:$K$300,"")," - ",_xlfn.XLOOKUP(D747,beans!$A$2:$A$300,beans!$L$2:$L$300,"")),IF(_xlpm.x=" /  - ","",_xlpm.x))</f>
        <v/>
      </c>
    </row>
    <row r="748" spans="1:35" x14ac:dyDescent="0.3">
      <c r="A748">
        <v>731</v>
      </c>
      <c r="E748" t="str">
        <f>_xlfn.LET(_xlpm.x,_xlfn.XLOOKUP(D748,beans!$A$2:$A$300,beans!$H$2:$H$300,""),IF(_xlpm.x="","",_xlpm.x))</f>
        <v/>
      </c>
      <c r="F748" s="22" t="str">
        <f>_xlfn.XLOOKUP(E748,menu!$A$2:$A$37,menu!$B$2:$B$37,"")</f>
        <v/>
      </c>
      <c r="G748" t="str">
        <f>_xlfn.XLOOKUP(E748,menu!$A$2:$A$37,menu!$C$2:$C$37,"")</f>
        <v/>
      </c>
      <c r="H748" t="str">
        <f>_xlfn.LET(_xlpm.x,_xlfn.XLOOKUP(_xlfn.XLOOKUP(D748,beans!$A$2:$A$300,beans!$I$2:$I$300),menu!$E$2:$E$20,menu!$F$2:$F$20),IF(_xlpm.x="","",_xlpm.x))</f>
        <v/>
      </c>
      <c r="T748" s="68" t="str">
        <f t="shared" si="86"/>
        <v/>
      </c>
      <c r="U748" t="str">
        <f t="shared" si="82"/>
        <v/>
      </c>
      <c r="V748">
        <f t="shared" si="87"/>
        <v>0</v>
      </c>
      <c r="W748" t="str">
        <f t="shared" si="83"/>
        <v/>
      </c>
      <c r="AB748" s="28" t="str">
        <f t="shared" si="84"/>
        <v xml:space="preserve"> </v>
      </c>
      <c r="AE748" s="61" t="str">
        <f t="shared" si="85"/>
        <v/>
      </c>
      <c r="AF748" s="77" t="str">
        <f>_xlfn.XLOOKUP(AD748,menu!$K$2:$K$9,menu!$J$2:$J$9,"",1)</f>
        <v/>
      </c>
      <c r="AG748" s="80" t="str">
        <f>_xlfn.XLOOKUP(AH748,menu!$O$2:$O$9,menu!$H$2:$H$9,"")</f>
        <v/>
      </c>
      <c r="AI748" t="str">
        <f>_xlfn.LET(_xlpm.x,_xlfn.CONCAT(_xlfn.XLOOKUP(D748,beans!$A$2:$A$300,beans!$J$2:$J$300,"")," / ",_xlfn.XLOOKUP(D748,beans!$A$2:$A$300,beans!$K$2:$K$300,"")," - ",_xlfn.XLOOKUP(D748,beans!$A$2:$A$300,beans!$L$2:$L$300,"")),IF(_xlpm.x=" /  - ","",_xlpm.x))</f>
        <v/>
      </c>
    </row>
    <row r="749" spans="1:35" x14ac:dyDescent="0.3">
      <c r="A749">
        <v>732</v>
      </c>
      <c r="E749" t="str">
        <f>_xlfn.LET(_xlpm.x,_xlfn.XLOOKUP(D749,beans!$A$2:$A$300,beans!$H$2:$H$300,""),IF(_xlpm.x="","",_xlpm.x))</f>
        <v/>
      </c>
      <c r="F749" s="22" t="str">
        <f>_xlfn.XLOOKUP(E749,menu!$A$2:$A$37,menu!$B$2:$B$37,"")</f>
        <v/>
      </c>
      <c r="G749" t="str">
        <f>_xlfn.XLOOKUP(E749,menu!$A$2:$A$37,menu!$C$2:$C$37,"")</f>
        <v/>
      </c>
      <c r="H749" t="str">
        <f>_xlfn.LET(_xlpm.x,_xlfn.XLOOKUP(_xlfn.XLOOKUP(D749,beans!$A$2:$A$300,beans!$I$2:$I$300),menu!$E$2:$E$20,menu!$F$2:$F$20),IF(_xlpm.x="","",_xlpm.x))</f>
        <v/>
      </c>
      <c r="T749" s="68" t="str">
        <f t="shared" si="86"/>
        <v/>
      </c>
      <c r="U749" t="str">
        <f t="shared" si="82"/>
        <v/>
      </c>
      <c r="V749">
        <f t="shared" si="87"/>
        <v>0</v>
      </c>
      <c r="W749" t="str">
        <f t="shared" si="83"/>
        <v/>
      </c>
      <c r="AB749" s="28" t="str">
        <f t="shared" si="84"/>
        <v xml:space="preserve"> </v>
      </c>
      <c r="AE749" s="61" t="str">
        <f t="shared" si="85"/>
        <v/>
      </c>
      <c r="AF749" s="77" t="str">
        <f>_xlfn.XLOOKUP(AD749,menu!$K$2:$K$9,menu!$J$2:$J$9,"",1)</f>
        <v/>
      </c>
      <c r="AG749" s="80" t="str">
        <f>_xlfn.XLOOKUP(AH749,menu!$O$2:$O$9,menu!$H$2:$H$9,"")</f>
        <v/>
      </c>
      <c r="AI749" t="str">
        <f>_xlfn.LET(_xlpm.x,_xlfn.CONCAT(_xlfn.XLOOKUP(D749,beans!$A$2:$A$300,beans!$J$2:$J$300,"")," / ",_xlfn.XLOOKUP(D749,beans!$A$2:$A$300,beans!$K$2:$K$300,"")," - ",_xlfn.XLOOKUP(D749,beans!$A$2:$A$300,beans!$L$2:$L$300,"")),IF(_xlpm.x=" /  - ","",_xlpm.x))</f>
        <v/>
      </c>
    </row>
    <row r="750" spans="1:35" x14ac:dyDescent="0.3">
      <c r="A750">
        <v>733</v>
      </c>
      <c r="E750" t="str">
        <f>_xlfn.LET(_xlpm.x,_xlfn.XLOOKUP(D750,beans!$A$2:$A$300,beans!$H$2:$H$300,""),IF(_xlpm.x="","",_xlpm.x))</f>
        <v/>
      </c>
      <c r="F750" s="22" t="str">
        <f>_xlfn.XLOOKUP(E750,menu!$A$2:$A$37,menu!$B$2:$B$37,"")</f>
        <v/>
      </c>
      <c r="G750" t="str">
        <f>_xlfn.XLOOKUP(E750,menu!$A$2:$A$37,menu!$C$2:$C$37,"")</f>
        <v/>
      </c>
      <c r="H750" t="str">
        <f>_xlfn.LET(_xlpm.x,_xlfn.XLOOKUP(_xlfn.XLOOKUP(D750,beans!$A$2:$A$300,beans!$I$2:$I$300),menu!$E$2:$E$20,menu!$F$2:$F$20),IF(_xlpm.x="","",_xlpm.x))</f>
        <v/>
      </c>
      <c r="T750" s="68" t="str">
        <f t="shared" si="86"/>
        <v/>
      </c>
      <c r="U750" t="str">
        <f t="shared" si="82"/>
        <v/>
      </c>
      <c r="V750">
        <f t="shared" si="87"/>
        <v>0</v>
      </c>
      <c r="W750" t="str">
        <f t="shared" si="83"/>
        <v/>
      </c>
      <c r="AB750" s="28" t="str">
        <f t="shared" si="84"/>
        <v xml:space="preserve"> </v>
      </c>
      <c r="AE750" s="61" t="str">
        <f t="shared" si="85"/>
        <v/>
      </c>
      <c r="AF750" s="77" t="str">
        <f>_xlfn.XLOOKUP(AD750,menu!$K$2:$K$9,menu!$J$2:$J$9,"",1)</f>
        <v/>
      </c>
      <c r="AG750" s="80" t="str">
        <f>_xlfn.XLOOKUP(AH750,menu!$O$2:$O$9,menu!$H$2:$H$9,"")</f>
        <v/>
      </c>
      <c r="AI750" t="str">
        <f>_xlfn.LET(_xlpm.x,_xlfn.CONCAT(_xlfn.XLOOKUP(D750,beans!$A$2:$A$300,beans!$J$2:$J$300,"")," / ",_xlfn.XLOOKUP(D750,beans!$A$2:$A$300,beans!$K$2:$K$300,"")," - ",_xlfn.XLOOKUP(D750,beans!$A$2:$A$300,beans!$L$2:$L$300,"")),IF(_xlpm.x=" /  - ","",_xlpm.x))</f>
        <v/>
      </c>
    </row>
    <row r="751" spans="1:35" x14ac:dyDescent="0.3">
      <c r="A751">
        <v>734</v>
      </c>
      <c r="E751" t="str">
        <f>_xlfn.LET(_xlpm.x,_xlfn.XLOOKUP(D751,beans!$A$2:$A$300,beans!$H$2:$H$300,""),IF(_xlpm.x="","",_xlpm.x))</f>
        <v/>
      </c>
      <c r="F751" s="22" t="str">
        <f>_xlfn.XLOOKUP(E751,menu!$A$2:$A$37,menu!$B$2:$B$37,"")</f>
        <v/>
      </c>
      <c r="G751" t="str">
        <f>_xlfn.XLOOKUP(E751,menu!$A$2:$A$37,menu!$C$2:$C$37,"")</f>
        <v/>
      </c>
      <c r="H751" t="str">
        <f>_xlfn.LET(_xlpm.x,_xlfn.XLOOKUP(_xlfn.XLOOKUP(D751,beans!$A$2:$A$300,beans!$I$2:$I$300),menu!$E$2:$E$20,menu!$F$2:$F$20),IF(_xlpm.x="","",_xlpm.x))</f>
        <v/>
      </c>
      <c r="T751" s="68" t="str">
        <f t="shared" si="86"/>
        <v/>
      </c>
      <c r="U751" t="str">
        <f t="shared" si="82"/>
        <v/>
      </c>
      <c r="V751">
        <f t="shared" si="87"/>
        <v>0</v>
      </c>
      <c r="W751" t="str">
        <f t="shared" si="83"/>
        <v/>
      </c>
      <c r="AB751" s="28" t="str">
        <f t="shared" si="84"/>
        <v xml:space="preserve"> </v>
      </c>
      <c r="AE751" s="61" t="str">
        <f t="shared" si="85"/>
        <v/>
      </c>
      <c r="AF751" s="77" t="str">
        <f>_xlfn.XLOOKUP(AD751,menu!$K$2:$K$9,menu!$J$2:$J$9,"",1)</f>
        <v/>
      </c>
      <c r="AG751" s="80" t="str">
        <f>_xlfn.XLOOKUP(AH751,menu!$O$2:$O$9,menu!$H$2:$H$9,"")</f>
        <v/>
      </c>
      <c r="AI751" t="str">
        <f>_xlfn.LET(_xlpm.x,_xlfn.CONCAT(_xlfn.XLOOKUP(D751,beans!$A$2:$A$300,beans!$J$2:$J$300,"")," / ",_xlfn.XLOOKUP(D751,beans!$A$2:$A$300,beans!$K$2:$K$300,"")," - ",_xlfn.XLOOKUP(D751,beans!$A$2:$A$300,beans!$L$2:$L$300,"")),IF(_xlpm.x=" /  - ","",_xlpm.x))</f>
        <v/>
      </c>
    </row>
    <row r="752" spans="1:35" x14ac:dyDescent="0.3">
      <c r="A752">
        <v>735</v>
      </c>
      <c r="E752" t="str">
        <f>_xlfn.LET(_xlpm.x,_xlfn.XLOOKUP(D752,beans!$A$2:$A$300,beans!$H$2:$H$300,""),IF(_xlpm.x="","",_xlpm.x))</f>
        <v/>
      </c>
      <c r="F752" s="22" t="str">
        <f>_xlfn.XLOOKUP(E752,menu!$A$2:$A$37,menu!$B$2:$B$37,"")</f>
        <v/>
      </c>
      <c r="G752" t="str">
        <f>_xlfn.XLOOKUP(E752,menu!$A$2:$A$37,menu!$C$2:$C$37,"")</f>
        <v/>
      </c>
      <c r="H752" t="str">
        <f>_xlfn.LET(_xlpm.x,_xlfn.XLOOKUP(_xlfn.XLOOKUP(D752,beans!$A$2:$A$300,beans!$I$2:$I$300),menu!$E$2:$E$20,menu!$F$2:$F$20),IF(_xlpm.x="","",_xlpm.x))</f>
        <v/>
      </c>
      <c r="T752" s="68" t="str">
        <f t="shared" si="86"/>
        <v/>
      </c>
      <c r="U752" t="str">
        <f t="shared" si="82"/>
        <v/>
      </c>
      <c r="V752">
        <f t="shared" si="87"/>
        <v>0</v>
      </c>
      <c r="W752" t="str">
        <f t="shared" si="83"/>
        <v/>
      </c>
      <c r="AB752" s="28" t="str">
        <f t="shared" si="84"/>
        <v xml:space="preserve"> </v>
      </c>
      <c r="AE752" s="61" t="str">
        <f t="shared" si="85"/>
        <v/>
      </c>
      <c r="AF752" s="77" t="str">
        <f>_xlfn.XLOOKUP(AD752,menu!$K$2:$K$9,menu!$J$2:$J$9,"",1)</f>
        <v/>
      </c>
      <c r="AG752" s="80" t="str">
        <f>_xlfn.XLOOKUP(AH752,menu!$O$2:$O$9,menu!$H$2:$H$9,"")</f>
        <v/>
      </c>
      <c r="AI752" t="str">
        <f>_xlfn.LET(_xlpm.x,_xlfn.CONCAT(_xlfn.XLOOKUP(D752,beans!$A$2:$A$300,beans!$J$2:$J$300,"")," / ",_xlfn.XLOOKUP(D752,beans!$A$2:$A$300,beans!$K$2:$K$300,"")," - ",_xlfn.XLOOKUP(D752,beans!$A$2:$A$300,beans!$L$2:$L$300,"")),IF(_xlpm.x=" /  - ","",_xlpm.x))</f>
        <v/>
      </c>
    </row>
    <row r="753" spans="1:35" x14ac:dyDescent="0.3">
      <c r="A753">
        <v>736</v>
      </c>
      <c r="E753" t="str">
        <f>_xlfn.LET(_xlpm.x,_xlfn.XLOOKUP(D753,beans!$A$2:$A$300,beans!$H$2:$H$300,""),IF(_xlpm.x="","",_xlpm.x))</f>
        <v/>
      </c>
      <c r="F753" s="22" t="str">
        <f>_xlfn.XLOOKUP(E753,menu!$A$2:$A$37,menu!$B$2:$B$37,"")</f>
        <v/>
      </c>
      <c r="G753" t="str">
        <f>_xlfn.XLOOKUP(E753,menu!$A$2:$A$37,menu!$C$2:$C$37,"")</f>
        <v/>
      </c>
      <c r="H753" t="str">
        <f>_xlfn.LET(_xlpm.x,_xlfn.XLOOKUP(_xlfn.XLOOKUP(D753,beans!$A$2:$A$300,beans!$I$2:$I$300),menu!$E$2:$E$20,menu!$F$2:$F$20),IF(_xlpm.x="","",_xlpm.x))</f>
        <v/>
      </c>
      <c r="T753" s="68" t="str">
        <f t="shared" si="86"/>
        <v/>
      </c>
      <c r="U753" t="str">
        <f t="shared" si="82"/>
        <v/>
      </c>
      <c r="V753">
        <f t="shared" si="87"/>
        <v>0</v>
      </c>
      <c r="W753" t="str">
        <f t="shared" si="83"/>
        <v/>
      </c>
      <c r="AB753" s="28" t="str">
        <f t="shared" si="84"/>
        <v xml:space="preserve"> </v>
      </c>
      <c r="AE753" s="61" t="str">
        <f t="shared" si="85"/>
        <v/>
      </c>
      <c r="AF753" s="77" t="str">
        <f>_xlfn.XLOOKUP(AD753,menu!$K$2:$K$9,menu!$J$2:$J$9,"",1)</f>
        <v/>
      </c>
      <c r="AG753" s="80" t="str">
        <f>_xlfn.XLOOKUP(AH753,menu!$O$2:$O$9,menu!$H$2:$H$9,"")</f>
        <v/>
      </c>
      <c r="AI753" t="str">
        <f>_xlfn.LET(_xlpm.x,_xlfn.CONCAT(_xlfn.XLOOKUP(D753,beans!$A$2:$A$300,beans!$J$2:$J$300,"")," / ",_xlfn.XLOOKUP(D753,beans!$A$2:$A$300,beans!$K$2:$K$300,"")," - ",_xlfn.XLOOKUP(D753,beans!$A$2:$A$300,beans!$L$2:$L$300,"")),IF(_xlpm.x=" /  - ","",_xlpm.x))</f>
        <v/>
      </c>
    </row>
    <row r="754" spans="1:35" x14ac:dyDescent="0.3">
      <c r="A754">
        <v>737</v>
      </c>
      <c r="E754" t="str">
        <f>_xlfn.LET(_xlpm.x,_xlfn.XLOOKUP(D754,beans!$A$2:$A$300,beans!$H$2:$H$300,""),IF(_xlpm.x="","",_xlpm.x))</f>
        <v/>
      </c>
      <c r="F754" s="22" t="str">
        <f>_xlfn.XLOOKUP(E754,menu!$A$2:$A$37,menu!$B$2:$B$37,"")</f>
        <v/>
      </c>
      <c r="G754" t="str">
        <f>_xlfn.XLOOKUP(E754,menu!$A$2:$A$37,menu!$C$2:$C$37,"")</f>
        <v/>
      </c>
      <c r="H754" t="str">
        <f>_xlfn.LET(_xlpm.x,_xlfn.XLOOKUP(_xlfn.XLOOKUP(D754,beans!$A$2:$A$300,beans!$I$2:$I$300),menu!$E$2:$E$20,menu!$F$2:$F$20),IF(_xlpm.x="","",_xlpm.x))</f>
        <v/>
      </c>
      <c r="T754" s="68" t="str">
        <f t="shared" si="86"/>
        <v/>
      </c>
      <c r="U754" t="str">
        <f t="shared" si="82"/>
        <v/>
      </c>
      <c r="V754">
        <f t="shared" si="87"/>
        <v>0</v>
      </c>
      <c r="W754" t="str">
        <f t="shared" si="83"/>
        <v/>
      </c>
      <c r="AB754" s="28" t="str">
        <f t="shared" si="84"/>
        <v xml:space="preserve"> </v>
      </c>
      <c r="AE754" s="61" t="str">
        <f t="shared" si="85"/>
        <v/>
      </c>
      <c r="AF754" s="77" t="str">
        <f>_xlfn.XLOOKUP(AD754,menu!$K$2:$K$9,menu!$J$2:$J$9,"",1)</f>
        <v/>
      </c>
      <c r="AG754" s="80" t="str">
        <f>_xlfn.XLOOKUP(AH754,menu!$O$2:$O$9,menu!$H$2:$H$9,"")</f>
        <v/>
      </c>
      <c r="AI754" t="str">
        <f>_xlfn.LET(_xlpm.x,_xlfn.CONCAT(_xlfn.XLOOKUP(D754,beans!$A$2:$A$300,beans!$J$2:$J$300,"")," / ",_xlfn.XLOOKUP(D754,beans!$A$2:$A$300,beans!$K$2:$K$300,"")," - ",_xlfn.XLOOKUP(D754,beans!$A$2:$A$300,beans!$L$2:$L$300,"")),IF(_xlpm.x=" /  - ","",_xlpm.x))</f>
        <v/>
      </c>
    </row>
    <row r="755" spans="1:35" x14ac:dyDescent="0.3">
      <c r="A755">
        <v>738</v>
      </c>
      <c r="E755" t="str">
        <f>_xlfn.LET(_xlpm.x,_xlfn.XLOOKUP(D755,beans!$A$2:$A$300,beans!$H$2:$H$300,""),IF(_xlpm.x="","",_xlpm.x))</f>
        <v/>
      </c>
      <c r="F755" s="22" t="str">
        <f>_xlfn.XLOOKUP(E755,menu!$A$2:$A$37,menu!$B$2:$B$37,"")</f>
        <v/>
      </c>
      <c r="G755" t="str">
        <f>_xlfn.XLOOKUP(E755,menu!$A$2:$A$37,menu!$C$2:$C$37,"")</f>
        <v/>
      </c>
      <c r="H755" t="str">
        <f>_xlfn.LET(_xlpm.x,_xlfn.XLOOKUP(_xlfn.XLOOKUP(D755,beans!$A$2:$A$300,beans!$I$2:$I$300),menu!$E$2:$E$20,menu!$F$2:$F$20),IF(_xlpm.x="","",_xlpm.x))</f>
        <v/>
      </c>
      <c r="T755" s="68" t="str">
        <f t="shared" si="86"/>
        <v/>
      </c>
      <c r="U755" t="str">
        <f t="shared" si="82"/>
        <v/>
      </c>
      <c r="V755">
        <f t="shared" si="87"/>
        <v>0</v>
      </c>
      <c r="W755" t="str">
        <f t="shared" si="83"/>
        <v/>
      </c>
      <c r="AB755" s="28" t="str">
        <f t="shared" si="84"/>
        <v xml:space="preserve"> </v>
      </c>
      <c r="AE755" s="61" t="str">
        <f t="shared" si="85"/>
        <v/>
      </c>
      <c r="AF755" s="77" t="str">
        <f>_xlfn.XLOOKUP(AD755,menu!$K$2:$K$9,menu!$J$2:$J$9,"",1)</f>
        <v/>
      </c>
      <c r="AG755" s="80" t="str">
        <f>_xlfn.XLOOKUP(AH755,menu!$O$2:$O$9,menu!$H$2:$H$9,"")</f>
        <v/>
      </c>
      <c r="AI755" t="str">
        <f>_xlfn.LET(_xlpm.x,_xlfn.CONCAT(_xlfn.XLOOKUP(D755,beans!$A$2:$A$300,beans!$J$2:$J$300,"")," / ",_xlfn.XLOOKUP(D755,beans!$A$2:$A$300,beans!$K$2:$K$300,"")," - ",_xlfn.XLOOKUP(D755,beans!$A$2:$A$300,beans!$L$2:$L$300,"")),IF(_xlpm.x=" /  - ","",_xlpm.x))</f>
        <v/>
      </c>
    </row>
    <row r="756" spans="1:35" x14ac:dyDescent="0.3">
      <c r="A756">
        <v>739</v>
      </c>
      <c r="E756" t="str">
        <f>_xlfn.LET(_xlpm.x,_xlfn.XLOOKUP(D756,beans!$A$2:$A$300,beans!$H$2:$H$300,""),IF(_xlpm.x="","",_xlpm.x))</f>
        <v/>
      </c>
      <c r="F756" s="22" t="str">
        <f>_xlfn.XLOOKUP(E756,menu!$A$2:$A$37,menu!$B$2:$B$37,"")</f>
        <v/>
      </c>
      <c r="G756" t="str">
        <f>_xlfn.XLOOKUP(E756,menu!$A$2:$A$37,menu!$C$2:$C$37,"")</f>
        <v/>
      </c>
      <c r="H756" t="str">
        <f>_xlfn.LET(_xlpm.x,_xlfn.XLOOKUP(_xlfn.XLOOKUP(D756,beans!$A$2:$A$300,beans!$I$2:$I$300),menu!$E$2:$E$20,menu!$F$2:$F$20),IF(_xlpm.x="","",_xlpm.x))</f>
        <v/>
      </c>
      <c r="T756" s="68" t="str">
        <f t="shared" si="86"/>
        <v/>
      </c>
      <c r="U756" t="str">
        <f t="shared" si="82"/>
        <v/>
      </c>
      <c r="V756">
        <f t="shared" si="87"/>
        <v>0</v>
      </c>
      <c r="W756" t="str">
        <f t="shared" si="83"/>
        <v/>
      </c>
      <c r="AB756" s="28" t="str">
        <f t="shared" si="84"/>
        <v xml:space="preserve"> </v>
      </c>
      <c r="AE756" s="61" t="str">
        <f t="shared" si="85"/>
        <v/>
      </c>
      <c r="AF756" s="77" t="str">
        <f>_xlfn.XLOOKUP(AD756,menu!$K$2:$K$9,menu!$J$2:$J$9,"",1)</f>
        <v/>
      </c>
      <c r="AG756" s="80" t="str">
        <f>_xlfn.XLOOKUP(AH756,menu!$O$2:$O$9,menu!$H$2:$H$9,"")</f>
        <v/>
      </c>
      <c r="AI756" t="str">
        <f>_xlfn.LET(_xlpm.x,_xlfn.CONCAT(_xlfn.XLOOKUP(D756,beans!$A$2:$A$300,beans!$J$2:$J$300,"")," / ",_xlfn.XLOOKUP(D756,beans!$A$2:$A$300,beans!$K$2:$K$300,"")," - ",_xlfn.XLOOKUP(D756,beans!$A$2:$A$300,beans!$L$2:$L$300,"")),IF(_xlpm.x=" /  - ","",_xlpm.x))</f>
        <v/>
      </c>
    </row>
    <row r="757" spans="1:35" x14ac:dyDescent="0.3">
      <c r="A757">
        <v>740</v>
      </c>
      <c r="E757" t="str">
        <f>_xlfn.LET(_xlpm.x,_xlfn.XLOOKUP(D757,beans!$A$2:$A$300,beans!$H$2:$H$300,""),IF(_xlpm.x="","",_xlpm.x))</f>
        <v/>
      </c>
      <c r="F757" s="22" t="str">
        <f>_xlfn.XLOOKUP(E757,menu!$A$2:$A$37,menu!$B$2:$B$37,"")</f>
        <v/>
      </c>
      <c r="G757" t="str">
        <f>_xlfn.XLOOKUP(E757,menu!$A$2:$A$37,menu!$C$2:$C$37,"")</f>
        <v/>
      </c>
      <c r="H757" t="str">
        <f>_xlfn.LET(_xlpm.x,_xlfn.XLOOKUP(_xlfn.XLOOKUP(D757,beans!$A$2:$A$300,beans!$I$2:$I$300),menu!$E$2:$E$20,menu!$F$2:$F$20),IF(_xlpm.x="","",_xlpm.x))</f>
        <v/>
      </c>
      <c r="T757" s="68" t="str">
        <f t="shared" si="86"/>
        <v/>
      </c>
      <c r="U757" t="str">
        <f t="shared" si="82"/>
        <v/>
      </c>
      <c r="V757">
        <f t="shared" si="87"/>
        <v>0</v>
      </c>
      <c r="W757" t="str">
        <f t="shared" si="83"/>
        <v/>
      </c>
      <c r="AB757" s="28" t="str">
        <f t="shared" si="84"/>
        <v xml:space="preserve"> </v>
      </c>
      <c r="AE757" s="61" t="str">
        <f t="shared" si="85"/>
        <v/>
      </c>
      <c r="AF757" s="77" t="str">
        <f>_xlfn.XLOOKUP(AD757,menu!$K$2:$K$9,menu!$J$2:$J$9,"",1)</f>
        <v/>
      </c>
      <c r="AG757" s="80" t="str">
        <f>_xlfn.XLOOKUP(AH757,menu!$O$2:$O$9,menu!$H$2:$H$9,"")</f>
        <v/>
      </c>
      <c r="AI757" t="str">
        <f>_xlfn.LET(_xlpm.x,_xlfn.CONCAT(_xlfn.XLOOKUP(D757,beans!$A$2:$A$300,beans!$J$2:$J$300,"")," / ",_xlfn.XLOOKUP(D757,beans!$A$2:$A$300,beans!$K$2:$K$300,"")," - ",_xlfn.XLOOKUP(D757,beans!$A$2:$A$300,beans!$L$2:$L$300,"")),IF(_xlpm.x=" /  - ","",_xlpm.x))</f>
        <v/>
      </c>
    </row>
    <row r="758" spans="1:35" x14ac:dyDescent="0.3">
      <c r="A758">
        <v>741</v>
      </c>
      <c r="E758" t="str">
        <f>_xlfn.LET(_xlpm.x,_xlfn.XLOOKUP(D758,beans!$A$2:$A$300,beans!$H$2:$H$300,""),IF(_xlpm.x="","",_xlpm.x))</f>
        <v/>
      </c>
      <c r="F758" s="22" t="str">
        <f>_xlfn.XLOOKUP(E758,menu!$A$2:$A$37,menu!$B$2:$B$37,"")</f>
        <v/>
      </c>
      <c r="G758" t="str">
        <f>_xlfn.XLOOKUP(E758,menu!$A$2:$A$37,menu!$C$2:$C$37,"")</f>
        <v/>
      </c>
      <c r="H758" t="str">
        <f>_xlfn.LET(_xlpm.x,_xlfn.XLOOKUP(_xlfn.XLOOKUP(D758,beans!$A$2:$A$300,beans!$I$2:$I$300),menu!$E$2:$E$20,menu!$F$2:$F$20),IF(_xlpm.x="","",_xlpm.x))</f>
        <v/>
      </c>
      <c r="T758" s="68" t="str">
        <f t="shared" si="86"/>
        <v/>
      </c>
      <c r="U758" t="str">
        <f t="shared" si="82"/>
        <v/>
      </c>
      <c r="V758">
        <f t="shared" si="87"/>
        <v>0</v>
      </c>
      <c r="W758" t="str">
        <f t="shared" si="83"/>
        <v/>
      </c>
      <c r="AB758" s="28" t="str">
        <f t="shared" si="84"/>
        <v xml:space="preserve"> </v>
      </c>
      <c r="AE758" s="61" t="str">
        <f t="shared" si="85"/>
        <v/>
      </c>
      <c r="AF758" s="77" t="str">
        <f>_xlfn.XLOOKUP(AD758,menu!$K$2:$K$9,menu!$J$2:$J$9,"",1)</f>
        <v/>
      </c>
      <c r="AG758" s="80" t="str">
        <f>_xlfn.XLOOKUP(AH758,menu!$O$2:$O$9,menu!$H$2:$H$9,"")</f>
        <v/>
      </c>
      <c r="AI758" t="str">
        <f>_xlfn.LET(_xlpm.x,_xlfn.CONCAT(_xlfn.XLOOKUP(D758,beans!$A$2:$A$300,beans!$J$2:$J$300,"")," / ",_xlfn.XLOOKUP(D758,beans!$A$2:$A$300,beans!$K$2:$K$300,"")," - ",_xlfn.XLOOKUP(D758,beans!$A$2:$A$300,beans!$L$2:$L$300,"")),IF(_xlpm.x=" /  - ","",_xlpm.x))</f>
        <v/>
      </c>
    </row>
    <row r="759" spans="1:35" x14ac:dyDescent="0.3">
      <c r="A759">
        <v>742</v>
      </c>
      <c r="E759" t="str">
        <f>_xlfn.LET(_xlpm.x,_xlfn.XLOOKUP(D759,beans!$A$2:$A$300,beans!$H$2:$H$300,""),IF(_xlpm.x="","",_xlpm.x))</f>
        <v/>
      </c>
      <c r="F759" s="22" t="str">
        <f>_xlfn.XLOOKUP(E759,menu!$A$2:$A$37,menu!$B$2:$B$37,"")</f>
        <v/>
      </c>
      <c r="G759" t="str">
        <f>_xlfn.XLOOKUP(E759,menu!$A$2:$A$37,menu!$C$2:$C$37,"")</f>
        <v/>
      </c>
      <c r="H759" t="str">
        <f>_xlfn.LET(_xlpm.x,_xlfn.XLOOKUP(_xlfn.XLOOKUP(D759,beans!$A$2:$A$300,beans!$I$2:$I$300),menu!$E$2:$E$20,menu!$F$2:$F$20),IF(_xlpm.x="","",_xlpm.x))</f>
        <v/>
      </c>
      <c r="T759" s="68" t="str">
        <f t="shared" si="86"/>
        <v/>
      </c>
      <c r="U759" t="str">
        <f t="shared" si="82"/>
        <v/>
      </c>
      <c r="V759">
        <f t="shared" si="87"/>
        <v>0</v>
      </c>
      <c r="W759" t="str">
        <f t="shared" si="83"/>
        <v/>
      </c>
      <c r="AB759" s="28" t="str">
        <f t="shared" si="84"/>
        <v xml:space="preserve"> </v>
      </c>
      <c r="AE759" s="61" t="str">
        <f t="shared" si="85"/>
        <v/>
      </c>
      <c r="AF759" s="77" t="str">
        <f>_xlfn.XLOOKUP(AD759,menu!$K$2:$K$9,menu!$J$2:$J$9,"",1)</f>
        <v/>
      </c>
      <c r="AG759" s="80" t="str">
        <f>_xlfn.XLOOKUP(AH759,menu!$O$2:$O$9,menu!$H$2:$H$9,"")</f>
        <v/>
      </c>
      <c r="AI759" t="str">
        <f>_xlfn.LET(_xlpm.x,_xlfn.CONCAT(_xlfn.XLOOKUP(D759,beans!$A$2:$A$300,beans!$J$2:$J$300,"")," / ",_xlfn.XLOOKUP(D759,beans!$A$2:$A$300,beans!$K$2:$K$300,"")," - ",_xlfn.XLOOKUP(D759,beans!$A$2:$A$300,beans!$L$2:$L$300,"")),IF(_xlpm.x=" /  - ","",_xlpm.x))</f>
        <v/>
      </c>
    </row>
    <row r="760" spans="1:35" x14ac:dyDescent="0.3">
      <c r="A760">
        <v>743</v>
      </c>
      <c r="E760" t="str">
        <f>_xlfn.LET(_xlpm.x,_xlfn.XLOOKUP(D760,beans!$A$2:$A$300,beans!$H$2:$H$300,""),IF(_xlpm.x="","",_xlpm.x))</f>
        <v/>
      </c>
      <c r="F760" s="22" t="str">
        <f>_xlfn.XLOOKUP(E760,menu!$A$2:$A$37,menu!$B$2:$B$37,"")</f>
        <v/>
      </c>
      <c r="G760" t="str">
        <f>_xlfn.XLOOKUP(E760,menu!$A$2:$A$37,menu!$C$2:$C$37,"")</f>
        <v/>
      </c>
      <c r="H760" t="str">
        <f>_xlfn.LET(_xlpm.x,_xlfn.XLOOKUP(_xlfn.XLOOKUP(D760,beans!$A$2:$A$300,beans!$I$2:$I$300),menu!$E$2:$E$20,menu!$F$2:$F$20),IF(_xlpm.x="","",_xlpm.x))</f>
        <v/>
      </c>
      <c r="T760" s="68" t="str">
        <f t="shared" si="86"/>
        <v/>
      </c>
      <c r="U760" t="str">
        <f t="shared" si="82"/>
        <v/>
      </c>
      <c r="V760">
        <f t="shared" si="87"/>
        <v>0</v>
      </c>
      <c r="W760" t="str">
        <f t="shared" si="83"/>
        <v/>
      </c>
      <c r="AB760" s="28" t="str">
        <f t="shared" si="84"/>
        <v xml:space="preserve"> </v>
      </c>
      <c r="AE760" s="61" t="str">
        <f t="shared" si="85"/>
        <v/>
      </c>
      <c r="AF760" s="77" t="str">
        <f>_xlfn.XLOOKUP(AD760,menu!$K$2:$K$9,menu!$J$2:$J$9,"",1)</f>
        <v/>
      </c>
      <c r="AG760" s="80" t="str">
        <f>_xlfn.XLOOKUP(AH760,menu!$O$2:$O$9,menu!$H$2:$H$9,"")</f>
        <v/>
      </c>
      <c r="AI760" t="str">
        <f>_xlfn.LET(_xlpm.x,_xlfn.CONCAT(_xlfn.XLOOKUP(D760,beans!$A$2:$A$300,beans!$J$2:$J$300,"")," / ",_xlfn.XLOOKUP(D760,beans!$A$2:$A$300,beans!$K$2:$K$300,"")," - ",_xlfn.XLOOKUP(D760,beans!$A$2:$A$300,beans!$L$2:$L$300,"")),IF(_xlpm.x=" /  - ","",_xlpm.x))</f>
        <v/>
      </c>
    </row>
    <row r="761" spans="1:35" x14ac:dyDescent="0.3">
      <c r="A761">
        <v>744</v>
      </c>
      <c r="E761" t="str">
        <f>_xlfn.LET(_xlpm.x,_xlfn.XLOOKUP(D761,beans!$A$2:$A$300,beans!$H$2:$H$300,""),IF(_xlpm.x="","",_xlpm.x))</f>
        <v/>
      </c>
      <c r="F761" s="22" t="str">
        <f>_xlfn.XLOOKUP(E761,menu!$A$2:$A$37,menu!$B$2:$B$37,"")</f>
        <v/>
      </c>
      <c r="G761" t="str">
        <f>_xlfn.XLOOKUP(E761,menu!$A$2:$A$37,menu!$C$2:$C$37,"")</f>
        <v/>
      </c>
      <c r="H761" t="str">
        <f>_xlfn.LET(_xlpm.x,_xlfn.XLOOKUP(_xlfn.XLOOKUP(D761,beans!$A$2:$A$300,beans!$I$2:$I$300),menu!$E$2:$E$20,menu!$F$2:$F$20),IF(_xlpm.x="","",_xlpm.x))</f>
        <v/>
      </c>
      <c r="T761" s="68" t="str">
        <f t="shared" si="86"/>
        <v/>
      </c>
      <c r="U761" t="str">
        <f t="shared" si="82"/>
        <v/>
      </c>
      <c r="V761">
        <f t="shared" si="87"/>
        <v>0</v>
      </c>
      <c r="W761" t="str">
        <f t="shared" si="83"/>
        <v/>
      </c>
      <c r="AB761" s="28" t="str">
        <f t="shared" si="84"/>
        <v xml:space="preserve"> </v>
      </c>
      <c r="AE761" s="61" t="str">
        <f t="shared" si="85"/>
        <v/>
      </c>
      <c r="AF761" s="77" t="str">
        <f>_xlfn.XLOOKUP(AD761,menu!$K$2:$K$9,menu!$J$2:$J$9,"",1)</f>
        <v/>
      </c>
      <c r="AG761" s="80" t="str">
        <f>_xlfn.XLOOKUP(AH761,menu!$O$2:$O$9,menu!$H$2:$H$9,"")</f>
        <v/>
      </c>
      <c r="AI761" t="str">
        <f>_xlfn.LET(_xlpm.x,_xlfn.CONCAT(_xlfn.XLOOKUP(D761,beans!$A$2:$A$300,beans!$J$2:$J$300,"")," / ",_xlfn.XLOOKUP(D761,beans!$A$2:$A$300,beans!$K$2:$K$300,"")," - ",_xlfn.XLOOKUP(D761,beans!$A$2:$A$300,beans!$L$2:$L$300,"")),IF(_xlpm.x=" /  - ","",_xlpm.x))</f>
        <v/>
      </c>
    </row>
    <row r="762" spans="1:35" x14ac:dyDescent="0.3">
      <c r="A762">
        <v>745</v>
      </c>
      <c r="E762" t="str">
        <f>_xlfn.LET(_xlpm.x,_xlfn.XLOOKUP(D762,beans!$A$2:$A$300,beans!$H$2:$H$300,""),IF(_xlpm.x="","",_xlpm.x))</f>
        <v/>
      </c>
      <c r="F762" s="22" t="str">
        <f>_xlfn.XLOOKUP(E762,menu!$A$2:$A$37,menu!$B$2:$B$37,"")</f>
        <v/>
      </c>
      <c r="G762" t="str">
        <f>_xlfn.XLOOKUP(E762,menu!$A$2:$A$37,menu!$C$2:$C$37,"")</f>
        <v/>
      </c>
      <c r="H762" t="str">
        <f>_xlfn.LET(_xlpm.x,_xlfn.XLOOKUP(_xlfn.XLOOKUP(D762,beans!$A$2:$A$300,beans!$I$2:$I$300),menu!$E$2:$E$20,menu!$F$2:$F$20),IF(_xlpm.x="","",_xlpm.x))</f>
        <v/>
      </c>
      <c r="T762" s="68" t="str">
        <f t="shared" si="86"/>
        <v/>
      </c>
      <c r="U762" t="str">
        <f t="shared" si="82"/>
        <v/>
      </c>
      <c r="V762">
        <f t="shared" si="87"/>
        <v>0</v>
      </c>
      <c r="W762" t="str">
        <f t="shared" si="83"/>
        <v/>
      </c>
      <c r="AB762" s="28" t="str">
        <f t="shared" si="84"/>
        <v xml:space="preserve"> </v>
      </c>
      <c r="AE762" s="61" t="str">
        <f t="shared" si="85"/>
        <v/>
      </c>
      <c r="AF762" s="77" t="str">
        <f>_xlfn.XLOOKUP(AD762,menu!$K$2:$K$9,menu!$J$2:$J$9,"",1)</f>
        <v/>
      </c>
      <c r="AG762" s="80" t="str">
        <f>_xlfn.XLOOKUP(AH762,menu!$O$2:$O$9,menu!$H$2:$H$9,"")</f>
        <v/>
      </c>
      <c r="AI762" t="str">
        <f>_xlfn.LET(_xlpm.x,_xlfn.CONCAT(_xlfn.XLOOKUP(D762,beans!$A$2:$A$300,beans!$J$2:$J$300,"")," / ",_xlfn.XLOOKUP(D762,beans!$A$2:$A$300,beans!$K$2:$K$300,"")," - ",_xlfn.XLOOKUP(D762,beans!$A$2:$A$300,beans!$L$2:$L$300,"")),IF(_xlpm.x=" /  - ","",_xlpm.x))</f>
        <v/>
      </c>
    </row>
    <row r="763" spans="1:35" x14ac:dyDescent="0.3">
      <c r="A763">
        <v>746</v>
      </c>
      <c r="E763" t="str">
        <f>_xlfn.LET(_xlpm.x,_xlfn.XLOOKUP(D763,beans!$A$2:$A$300,beans!$H$2:$H$300,""),IF(_xlpm.x="","",_xlpm.x))</f>
        <v/>
      </c>
      <c r="F763" s="22" t="str">
        <f>_xlfn.XLOOKUP(E763,menu!$A$2:$A$37,menu!$B$2:$B$37,"")</f>
        <v/>
      </c>
      <c r="G763" t="str">
        <f>_xlfn.XLOOKUP(E763,menu!$A$2:$A$37,menu!$C$2:$C$37,"")</f>
        <v/>
      </c>
      <c r="H763" t="str">
        <f>_xlfn.LET(_xlpm.x,_xlfn.XLOOKUP(_xlfn.XLOOKUP(D763,beans!$A$2:$A$300,beans!$I$2:$I$300),menu!$E$2:$E$20,menu!$F$2:$F$20),IF(_xlpm.x="","",_xlpm.x))</f>
        <v/>
      </c>
      <c r="T763" s="68" t="str">
        <f t="shared" si="86"/>
        <v/>
      </c>
      <c r="U763" t="str">
        <f t="shared" si="82"/>
        <v/>
      </c>
      <c r="V763">
        <f t="shared" si="87"/>
        <v>0</v>
      </c>
      <c r="W763" t="str">
        <f t="shared" si="83"/>
        <v/>
      </c>
      <c r="AB763" s="28" t="str">
        <f t="shared" si="84"/>
        <v xml:space="preserve"> </v>
      </c>
      <c r="AE763" s="61" t="str">
        <f t="shared" si="85"/>
        <v/>
      </c>
      <c r="AF763" s="77" t="str">
        <f>_xlfn.XLOOKUP(AD763,menu!$K$2:$K$9,menu!$J$2:$J$9,"",1)</f>
        <v/>
      </c>
      <c r="AG763" s="80" t="str">
        <f>_xlfn.XLOOKUP(AH763,menu!$O$2:$O$9,menu!$H$2:$H$9,"")</f>
        <v/>
      </c>
      <c r="AI763" t="str">
        <f>_xlfn.LET(_xlpm.x,_xlfn.CONCAT(_xlfn.XLOOKUP(D763,beans!$A$2:$A$300,beans!$J$2:$J$300,"")," / ",_xlfn.XLOOKUP(D763,beans!$A$2:$A$300,beans!$K$2:$K$300,"")," - ",_xlfn.XLOOKUP(D763,beans!$A$2:$A$300,beans!$L$2:$L$300,"")),IF(_xlpm.x=" /  - ","",_xlpm.x))</f>
        <v/>
      </c>
    </row>
    <row r="764" spans="1:35" x14ac:dyDescent="0.3">
      <c r="A764">
        <v>747</v>
      </c>
      <c r="E764" t="str">
        <f>_xlfn.LET(_xlpm.x,_xlfn.XLOOKUP(D764,beans!$A$2:$A$300,beans!$H$2:$H$300,""),IF(_xlpm.x="","",_xlpm.x))</f>
        <v/>
      </c>
      <c r="F764" s="22" t="str">
        <f>_xlfn.XLOOKUP(E764,menu!$A$2:$A$37,menu!$B$2:$B$37,"")</f>
        <v/>
      </c>
      <c r="G764" t="str">
        <f>_xlfn.XLOOKUP(E764,menu!$A$2:$A$37,menu!$C$2:$C$37,"")</f>
        <v/>
      </c>
      <c r="H764" t="str">
        <f>_xlfn.LET(_xlpm.x,_xlfn.XLOOKUP(_xlfn.XLOOKUP(D764,beans!$A$2:$A$300,beans!$I$2:$I$300),menu!$E$2:$E$20,menu!$F$2:$F$20),IF(_xlpm.x="","",_xlpm.x))</f>
        <v/>
      </c>
      <c r="T764" s="68" t="str">
        <f t="shared" si="86"/>
        <v/>
      </c>
      <c r="U764" t="str">
        <f t="shared" si="82"/>
        <v/>
      </c>
      <c r="V764">
        <f t="shared" si="87"/>
        <v>0</v>
      </c>
      <c r="W764" t="str">
        <f t="shared" si="83"/>
        <v/>
      </c>
      <c r="AB764" s="28" t="str">
        <f t="shared" si="84"/>
        <v xml:space="preserve"> </v>
      </c>
      <c r="AE764" s="61" t="str">
        <f t="shared" si="85"/>
        <v/>
      </c>
      <c r="AF764" s="77" t="str">
        <f>_xlfn.XLOOKUP(AD764,menu!$K$2:$K$9,menu!$J$2:$J$9,"",1)</f>
        <v/>
      </c>
      <c r="AG764" s="80" t="str">
        <f>_xlfn.XLOOKUP(AH764,menu!$O$2:$O$9,menu!$H$2:$H$9,"")</f>
        <v/>
      </c>
      <c r="AI764" t="str">
        <f>_xlfn.LET(_xlpm.x,_xlfn.CONCAT(_xlfn.XLOOKUP(D764,beans!$A$2:$A$300,beans!$J$2:$J$300,"")," / ",_xlfn.XLOOKUP(D764,beans!$A$2:$A$300,beans!$K$2:$K$300,"")," - ",_xlfn.XLOOKUP(D764,beans!$A$2:$A$300,beans!$L$2:$L$300,"")),IF(_xlpm.x=" /  - ","",_xlpm.x))</f>
        <v/>
      </c>
    </row>
    <row r="765" spans="1:35" x14ac:dyDescent="0.3">
      <c r="A765">
        <v>748</v>
      </c>
      <c r="E765" t="str">
        <f>_xlfn.LET(_xlpm.x,_xlfn.XLOOKUP(D765,beans!$A$2:$A$300,beans!$H$2:$H$300,""),IF(_xlpm.x="","",_xlpm.x))</f>
        <v/>
      </c>
      <c r="F765" s="22" t="str">
        <f>_xlfn.XLOOKUP(E765,menu!$A$2:$A$37,menu!$B$2:$B$37,"")</f>
        <v/>
      </c>
      <c r="G765" t="str">
        <f>_xlfn.XLOOKUP(E765,menu!$A$2:$A$37,menu!$C$2:$C$37,"")</f>
        <v/>
      </c>
      <c r="H765" t="str">
        <f>_xlfn.LET(_xlpm.x,_xlfn.XLOOKUP(_xlfn.XLOOKUP(D765,beans!$A$2:$A$300,beans!$I$2:$I$300),menu!$E$2:$E$20,menu!$F$2:$F$20),IF(_xlpm.x="","",_xlpm.x))</f>
        <v/>
      </c>
      <c r="T765" s="68" t="str">
        <f t="shared" si="86"/>
        <v/>
      </c>
      <c r="U765" t="str">
        <f t="shared" si="82"/>
        <v/>
      </c>
      <c r="V765">
        <f t="shared" si="87"/>
        <v>0</v>
      </c>
      <c r="W765" t="str">
        <f t="shared" si="83"/>
        <v/>
      </c>
      <c r="AB765" s="28" t="str">
        <f t="shared" si="84"/>
        <v xml:space="preserve"> </v>
      </c>
      <c r="AE765" s="61" t="str">
        <f t="shared" si="85"/>
        <v/>
      </c>
      <c r="AF765" s="77" t="str">
        <f>_xlfn.XLOOKUP(AD765,menu!$K$2:$K$9,menu!$J$2:$J$9,"",1)</f>
        <v/>
      </c>
      <c r="AG765" s="80" t="str">
        <f>_xlfn.XLOOKUP(AH765,menu!$O$2:$O$9,menu!$H$2:$H$9,"")</f>
        <v/>
      </c>
      <c r="AI765" t="str">
        <f>_xlfn.LET(_xlpm.x,_xlfn.CONCAT(_xlfn.XLOOKUP(D765,beans!$A$2:$A$300,beans!$J$2:$J$300,"")," / ",_xlfn.XLOOKUP(D765,beans!$A$2:$A$300,beans!$K$2:$K$300,"")," - ",_xlfn.XLOOKUP(D765,beans!$A$2:$A$300,beans!$L$2:$L$300,"")),IF(_xlpm.x=" /  - ","",_xlpm.x))</f>
        <v/>
      </c>
    </row>
    <row r="766" spans="1:35" x14ac:dyDescent="0.3">
      <c r="A766">
        <v>749</v>
      </c>
      <c r="E766" t="str">
        <f>_xlfn.LET(_xlpm.x,_xlfn.XLOOKUP(D766,beans!$A$2:$A$300,beans!$H$2:$H$300,""),IF(_xlpm.x="","",_xlpm.x))</f>
        <v/>
      </c>
      <c r="F766" s="22" t="str">
        <f>_xlfn.XLOOKUP(E766,menu!$A$2:$A$37,menu!$B$2:$B$37,"")</f>
        <v/>
      </c>
      <c r="G766" t="str">
        <f>_xlfn.XLOOKUP(E766,menu!$A$2:$A$37,menu!$C$2:$C$37,"")</f>
        <v/>
      </c>
      <c r="H766" t="str">
        <f>_xlfn.LET(_xlpm.x,_xlfn.XLOOKUP(_xlfn.XLOOKUP(D766,beans!$A$2:$A$300,beans!$I$2:$I$300),menu!$E$2:$E$20,menu!$F$2:$F$20),IF(_xlpm.x="","",_xlpm.x))</f>
        <v/>
      </c>
      <c r="T766" s="68" t="str">
        <f t="shared" si="86"/>
        <v/>
      </c>
      <c r="U766" t="str">
        <f t="shared" si="82"/>
        <v/>
      </c>
      <c r="V766">
        <f t="shared" si="87"/>
        <v>0</v>
      </c>
      <c r="W766" t="str">
        <f t="shared" si="83"/>
        <v/>
      </c>
      <c r="AB766" s="28" t="str">
        <f t="shared" si="84"/>
        <v xml:space="preserve"> </v>
      </c>
      <c r="AE766" s="61" t="str">
        <f t="shared" si="85"/>
        <v/>
      </c>
      <c r="AF766" s="77" t="str">
        <f>_xlfn.XLOOKUP(AD766,menu!$K$2:$K$9,menu!$J$2:$J$9,"",1)</f>
        <v/>
      </c>
      <c r="AG766" s="80" t="str">
        <f>_xlfn.XLOOKUP(AH766,menu!$O$2:$O$9,menu!$H$2:$H$9,"")</f>
        <v/>
      </c>
      <c r="AI766" t="str">
        <f>_xlfn.LET(_xlpm.x,_xlfn.CONCAT(_xlfn.XLOOKUP(D766,beans!$A$2:$A$300,beans!$J$2:$J$300,"")," / ",_xlfn.XLOOKUP(D766,beans!$A$2:$A$300,beans!$K$2:$K$300,"")," - ",_xlfn.XLOOKUP(D766,beans!$A$2:$A$300,beans!$L$2:$L$300,"")),IF(_xlpm.x=" /  - ","",_xlpm.x))</f>
        <v/>
      </c>
    </row>
    <row r="767" spans="1:35" x14ac:dyDescent="0.3">
      <c r="A767">
        <v>750</v>
      </c>
      <c r="E767" t="str">
        <f>_xlfn.LET(_xlpm.x,_xlfn.XLOOKUP(D767,beans!$A$2:$A$300,beans!$H$2:$H$300,""),IF(_xlpm.x="","",_xlpm.x))</f>
        <v/>
      </c>
      <c r="F767" s="22" t="str">
        <f>_xlfn.XLOOKUP(E767,menu!$A$2:$A$37,menu!$B$2:$B$37,"")</f>
        <v/>
      </c>
      <c r="G767" t="str">
        <f>_xlfn.XLOOKUP(E767,menu!$A$2:$A$37,menu!$C$2:$C$37,"")</f>
        <v/>
      </c>
      <c r="H767" t="str">
        <f>_xlfn.LET(_xlpm.x,_xlfn.XLOOKUP(_xlfn.XLOOKUP(D767,beans!$A$2:$A$300,beans!$I$2:$I$300),menu!$E$2:$E$20,menu!$F$2:$F$20),IF(_xlpm.x="","",_xlpm.x))</f>
        <v/>
      </c>
      <c r="T767" s="68" t="str">
        <f t="shared" si="86"/>
        <v/>
      </c>
      <c r="U767" t="str">
        <f t="shared" si="82"/>
        <v/>
      </c>
      <c r="V767">
        <f t="shared" si="87"/>
        <v>0</v>
      </c>
      <c r="W767" t="str">
        <f t="shared" si="83"/>
        <v/>
      </c>
      <c r="AB767" s="28" t="str">
        <f t="shared" si="84"/>
        <v xml:space="preserve"> </v>
      </c>
      <c r="AE767" s="61" t="str">
        <f t="shared" si="85"/>
        <v/>
      </c>
      <c r="AF767" s="77" t="str">
        <f>_xlfn.XLOOKUP(AD767,menu!$K$2:$K$9,menu!$J$2:$J$9,"",1)</f>
        <v/>
      </c>
      <c r="AG767" s="80" t="str">
        <f>_xlfn.XLOOKUP(AH767,menu!$O$2:$O$9,menu!$H$2:$H$9,"")</f>
        <v/>
      </c>
      <c r="AI767" t="str">
        <f>_xlfn.LET(_xlpm.x,_xlfn.CONCAT(_xlfn.XLOOKUP(D767,beans!$A$2:$A$300,beans!$J$2:$J$300,"")," / ",_xlfn.XLOOKUP(D767,beans!$A$2:$A$300,beans!$K$2:$K$300,"")," - ",_xlfn.XLOOKUP(D767,beans!$A$2:$A$300,beans!$L$2:$L$300,"")),IF(_xlpm.x=" /  - ","",_xlpm.x))</f>
        <v/>
      </c>
    </row>
    <row r="768" spans="1:35" x14ac:dyDescent="0.3">
      <c r="A768">
        <v>751</v>
      </c>
      <c r="E768" t="str">
        <f>_xlfn.LET(_xlpm.x,_xlfn.XLOOKUP(D768,beans!$A$2:$A$300,beans!$H$2:$H$300,""),IF(_xlpm.x="","",_xlpm.x))</f>
        <v/>
      </c>
      <c r="F768" s="22" t="str">
        <f>_xlfn.XLOOKUP(E768,menu!$A$2:$A$37,menu!$B$2:$B$37,"")</f>
        <v/>
      </c>
      <c r="G768" t="str">
        <f>_xlfn.XLOOKUP(E768,menu!$A$2:$A$37,menu!$C$2:$C$37,"")</f>
        <v/>
      </c>
      <c r="H768" t="str">
        <f>_xlfn.LET(_xlpm.x,_xlfn.XLOOKUP(_xlfn.XLOOKUP(D768,beans!$A$2:$A$300,beans!$I$2:$I$300),menu!$E$2:$E$20,menu!$F$2:$F$20),IF(_xlpm.x="","",_xlpm.x))</f>
        <v/>
      </c>
      <c r="T768" s="68" t="str">
        <f t="shared" si="86"/>
        <v/>
      </c>
      <c r="U768" t="str">
        <f t="shared" si="82"/>
        <v/>
      </c>
      <c r="V768">
        <f t="shared" si="87"/>
        <v>0</v>
      </c>
      <c r="W768" t="str">
        <f t="shared" si="83"/>
        <v/>
      </c>
      <c r="AB768" s="28" t="str">
        <f t="shared" si="84"/>
        <v xml:space="preserve"> </v>
      </c>
      <c r="AE768" s="61" t="str">
        <f t="shared" si="85"/>
        <v/>
      </c>
      <c r="AF768" s="77" t="str">
        <f>_xlfn.XLOOKUP(AD768,menu!$K$2:$K$9,menu!$J$2:$J$9,"",1)</f>
        <v/>
      </c>
      <c r="AG768" s="80" t="str">
        <f>_xlfn.XLOOKUP(AH768,menu!$O$2:$O$9,menu!$H$2:$H$9,"")</f>
        <v/>
      </c>
      <c r="AI768" t="str">
        <f>_xlfn.LET(_xlpm.x,_xlfn.CONCAT(_xlfn.XLOOKUP(D768,beans!$A$2:$A$300,beans!$J$2:$J$300,"")," / ",_xlfn.XLOOKUP(D768,beans!$A$2:$A$300,beans!$K$2:$K$300,"")," - ",_xlfn.XLOOKUP(D768,beans!$A$2:$A$300,beans!$L$2:$L$300,"")),IF(_xlpm.x=" /  - ","",_xlpm.x))</f>
        <v/>
      </c>
    </row>
    <row r="769" spans="1:35" x14ac:dyDescent="0.3">
      <c r="A769">
        <v>752</v>
      </c>
      <c r="E769" t="str">
        <f>_xlfn.LET(_xlpm.x,_xlfn.XLOOKUP(D769,beans!$A$2:$A$300,beans!$H$2:$H$300,""),IF(_xlpm.x="","",_xlpm.x))</f>
        <v/>
      </c>
      <c r="F769" s="22" t="str">
        <f>_xlfn.XLOOKUP(E769,menu!$A$2:$A$37,menu!$B$2:$B$37,"")</f>
        <v/>
      </c>
      <c r="G769" t="str">
        <f>_xlfn.XLOOKUP(E769,menu!$A$2:$A$37,menu!$C$2:$C$37,"")</f>
        <v/>
      </c>
      <c r="H769" t="str">
        <f>_xlfn.LET(_xlpm.x,_xlfn.XLOOKUP(_xlfn.XLOOKUP(D769,beans!$A$2:$A$300,beans!$I$2:$I$300),menu!$E$2:$E$20,menu!$F$2:$F$20),IF(_xlpm.x="","",_xlpm.x))</f>
        <v/>
      </c>
      <c r="T769" s="68" t="str">
        <f t="shared" si="86"/>
        <v/>
      </c>
      <c r="U769" t="str">
        <f t="shared" si="82"/>
        <v/>
      </c>
      <c r="V769">
        <f t="shared" si="87"/>
        <v>0</v>
      </c>
      <c r="W769" t="str">
        <f t="shared" si="83"/>
        <v/>
      </c>
      <c r="AB769" s="28" t="str">
        <f t="shared" si="84"/>
        <v xml:space="preserve"> </v>
      </c>
      <c r="AE769" s="61" t="str">
        <f t="shared" si="85"/>
        <v/>
      </c>
      <c r="AF769" s="77" t="str">
        <f>_xlfn.XLOOKUP(AD769,menu!$K$2:$K$9,menu!$J$2:$J$9,"",1)</f>
        <v/>
      </c>
      <c r="AG769" s="80" t="str">
        <f>_xlfn.XLOOKUP(AH769,menu!$O$2:$O$9,menu!$H$2:$H$9,"")</f>
        <v/>
      </c>
      <c r="AI769" t="str">
        <f>_xlfn.LET(_xlpm.x,_xlfn.CONCAT(_xlfn.XLOOKUP(D769,beans!$A$2:$A$300,beans!$J$2:$J$300,"")," / ",_xlfn.XLOOKUP(D769,beans!$A$2:$A$300,beans!$K$2:$K$300,"")," - ",_xlfn.XLOOKUP(D769,beans!$A$2:$A$300,beans!$L$2:$L$300,"")),IF(_xlpm.x=" /  - ","",_xlpm.x))</f>
        <v/>
      </c>
    </row>
    <row r="770" spans="1:35" x14ac:dyDescent="0.3">
      <c r="A770">
        <v>753</v>
      </c>
      <c r="E770" t="str">
        <f>_xlfn.LET(_xlpm.x,_xlfn.XLOOKUP(D770,beans!$A$2:$A$300,beans!$H$2:$H$300,""),IF(_xlpm.x="","",_xlpm.x))</f>
        <v/>
      </c>
      <c r="F770" s="22" t="str">
        <f>_xlfn.XLOOKUP(E770,menu!$A$2:$A$37,menu!$B$2:$B$37,"")</f>
        <v/>
      </c>
      <c r="G770" t="str">
        <f>_xlfn.XLOOKUP(E770,menu!$A$2:$A$37,menu!$C$2:$C$37,"")</f>
        <v/>
      </c>
      <c r="H770" t="str">
        <f>_xlfn.LET(_xlpm.x,_xlfn.XLOOKUP(_xlfn.XLOOKUP(D770,beans!$A$2:$A$300,beans!$I$2:$I$300),menu!$E$2:$E$20,menu!$F$2:$F$20),IF(_xlpm.x="","",_xlpm.x))</f>
        <v/>
      </c>
      <c r="T770" s="68" t="str">
        <f t="shared" si="86"/>
        <v/>
      </c>
      <c r="U770" t="str">
        <f t="shared" ref="U770:U833" si="88">_xlfn.LET(_xlpm.x,(TIMEVALUE("0:"&amp;SUBSTITUTE(R770,"'",":"))-TIMEVALUE("0:"&amp;SUBSTITUTE(P770,"'",":")))*86400,IF(_xlpm.x=0,"",ROUND(_xlpm.x,2)))</f>
        <v/>
      </c>
      <c r="V770">
        <f t="shared" si="87"/>
        <v>0</v>
      </c>
      <c r="W770" t="str">
        <f t="shared" ref="W770:W833" si="89">_xlfn.LET(_xlpm.x,(TIMEVALUE("0:"&amp;SUBSTITUTE(R770,"'",":"))-TIMEVALUE("0:"&amp;SUBSTITUTE(P770,"'",":")))*86400,IF(_xlpm.x=0,"",ROUND(_xlpm.x/((TIMEVALUE("0:"&amp;SUBSTITUTE(R770,"'",":"))-TIMEVALUE("0:0:0"))*864),2)))</f>
        <v/>
      </c>
      <c r="AB770" s="28" t="str">
        <f t="shared" ref="AB770:AB833" si="90">IF(Y770 &gt; 0,(B770-Y770)/B770," ")</f>
        <v xml:space="preserve"> </v>
      </c>
      <c r="AE770" s="61" t="str">
        <f t="shared" ref="AE770:AE833" si="91">_xlfn.LET(_xlpm.x,AD770-AC770,IF(_xlpm.x=0,"",_xlpm.x))</f>
        <v/>
      </c>
      <c r="AF770" s="77" t="str">
        <f>_xlfn.XLOOKUP(AD770,menu!$K$2:$K$9,menu!$J$2:$J$9,"",1)</f>
        <v/>
      </c>
      <c r="AG770" s="80" t="str">
        <f>_xlfn.XLOOKUP(AH770,menu!$O$2:$O$9,menu!$H$2:$H$9,"")</f>
        <v/>
      </c>
      <c r="AI770" t="str">
        <f>_xlfn.LET(_xlpm.x,_xlfn.CONCAT(_xlfn.XLOOKUP(D770,beans!$A$2:$A$300,beans!$J$2:$J$300,"")," / ",_xlfn.XLOOKUP(D770,beans!$A$2:$A$300,beans!$K$2:$K$300,"")," - ",_xlfn.XLOOKUP(D770,beans!$A$2:$A$300,beans!$L$2:$L$300,"")),IF(_xlpm.x=" /  - ","",_xlpm.x))</f>
        <v/>
      </c>
    </row>
    <row r="771" spans="1:35" x14ac:dyDescent="0.3">
      <c r="A771">
        <v>754</v>
      </c>
      <c r="E771" t="str">
        <f>_xlfn.LET(_xlpm.x,_xlfn.XLOOKUP(D771,beans!$A$2:$A$300,beans!$H$2:$H$300,""),IF(_xlpm.x="","",_xlpm.x))</f>
        <v/>
      </c>
      <c r="F771" s="22" t="str">
        <f>_xlfn.XLOOKUP(E771,menu!$A$2:$A$37,menu!$B$2:$B$37,"")</f>
        <v/>
      </c>
      <c r="G771" t="str">
        <f>_xlfn.XLOOKUP(E771,menu!$A$2:$A$37,menu!$C$2:$C$37,"")</f>
        <v/>
      </c>
      <c r="H771" t="str">
        <f>_xlfn.LET(_xlpm.x,_xlfn.XLOOKUP(_xlfn.XLOOKUP(D771,beans!$A$2:$A$300,beans!$I$2:$I$300),menu!$E$2:$E$20,menu!$F$2:$F$20),IF(_xlpm.x="","",_xlpm.x))</f>
        <v/>
      </c>
      <c r="T771" s="68" t="str">
        <f t="shared" ref="T771:T834" si="92">_xlfn.LET(_xlpm.x,S771-Q771,IF(_xlpm.x=0,"",_xlpm.x))</f>
        <v/>
      </c>
      <c r="U771" t="str">
        <f t="shared" si="88"/>
        <v/>
      </c>
      <c r="V771">
        <f t="shared" ref="V771:V834" si="93">IFERROR(ROUND(T771*60/U771,1), )</f>
        <v>0</v>
      </c>
      <c r="W771" t="str">
        <f t="shared" si="89"/>
        <v/>
      </c>
      <c r="AB771" s="28" t="str">
        <f t="shared" si="90"/>
        <v xml:space="preserve"> </v>
      </c>
      <c r="AE771" s="61" t="str">
        <f t="shared" si="91"/>
        <v/>
      </c>
      <c r="AF771" s="77" t="str">
        <f>_xlfn.XLOOKUP(AD771,menu!$K$2:$K$9,menu!$J$2:$J$9,"",1)</f>
        <v/>
      </c>
      <c r="AG771" s="80" t="str">
        <f>_xlfn.XLOOKUP(AH771,menu!$O$2:$O$9,menu!$H$2:$H$9,"")</f>
        <v/>
      </c>
      <c r="AI771" t="str">
        <f>_xlfn.LET(_xlpm.x,_xlfn.CONCAT(_xlfn.XLOOKUP(D771,beans!$A$2:$A$300,beans!$J$2:$J$300,"")," / ",_xlfn.XLOOKUP(D771,beans!$A$2:$A$300,beans!$K$2:$K$300,"")," - ",_xlfn.XLOOKUP(D771,beans!$A$2:$A$300,beans!$L$2:$L$300,"")),IF(_xlpm.x=" /  - ","",_xlpm.x))</f>
        <v/>
      </c>
    </row>
    <row r="772" spans="1:35" x14ac:dyDescent="0.3">
      <c r="A772">
        <v>755</v>
      </c>
      <c r="E772" t="str">
        <f>_xlfn.LET(_xlpm.x,_xlfn.XLOOKUP(D772,beans!$A$2:$A$300,beans!$H$2:$H$300,""),IF(_xlpm.x="","",_xlpm.x))</f>
        <v/>
      </c>
      <c r="F772" s="22" t="str">
        <f>_xlfn.XLOOKUP(E772,menu!$A$2:$A$37,menu!$B$2:$B$37,"")</f>
        <v/>
      </c>
      <c r="G772" t="str">
        <f>_xlfn.XLOOKUP(E772,menu!$A$2:$A$37,menu!$C$2:$C$37,"")</f>
        <v/>
      </c>
      <c r="H772" t="str">
        <f>_xlfn.LET(_xlpm.x,_xlfn.XLOOKUP(_xlfn.XLOOKUP(D772,beans!$A$2:$A$300,beans!$I$2:$I$300),menu!$E$2:$E$20,menu!$F$2:$F$20),IF(_xlpm.x="","",_xlpm.x))</f>
        <v/>
      </c>
      <c r="T772" s="68" t="str">
        <f t="shared" si="92"/>
        <v/>
      </c>
      <c r="U772" t="str">
        <f t="shared" si="88"/>
        <v/>
      </c>
      <c r="V772">
        <f t="shared" si="93"/>
        <v>0</v>
      </c>
      <c r="W772" t="str">
        <f t="shared" si="89"/>
        <v/>
      </c>
      <c r="AB772" s="28" t="str">
        <f t="shared" si="90"/>
        <v xml:space="preserve"> </v>
      </c>
      <c r="AE772" s="61" t="str">
        <f t="shared" si="91"/>
        <v/>
      </c>
      <c r="AF772" s="77" t="str">
        <f>_xlfn.XLOOKUP(AD772,menu!$K$2:$K$9,menu!$J$2:$J$9,"",1)</f>
        <v/>
      </c>
      <c r="AG772" s="80" t="str">
        <f>_xlfn.XLOOKUP(AH772,menu!$O$2:$O$9,menu!$H$2:$H$9,"")</f>
        <v/>
      </c>
      <c r="AI772" t="str">
        <f>_xlfn.LET(_xlpm.x,_xlfn.CONCAT(_xlfn.XLOOKUP(D772,beans!$A$2:$A$300,beans!$J$2:$J$300,"")," / ",_xlfn.XLOOKUP(D772,beans!$A$2:$A$300,beans!$K$2:$K$300,"")," - ",_xlfn.XLOOKUP(D772,beans!$A$2:$A$300,beans!$L$2:$L$300,"")),IF(_xlpm.x=" /  - ","",_xlpm.x))</f>
        <v/>
      </c>
    </row>
    <row r="773" spans="1:35" x14ac:dyDescent="0.3">
      <c r="A773">
        <v>756</v>
      </c>
      <c r="E773" t="str">
        <f>_xlfn.LET(_xlpm.x,_xlfn.XLOOKUP(D773,beans!$A$2:$A$300,beans!$H$2:$H$300,""),IF(_xlpm.x="","",_xlpm.x))</f>
        <v/>
      </c>
      <c r="F773" s="22" t="str">
        <f>_xlfn.XLOOKUP(E773,menu!$A$2:$A$37,menu!$B$2:$B$37,"")</f>
        <v/>
      </c>
      <c r="G773" t="str">
        <f>_xlfn.XLOOKUP(E773,menu!$A$2:$A$37,menu!$C$2:$C$37,"")</f>
        <v/>
      </c>
      <c r="H773" t="str">
        <f>_xlfn.LET(_xlpm.x,_xlfn.XLOOKUP(_xlfn.XLOOKUP(D773,beans!$A$2:$A$300,beans!$I$2:$I$300),menu!$E$2:$E$20,menu!$F$2:$F$20),IF(_xlpm.x="","",_xlpm.x))</f>
        <v/>
      </c>
      <c r="T773" s="68" t="str">
        <f t="shared" si="92"/>
        <v/>
      </c>
      <c r="U773" t="str">
        <f t="shared" si="88"/>
        <v/>
      </c>
      <c r="V773">
        <f t="shared" si="93"/>
        <v>0</v>
      </c>
      <c r="W773" t="str">
        <f t="shared" si="89"/>
        <v/>
      </c>
      <c r="AB773" s="28" t="str">
        <f t="shared" si="90"/>
        <v xml:space="preserve"> </v>
      </c>
      <c r="AE773" s="61" t="str">
        <f t="shared" si="91"/>
        <v/>
      </c>
      <c r="AF773" s="77" t="str">
        <f>_xlfn.XLOOKUP(AD773,menu!$K$2:$K$9,menu!$J$2:$J$9,"",1)</f>
        <v/>
      </c>
      <c r="AG773" s="80" t="str">
        <f>_xlfn.XLOOKUP(AH773,menu!$O$2:$O$9,menu!$H$2:$H$9,"")</f>
        <v/>
      </c>
      <c r="AI773" t="str">
        <f>_xlfn.LET(_xlpm.x,_xlfn.CONCAT(_xlfn.XLOOKUP(D773,beans!$A$2:$A$300,beans!$J$2:$J$300,"")," / ",_xlfn.XLOOKUP(D773,beans!$A$2:$A$300,beans!$K$2:$K$300,"")," - ",_xlfn.XLOOKUP(D773,beans!$A$2:$A$300,beans!$L$2:$L$300,"")),IF(_xlpm.x=" /  - ","",_xlpm.x))</f>
        <v/>
      </c>
    </row>
    <row r="774" spans="1:35" x14ac:dyDescent="0.3">
      <c r="A774">
        <v>757</v>
      </c>
      <c r="E774" t="str">
        <f>_xlfn.LET(_xlpm.x,_xlfn.XLOOKUP(D774,beans!$A$2:$A$300,beans!$H$2:$H$300,""),IF(_xlpm.x="","",_xlpm.x))</f>
        <v/>
      </c>
      <c r="F774" s="22" t="str">
        <f>_xlfn.XLOOKUP(E774,menu!$A$2:$A$37,menu!$B$2:$B$37,"")</f>
        <v/>
      </c>
      <c r="G774" t="str">
        <f>_xlfn.XLOOKUP(E774,menu!$A$2:$A$37,menu!$C$2:$C$37,"")</f>
        <v/>
      </c>
      <c r="H774" t="str">
        <f>_xlfn.LET(_xlpm.x,_xlfn.XLOOKUP(_xlfn.XLOOKUP(D774,beans!$A$2:$A$300,beans!$I$2:$I$300),menu!$E$2:$E$20,menu!$F$2:$F$20),IF(_xlpm.x="","",_xlpm.x))</f>
        <v/>
      </c>
      <c r="T774" s="68" t="str">
        <f t="shared" si="92"/>
        <v/>
      </c>
      <c r="U774" t="str">
        <f t="shared" si="88"/>
        <v/>
      </c>
      <c r="V774">
        <f t="shared" si="93"/>
        <v>0</v>
      </c>
      <c r="W774" t="str">
        <f t="shared" si="89"/>
        <v/>
      </c>
      <c r="AB774" s="28" t="str">
        <f t="shared" si="90"/>
        <v xml:space="preserve"> </v>
      </c>
      <c r="AE774" s="61" t="str">
        <f t="shared" si="91"/>
        <v/>
      </c>
      <c r="AF774" s="77" t="str">
        <f>_xlfn.XLOOKUP(AD774,menu!$K$2:$K$9,menu!$J$2:$J$9,"",1)</f>
        <v/>
      </c>
      <c r="AG774" s="80" t="str">
        <f>_xlfn.XLOOKUP(AH774,menu!$O$2:$O$9,menu!$H$2:$H$9,"")</f>
        <v/>
      </c>
      <c r="AI774" t="str">
        <f>_xlfn.LET(_xlpm.x,_xlfn.CONCAT(_xlfn.XLOOKUP(D774,beans!$A$2:$A$300,beans!$J$2:$J$300,"")," / ",_xlfn.XLOOKUP(D774,beans!$A$2:$A$300,beans!$K$2:$K$300,"")," - ",_xlfn.XLOOKUP(D774,beans!$A$2:$A$300,beans!$L$2:$L$300,"")),IF(_xlpm.x=" /  - ","",_xlpm.x))</f>
        <v/>
      </c>
    </row>
    <row r="775" spans="1:35" x14ac:dyDescent="0.3">
      <c r="A775">
        <v>758</v>
      </c>
      <c r="E775" t="str">
        <f>_xlfn.LET(_xlpm.x,_xlfn.XLOOKUP(D775,beans!$A$2:$A$300,beans!$H$2:$H$300,""),IF(_xlpm.x="","",_xlpm.x))</f>
        <v/>
      </c>
      <c r="F775" s="22" t="str">
        <f>_xlfn.XLOOKUP(E775,menu!$A$2:$A$37,menu!$B$2:$B$37,"")</f>
        <v/>
      </c>
      <c r="G775" t="str">
        <f>_xlfn.XLOOKUP(E775,menu!$A$2:$A$37,menu!$C$2:$C$37,"")</f>
        <v/>
      </c>
      <c r="H775" t="str">
        <f>_xlfn.LET(_xlpm.x,_xlfn.XLOOKUP(_xlfn.XLOOKUP(D775,beans!$A$2:$A$300,beans!$I$2:$I$300),menu!$E$2:$E$20,menu!$F$2:$F$20),IF(_xlpm.x="","",_xlpm.x))</f>
        <v/>
      </c>
      <c r="T775" s="68" t="str">
        <f t="shared" si="92"/>
        <v/>
      </c>
      <c r="U775" t="str">
        <f t="shared" si="88"/>
        <v/>
      </c>
      <c r="V775">
        <f t="shared" si="93"/>
        <v>0</v>
      </c>
      <c r="W775" t="str">
        <f t="shared" si="89"/>
        <v/>
      </c>
      <c r="AB775" s="28" t="str">
        <f t="shared" si="90"/>
        <v xml:space="preserve"> </v>
      </c>
      <c r="AE775" s="61" t="str">
        <f t="shared" si="91"/>
        <v/>
      </c>
      <c r="AF775" s="77" t="str">
        <f>_xlfn.XLOOKUP(AD775,menu!$K$2:$K$9,menu!$J$2:$J$9,"",1)</f>
        <v/>
      </c>
      <c r="AG775" s="80" t="str">
        <f>_xlfn.XLOOKUP(AH775,menu!$O$2:$O$9,menu!$H$2:$H$9,"")</f>
        <v/>
      </c>
      <c r="AI775" t="str">
        <f>_xlfn.LET(_xlpm.x,_xlfn.CONCAT(_xlfn.XLOOKUP(D775,beans!$A$2:$A$300,beans!$J$2:$J$300,"")," / ",_xlfn.XLOOKUP(D775,beans!$A$2:$A$300,beans!$K$2:$K$300,"")," - ",_xlfn.XLOOKUP(D775,beans!$A$2:$A$300,beans!$L$2:$L$300,"")),IF(_xlpm.x=" /  - ","",_xlpm.x))</f>
        <v/>
      </c>
    </row>
    <row r="776" spans="1:35" x14ac:dyDescent="0.3">
      <c r="A776">
        <v>759</v>
      </c>
      <c r="E776" t="str">
        <f>_xlfn.LET(_xlpm.x,_xlfn.XLOOKUP(D776,beans!$A$2:$A$300,beans!$H$2:$H$300,""),IF(_xlpm.x="","",_xlpm.x))</f>
        <v/>
      </c>
      <c r="F776" s="22" t="str">
        <f>_xlfn.XLOOKUP(E776,menu!$A$2:$A$37,menu!$B$2:$B$37,"")</f>
        <v/>
      </c>
      <c r="G776" t="str">
        <f>_xlfn.XLOOKUP(E776,menu!$A$2:$A$37,menu!$C$2:$C$37,"")</f>
        <v/>
      </c>
      <c r="H776" t="str">
        <f>_xlfn.LET(_xlpm.x,_xlfn.XLOOKUP(_xlfn.XLOOKUP(D776,beans!$A$2:$A$300,beans!$I$2:$I$300),menu!$E$2:$E$20,menu!$F$2:$F$20),IF(_xlpm.x="","",_xlpm.x))</f>
        <v/>
      </c>
      <c r="T776" s="68" t="str">
        <f t="shared" si="92"/>
        <v/>
      </c>
      <c r="U776" t="str">
        <f t="shared" si="88"/>
        <v/>
      </c>
      <c r="V776">
        <f t="shared" si="93"/>
        <v>0</v>
      </c>
      <c r="W776" t="str">
        <f t="shared" si="89"/>
        <v/>
      </c>
      <c r="AB776" s="28" t="str">
        <f t="shared" si="90"/>
        <v xml:space="preserve"> </v>
      </c>
      <c r="AE776" s="61" t="str">
        <f t="shared" si="91"/>
        <v/>
      </c>
      <c r="AF776" s="77" t="str">
        <f>_xlfn.XLOOKUP(AD776,menu!$K$2:$K$9,menu!$J$2:$J$9,"",1)</f>
        <v/>
      </c>
      <c r="AG776" s="80" t="str">
        <f>_xlfn.XLOOKUP(AH776,menu!$O$2:$O$9,menu!$H$2:$H$9,"")</f>
        <v/>
      </c>
      <c r="AI776" t="str">
        <f>_xlfn.LET(_xlpm.x,_xlfn.CONCAT(_xlfn.XLOOKUP(D776,beans!$A$2:$A$300,beans!$J$2:$J$300,"")," / ",_xlfn.XLOOKUP(D776,beans!$A$2:$A$300,beans!$K$2:$K$300,"")," - ",_xlfn.XLOOKUP(D776,beans!$A$2:$A$300,beans!$L$2:$L$300,"")),IF(_xlpm.x=" /  - ","",_xlpm.x))</f>
        <v/>
      </c>
    </row>
    <row r="777" spans="1:35" x14ac:dyDescent="0.3">
      <c r="A777">
        <v>760</v>
      </c>
      <c r="E777" t="str">
        <f>_xlfn.LET(_xlpm.x,_xlfn.XLOOKUP(D777,beans!$A$2:$A$300,beans!$H$2:$H$300,""),IF(_xlpm.x="","",_xlpm.x))</f>
        <v/>
      </c>
      <c r="F777" s="22" t="str">
        <f>_xlfn.XLOOKUP(E777,menu!$A$2:$A$37,menu!$B$2:$B$37,"")</f>
        <v/>
      </c>
      <c r="G777" t="str">
        <f>_xlfn.XLOOKUP(E777,menu!$A$2:$A$37,menu!$C$2:$C$37,"")</f>
        <v/>
      </c>
      <c r="H777" t="str">
        <f>_xlfn.LET(_xlpm.x,_xlfn.XLOOKUP(_xlfn.XLOOKUP(D777,beans!$A$2:$A$300,beans!$I$2:$I$300),menu!$E$2:$E$20,menu!$F$2:$F$20),IF(_xlpm.x="","",_xlpm.x))</f>
        <v/>
      </c>
      <c r="T777" s="68" t="str">
        <f t="shared" si="92"/>
        <v/>
      </c>
      <c r="U777" t="str">
        <f t="shared" si="88"/>
        <v/>
      </c>
      <c r="V777">
        <f t="shared" si="93"/>
        <v>0</v>
      </c>
      <c r="W777" t="str">
        <f t="shared" si="89"/>
        <v/>
      </c>
      <c r="AB777" s="28" t="str">
        <f t="shared" si="90"/>
        <v xml:space="preserve"> </v>
      </c>
      <c r="AE777" s="61" t="str">
        <f t="shared" si="91"/>
        <v/>
      </c>
      <c r="AF777" s="77" t="str">
        <f>_xlfn.XLOOKUP(AD777,menu!$K$2:$K$9,menu!$J$2:$J$9,"",1)</f>
        <v/>
      </c>
      <c r="AG777" s="80" t="str">
        <f>_xlfn.XLOOKUP(AH777,menu!$O$2:$O$9,menu!$H$2:$H$9,"")</f>
        <v/>
      </c>
      <c r="AI777" t="str">
        <f>_xlfn.LET(_xlpm.x,_xlfn.CONCAT(_xlfn.XLOOKUP(D777,beans!$A$2:$A$300,beans!$J$2:$J$300,"")," / ",_xlfn.XLOOKUP(D777,beans!$A$2:$A$300,beans!$K$2:$K$300,"")," - ",_xlfn.XLOOKUP(D777,beans!$A$2:$A$300,beans!$L$2:$L$300,"")),IF(_xlpm.x=" /  - ","",_xlpm.x))</f>
        <v/>
      </c>
    </row>
    <row r="778" spans="1:35" x14ac:dyDescent="0.3">
      <c r="A778">
        <v>761</v>
      </c>
      <c r="E778" t="str">
        <f>_xlfn.LET(_xlpm.x,_xlfn.XLOOKUP(D778,beans!$A$2:$A$300,beans!$H$2:$H$300,""),IF(_xlpm.x="","",_xlpm.x))</f>
        <v/>
      </c>
      <c r="F778" s="22" t="str">
        <f>_xlfn.XLOOKUP(E778,menu!$A$2:$A$37,menu!$B$2:$B$37,"")</f>
        <v/>
      </c>
      <c r="G778" t="str">
        <f>_xlfn.XLOOKUP(E778,menu!$A$2:$A$37,menu!$C$2:$C$37,"")</f>
        <v/>
      </c>
      <c r="H778" t="str">
        <f>_xlfn.LET(_xlpm.x,_xlfn.XLOOKUP(_xlfn.XLOOKUP(D778,beans!$A$2:$A$300,beans!$I$2:$I$300),menu!$E$2:$E$20,menu!$F$2:$F$20),IF(_xlpm.x="","",_xlpm.x))</f>
        <v/>
      </c>
      <c r="T778" s="68" t="str">
        <f t="shared" si="92"/>
        <v/>
      </c>
      <c r="U778" t="str">
        <f t="shared" si="88"/>
        <v/>
      </c>
      <c r="V778">
        <f t="shared" si="93"/>
        <v>0</v>
      </c>
      <c r="W778" t="str">
        <f t="shared" si="89"/>
        <v/>
      </c>
      <c r="AB778" s="28" t="str">
        <f t="shared" si="90"/>
        <v xml:space="preserve"> </v>
      </c>
      <c r="AE778" s="61" t="str">
        <f t="shared" si="91"/>
        <v/>
      </c>
      <c r="AF778" s="77" t="str">
        <f>_xlfn.XLOOKUP(AD778,menu!$K$2:$K$9,menu!$J$2:$J$9,"",1)</f>
        <v/>
      </c>
      <c r="AG778" s="80" t="str">
        <f>_xlfn.XLOOKUP(AH778,menu!$O$2:$O$9,menu!$H$2:$H$9,"")</f>
        <v/>
      </c>
      <c r="AI778" t="str">
        <f>_xlfn.LET(_xlpm.x,_xlfn.CONCAT(_xlfn.XLOOKUP(D778,beans!$A$2:$A$300,beans!$J$2:$J$300,"")," / ",_xlfn.XLOOKUP(D778,beans!$A$2:$A$300,beans!$K$2:$K$300,"")," - ",_xlfn.XLOOKUP(D778,beans!$A$2:$A$300,beans!$L$2:$L$300,"")),IF(_xlpm.x=" /  - ","",_xlpm.x))</f>
        <v/>
      </c>
    </row>
    <row r="779" spans="1:35" x14ac:dyDescent="0.3">
      <c r="A779">
        <v>762</v>
      </c>
      <c r="E779" t="str">
        <f>_xlfn.LET(_xlpm.x,_xlfn.XLOOKUP(D779,beans!$A$2:$A$300,beans!$H$2:$H$300,""),IF(_xlpm.x="","",_xlpm.x))</f>
        <v/>
      </c>
      <c r="F779" s="22" t="str">
        <f>_xlfn.XLOOKUP(E779,menu!$A$2:$A$37,menu!$B$2:$B$37,"")</f>
        <v/>
      </c>
      <c r="G779" t="str">
        <f>_xlfn.XLOOKUP(E779,menu!$A$2:$A$37,menu!$C$2:$C$37,"")</f>
        <v/>
      </c>
      <c r="H779" t="str">
        <f>_xlfn.LET(_xlpm.x,_xlfn.XLOOKUP(_xlfn.XLOOKUP(D779,beans!$A$2:$A$300,beans!$I$2:$I$300),menu!$E$2:$E$20,menu!$F$2:$F$20),IF(_xlpm.x="","",_xlpm.x))</f>
        <v/>
      </c>
      <c r="T779" s="68" t="str">
        <f t="shared" si="92"/>
        <v/>
      </c>
      <c r="U779" t="str">
        <f t="shared" si="88"/>
        <v/>
      </c>
      <c r="V779">
        <f t="shared" si="93"/>
        <v>0</v>
      </c>
      <c r="W779" t="str">
        <f t="shared" si="89"/>
        <v/>
      </c>
      <c r="AB779" s="28" t="str">
        <f t="shared" si="90"/>
        <v xml:space="preserve"> </v>
      </c>
      <c r="AE779" s="61" t="str">
        <f t="shared" si="91"/>
        <v/>
      </c>
      <c r="AF779" s="77" t="str">
        <f>_xlfn.XLOOKUP(AD779,menu!$K$2:$K$9,menu!$J$2:$J$9,"",1)</f>
        <v/>
      </c>
      <c r="AG779" s="80" t="str">
        <f>_xlfn.XLOOKUP(AH779,menu!$O$2:$O$9,menu!$H$2:$H$9,"")</f>
        <v/>
      </c>
      <c r="AI779" t="str">
        <f>_xlfn.LET(_xlpm.x,_xlfn.CONCAT(_xlfn.XLOOKUP(D779,beans!$A$2:$A$300,beans!$J$2:$J$300,"")," / ",_xlfn.XLOOKUP(D779,beans!$A$2:$A$300,beans!$K$2:$K$300,"")," - ",_xlfn.XLOOKUP(D779,beans!$A$2:$A$300,beans!$L$2:$L$300,"")),IF(_xlpm.x=" /  - ","",_xlpm.x))</f>
        <v/>
      </c>
    </row>
    <row r="780" spans="1:35" x14ac:dyDescent="0.3">
      <c r="A780">
        <v>763</v>
      </c>
      <c r="E780" t="str">
        <f>_xlfn.LET(_xlpm.x,_xlfn.XLOOKUP(D780,beans!$A$2:$A$300,beans!$H$2:$H$300,""),IF(_xlpm.x="","",_xlpm.x))</f>
        <v/>
      </c>
      <c r="F780" s="22" t="str">
        <f>_xlfn.XLOOKUP(E780,menu!$A$2:$A$37,menu!$B$2:$B$37,"")</f>
        <v/>
      </c>
      <c r="G780" t="str">
        <f>_xlfn.XLOOKUP(E780,menu!$A$2:$A$37,menu!$C$2:$C$37,"")</f>
        <v/>
      </c>
      <c r="H780" t="str">
        <f>_xlfn.LET(_xlpm.x,_xlfn.XLOOKUP(_xlfn.XLOOKUP(D780,beans!$A$2:$A$300,beans!$I$2:$I$300),menu!$E$2:$E$20,menu!$F$2:$F$20),IF(_xlpm.x="","",_xlpm.x))</f>
        <v/>
      </c>
      <c r="T780" s="68" t="str">
        <f t="shared" si="92"/>
        <v/>
      </c>
      <c r="U780" t="str">
        <f t="shared" si="88"/>
        <v/>
      </c>
      <c r="V780">
        <f t="shared" si="93"/>
        <v>0</v>
      </c>
      <c r="W780" t="str">
        <f t="shared" si="89"/>
        <v/>
      </c>
      <c r="AB780" s="28" t="str">
        <f t="shared" si="90"/>
        <v xml:space="preserve"> </v>
      </c>
      <c r="AE780" s="61" t="str">
        <f t="shared" si="91"/>
        <v/>
      </c>
      <c r="AF780" s="77" t="str">
        <f>_xlfn.XLOOKUP(AD780,menu!$K$2:$K$9,menu!$J$2:$J$9,"",1)</f>
        <v/>
      </c>
      <c r="AG780" s="80" t="str">
        <f>_xlfn.XLOOKUP(AH780,menu!$O$2:$O$9,menu!$H$2:$H$9,"")</f>
        <v/>
      </c>
      <c r="AI780" t="str">
        <f>_xlfn.LET(_xlpm.x,_xlfn.CONCAT(_xlfn.XLOOKUP(D780,beans!$A$2:$A$300,beans!$J$2:$J$300,"")," / ",_xlfn.XLOOKUP(D780,beans!$A$2:$A$300,beans!$K$2:$K$300,"")," - ",_xlfn.XLOOKUP(D780,beans!$A$2:$A$300,beans!$L$2:$L$300,"")),IF(_xlpm.x=" /  - ","",_xlpm.x))</f>
        <v/>
      </c>
    </row>
    <row r="781" spans="1:35" x14ac:dyDescent="0.3">
      <c r="A781">
        <v>764</v>
      </c>
      <c r="E781" t="str">
        <f>_xlfn.LET(_xlpm.x,_xlfn.XLOOKUP(D781,beans!$A$2:$A$300,beans!$H$2:$H$300,""),IF(_xlpm.x="","",_xlpm.x))</f>
        <v/>
      </c>
      <c r="F781" s="22" t="str">
        <f>_xlfn.XLOOKUP(E781,menu!$A$2:$A$37,menu!$B$2:$B$37,"")</f>
        <v/>
      </c>
      <c r="G781" t="str">
        <f>_xlfn.XLOOKUP(E781,menu!$A$2:$A$37,menu!$C$2:$C$37,"")</f>
        <v/>
      </c>
      <c r="H781" t="str">
        <f>_xlfn.LET(_xlpm.x,_xlfn.XLOOKUP(_xlfn.XLOOKUP(D781,beans!$A$2:$A$300,beans!$I$2:$I$300),menu!$E$2:$E$20,menu!$F$2:$F$20),IF(_xlpm.x="","",_xlpm.x))</f>
        <v/>
      </c>
      <c r="T781" s="68" t="str">
        <f t="shared" si="92"/>
        <v/>
      </c>
      <c r="U781" t="str">
        <f t="shared" si="88"/>
        <v/>
      </c>
      <c r="V781">
        <f t="shared" si="93"/>
        <v>0</v>
      </c>
      <c r="W781" t="str">
        <f t="shared" si="89"/>
        <v/>
      </c>
      <c r="AB781" s="28" t="str">
        <f t="shared" si="90"/>
        <v xml:space="preserve"> </v>
      </c>
      <c r="AE781" s="61" t="str">
        <f t="shared" si="91"/>
        <v/>
      </c>
      <c r="AF781" s="77" t="str">
        <f>_xlfn.XLOOKUP(AD781,menu!$K$2:$K$9,menu!$J$2:$J$9,"",1)</f>
        <v/>
      </c>
      <c r="AG781" s="80" t="str">
        <f>_xlfn.XLOOKUP(AH781,menu!$O$2:$O$9,menu!$H$2:$H$9,"")</f>
        <v/>
      </c>
      <c r="AI781" t="str">
        <f>_xlfn.LET(_xlpm.x,_xlfn.CONCAT(_xlfn.XLOOKUP(D781,beans!$A$2:$A$300,beans!$J$2:$J$300,"")," / ",_xlfn.XLOOKUP(D781,beans!$A$2:$A$300,beans!$K$2:$K$300,"")," - ",_xlfn.XLOOKUP(D781,beans!$A$2:$A$300,beans!$L$2:$L$300,"")),IF(_xlpm.x=" /  - ","",_xlpm.x))</f>
        <v/>
      </c>
    </row>
    <row r="782" spans="1:35" x14ac:dyDescent="0.3">
      <c r="A782">
        <v>765</v>
      </c>
      <c r="E782" t="str">
        <f>_xlfn.LET(_xlpm.x,_xlfn.XLOOKUP(D782,beans!$A$2:$A$300,beans!$H$2:$H$300,""),IF(_xlpm.x="","",_xlpm.x))</f>
        <v/>
      </c>
      <c r="F782" s="22" t="str">
        <f>_xlfn.XLOOKUP(E782,menu!$A$2:$A$37,menu!$B$2:$B$37,"")</f>
        <v/>
      </c>
      <c r="G782" t="str">
        <f>_xlfn.XLOOKUP(E782,menu!$A$2:$A$37,menu!$C$2:$C$37,"")</f>
        <v/>
      </c>
      <c r="H782" t="str">
        <f>_xlfn.LET(_xlpm.x,_xlfn.XLOOKUP(_xlfn.XLOOKUP(D782,beans!$A$2:$A$300,beans!$I$2:$I$300),menu!$E$2:$E$20,menu!$F$2:$F$20),IF(_xlpm.x="","",_xlpm.x))</f>
        <v/>
      </c>
      <c r="T782" s="68" t="str">
        <f t="shared" si="92"/>
        <v/>
      </c>
      <c r="U782" t="str">
        <f t="shared" si="88"/>
        <v/>
      </c>
      <c r="V782">
        <f t="shared" si="93"/>
        <v>0</v>
      </c>
      <c r="W782" t="str">
        <f t="shared" si="89"/>
        <v/>
      </c>
      <c r="AB782" s="28" t="str">
        <f t="shared" si="90"/>
        <v xml:space="preserve"> </v>
      </c>
      <c r="AE782" s="61" t="str">
        <f t="shared" si="91"/>
        <v/>
      </c>
      <c r="AF782" s="77" t="str">
        <f>_xlfn.XLOOKUP(AD782,menu!$K$2:$K$9,menu!$J$2:$J$9,"",1)</f>
        <v/>
      </c>
      <c r="AG782" s="80" t="str">
        <f>_xlfn.XLOOKUP(AH782,menu!$O$2:$O$9,menu!$H$2:$H$9,"")</f>
        <v/>
      </c>
      <c r="AI782" t="str">
        <f>_xlfn.LET(_xlpm.x,_xlfn.CONCAT(_xlfn.XLOOKUP(D782,beans!$A$2:$A$300,beans!$J$2:$J$300,"")," / ",_xlfn.XLOOKUP(D782,beans!$A$2:$A$300,beans!$K$2:$K$300,"")," - ",_xlfn.XLOOKUP(D782,beans!$A$2:$A$300,beans!$L$2:$L$300,"")),IF(_xlpm.x=" /  - ","",_xlpm.x))</f>
        <v/>
      </c>
    </row>
    <row r="783" spans="1:35" x14ac:dyDescent="0.3">
      <c r="A783">
        <v>766</v>
      </c>
      <c r="E783" t="str">
        <f>_xlfn.LET(_xlpm.x,_xlfn.XLOOKUP(D783,beans!$A$2:$A$300,beans!$H$2:$H$300,""),IF(_xlpm.x="","",_xlpm.x))</f>
        <v/>
      </c>
      <c r="F783" s="22" t="str">
        <f>_xlfn.XLOOKUP(E783,menu!$A$2:$A$37,menu!$B$2:$B$37,"")</f>
        <v/>
      </c>
      <c r="G783" t="str">
        <f>_xlfn.XLOOKUP(E783,menu!$A$2:$A$37,menu!$C$2:$C$37,"")</f>
        <v/>
      </c>
      <c r="H783" t="str">
        <f>_xlfn.LET(_xlpm.x,_xlfn.XLOOKUP(_xlfn.XLOOKUP(D783,beans!$A$2:$A$300,beans!$I$2:$I$300),menu!$E$2:$E$20,menu!$F$2:$F$20),IF(_xlpm.x="","",_xlpm.x))</f>
        <v/>
      </c>
      <c r="T783" s="68" t="str">
        <f t="shared" si="92"/>
        <v/>
      </c>
      <c r="U783" t="str">
        <f t="shared" si="88"/>
        <v/>
      </c>
      <c r="V783">
        <f t="shared" si="93"/>
        <v>0</v>
      </c>
      <c r="W783" t="str">
        <f t="shared" si="89"/>
        <v/>
      </c>
      <c r="AB783" s="28" t="str">
        <f t="shared" si="90"/>
        <v xml:space="preserve"> </v>
      </c>
      <c r="AE783" s="61" t="str">
        <f t="shared" si="91"/>
        <v/>
      </c>
      <c r="AF783" s="77" t="str">
        <f>_xlfn.XLOOKUP(AD783,menu!$K$2:$K$9,menu!$J$2:$J$9,"",1)</f>
        <v/>
      </c>
      <c r="AG783" s="80" t="str">
        <f>_xlfn.XLOOKUP(AH783,menu!$O$2:$O$9,menu!$H$2:$H$9,"")</f>
        <v/>
      </c>
      <c r="AI783" t="str">
        <f>_xlfn.LET(_xlpm.x,_xlfn.CONCAT(_xlfn.XLOOKUP(D783,beans!$A$2:$A$300,beans!$J$2:$J$300,"")," / ",_xlfn.XLOOKUP(D783,beans!$A$2:$A$300,beans!$K$2:$K$300,"")," - ",_xlfn.XLOOKUP(D783,beans!$A$2:$A$300,beans!$L$2:$L$300,"")),IF(_xlpm.x=" /  - ","",_xlpm.x))</f>
        <v/>
      </c>
    </row>
    <row r="784" spans="1:35" x14ac:dyDescent="0.3">
      <c r="A784">
        <v>767</v>
      </c>
      <c r="E784" t="str">
        <f>_xlfn.LET(_xlpm.x,_xlfn.XLOOKUP(D784,beans!$A$2:$A$300,beans!$H$2:$H$300,""),IF(_xlpm.x="","",_xlpm.x))</f>
        <v/>
      </c>
      <c r="F784" s="22" t="str">
        <f>_xlfn.XLOOKUP(E784,menu!$A$2:$A$37,menu!$B$2:$B$37,"")</f>
        <v/>
      </c>
      <c r="G784" t="str">
        <f>_xlfn.XLOOKUP(E784,menu!$A$2:$A$37,menu!$C$2:$C$37,"")</f>
        <v/>
      </c>
      <c r="H784" t="str">
        <f>_xlfn.LET(_xlpm.x,_xlfn.XLOOKUP(_xlfn.XLOOKUP(D784,beans!$A$2:$A$300,beans!$I$2:$I$300),menu!$E$2:$E$20,menu!$F$2:$F$20),IF(_xlpm.x="","",_xlpm.x))</f>
        <v/>
      </c>
      <c r="T784" s="68" t="str">
        <f t="shared" si="92"/>
        <v/>
      </c>
      <c r="U784" t="str">
        <f t="shared" si="88"/>
        <v/>
      </c>
      <c r="V784">
        <f t="shared" si="93"/>
        <v>0</v>
      </c>
      <c r="W784" t="str">
        <f t="shared" si="89"/>
        <v/>
      </c>
      <c r="AB784" s="28" t="str">
        <f t="shared" si="90"/>
        <v xml:space="preserve"> </v>
      </c>
      <c r="AE784" s="61" t="str">
        <f t="shared" si="91"/>
        <v/>
      </c>
      <c r="AF784" s="77" t="str">
        <f>_xlfn.XLOOKUP(AD784,menu!$K$2:$K$9,menu!$J$2:$J$9,"",1)</f>
        <v/>
      </c>
      <c r="AG784" s="80" t="str">
        <f>_xlfn.XLOOKUP(AH784,menu!$O$2:$O$9,menu!$H$2:$H$9,"")</f>
        <v/>
      </c>
      <c r="AI784" t="str">
        <f>_xlfn.LET(_xlpm.x,_xlfn.CONCAT(_xlfn.XLOOKUP(D784,beans!$A$2:$A$300,beans!$J$2:$J$300,"")," / ",_xlfn.XLOOKUP(D784,beans!$A$2:$A$300,beans!$K$2:$K$300,"")," - ",_xlfn.XLOOKUP(D784,beans!$A$2:$A$300,beans!$L$2:$L$300,"")),IF(_xlpm.x=" /  - ","",_xlpm.x))</f>
        <v/>
      </c>
    </row>
    <row r="785" spans="1:35" x14ac:dyDescent="0.3">
      <c r="A785">
        <v>768</v>
      </c>
      <c r="E785" t="str">
        <f>_xlfn.LET(_xlpm.x,_xlfn.XLOOKUP(D785,beans!$A$2:$A$300,beans!$H$2:$H$300,""),IF(_xlpm.x="","",_xlpm.x))</f>
        <v/>
      </c>
      <c r="F785" s="22" t="str">
        <f>_xlfn.XLOOKUP(E785,menu!$A$2:$A$37,menu!$B$2:$B$37,"")</f>
        <v/>
      </c>
      <c r="G785" t="str">
        <f>_xlfn.XLOOKUP(E785,menu!$A$2:$A$37,menu!$C$2:$C$37,"")</f>
        <v/>
      </c>
      <c r="H785" t="str">
        <f>_xlfn.LET(_xlpm.x,_xlfn.XLOOKUP(_xlfn.XLOOKUP(D785,beans!$A$2:$A$300,beans!$I$2:$I$300),menu!$E$2:$E$20,menu!$F$2:$F$20),IF(_xlpm.x="","",_xlpm.x))</f>
        <v/>
      </c>
      <c r="T785" s="68" t="str">
        <f t="shared" si="92"/>
        <v/>
      </c>
      <c r="U785" t="str">
        <f t="shared" si="88"/>
        <v/>
      </c>
      <c r="V785">
        <f t="shared" si="93"/>
        <v>0</v>
      </c>
      <c r="W785" t="str">
        <f t="shared" si="89"/>
        <v/>
      </c>
      <c r="AB785" s="28" t="str">
        <f t="shared" si="90"/>
        <v xml:space="preserve"> </v>
      </c>
      <c r="AE785" s="61" t="str">
        <f t="shared" si="91"/>
        <v/>
      </c>
      <c r="AF785" s="77" t="str">
        <f>_xlfn.XLOOKUP(AD785,menu!$K$2:$K$9,menu!$J$2:$J$9,"",1)</f>
        <v/>
      </c>
      <c r="AG785" s="80" t="str">
        <f>_xlfn.XLOOKUP(AH785,menu!$O$2:$O$9,menu!$H$2:$H$9,"")</f>
        <v/>
      </c>
      <c r="AI785" t="str">
        <f>_xlfn.LET(_xlpm.x,_xlfn.CONCAT(_xlfn.XLOOKUP(D785,beans!$A$2:$A$300,beans!$J$2:$J$300,"")," / ",_xlfn.XLOOKUP(D785,beans!$A$2:$A$300,beans!$K$2:$K$300,"")," - ",_xlfn.XLOOKUP(D785,beans!$A$2:$A$300,beans!$L$2:$L$300,"")),IF(_xlpm.x=" /  - ","",_xlpm.x))</f>
        <v/>
      </c>
    </row>
    <row r="786" spans="1:35" x14ac:dyDescent="0.3">
      <c r="A786">
        <v>769</v>
      </c>
      <c r="E786" t="str">
        <f>_xlfn.LET(_xlpm.x,_xlfn.XLOOKUP(D786,beans!$A$2:$A$300,beans!$H$2:$H$300,""),IF(_xlpm.x="","",_xlpm.x))</f>
        <v/>
      </c>
      <c r="F786" s="22" t="str">
        <f>_xlfn.XLOOKUP(E786,menu!$A$2:$A$37,menu!$B$2:$B$37,"")</f>
        <v/>
      </c>
      <c r="G786" t="str">
        <f>_xlfn.XLOOKUP(E786,menu!$A$2:$A$37,menu!$C$2:$C$37,"")</f>
        <v/>
      </c>
      <c r="H786" t="str">
        <f>_xlfn.LET(_xlpm.x,_xlfn.XLOOKUP(_xlfn.XLOOKUP(D786,beans!$A$2:$A$300,beans!$I$2:$I$300),menu!$E$2:$E$20,menu!$F$2:$F$20),IF(_xlpm.x="","",_xlpm.x))</f>
        <v/>
      </c>
      <c r="T786" s="68" t="str">
        <f t="shared" si="92"/>
        <v/>
      </c>
      <c r="U786" t="str">
        <f t="shared" si="88"/>
        <v/>
      </c>
      <c r="V786">
        <f t="shared" si="93"/>
        <v>0</v>
      </c>
      <c r="W786" t="str">
        <f t="shared" si="89"/>
        <v/>
      </c>
      <c r="AB786" s="28" t="str">
        <f t="shared" si="90"/>
        <v xml:space="preserve"> </v>
      </c>
      <c r="AE786" s="61" t="str">
        <f t="shared" si="91"/>
        <v/>
      </c>
      <c r="AF786" s="77" t="str">
        <f>_xlfn.XLOOKUP(AD786,menu!$K$2:$K$9,menu!$J$2:$J$9,"",1)</f>
        <v/>
      </c>
      <c r="AG786" s="80" t="str">
        <f>_xlfn.XLOOKUP(AH786,menu!$O$2:$O$9,menu!$H$2:$H$9,"")</f>
        <v/>
      </c>
      <c r="AI786" t="str">
        <f>_xlfn.LET(_xlpm.x,_xlfn.CONCAT(_xlfn.XLOOKUP(D786,beans!$A$2:$A$300,beans!$J$2:$J$300,"")," / ",_xlfn.XLOOKUP(D786,beans!$A$2:$A$300,beans!$K$2:$K$300,"")," - ",_xlfn.XLOOKUP(D786,beans!$A$2:$A$300,beans!$L$2:$L$300,"")),IF(_xlpm.x=" /  - ","",_xlpm.x))</f>
        <v/>
      </c>
    </row>
    <row r="787" spans="1:35" x14ac:dyDescent="0.3">
      <c r="A787">
        <v>770</v>
      </c>
      <c r="E787" t="str">
        <f>_xlfn.LET(_xlpm.x,_xlfn.XLOOKUP(D787,beans!$A$2:$A$300,beans!$H$2:$H$300,""),IF(_xlpm.x="","",_xlpm.x))</f>
        <v/>
      </c>
      <c r="F787" s="22" t="str">
        <f>_xlfn.XLOOKUP(E787,menu!$A$2:$A$37,menu!$B$2:$B$37,"")</f>
        <v/>
      </c>
      <c r="G787" t="str">
        <f>_xlfn.XLOOKUP(E787,menu!$A$2:$A$37,menu!$C$2:$C$37,"")</f>
        <v/>
      </c>
      <c r="H787" t="str">
        <f>_xlfn.LET(_xlpm.x,_xlfn.XLOOKUP(_xlfn.XLOOKUP(D787,beans!$A$2:$A$300,beans!$I$2:$I$300),menu!$E$2:$E$20,menu!$F$2:$F$20),IF(_xlpm.x="","",_xlpm.x))</f>
        <v/>
      </c>
      <c r="T787" s="68" t="str">
        <f t="shared" si="92"/>
        <v/>
      </c>
      <c r="U787" t="str">
        <f t="shared" si="88"/>
        <v/>
      </c>
      <c r="V787">
        <f t="shared" si="93"/>
        <v>0</v>
      </c>
      <c r="W787" t="str">
        <f t="shared" si="89"/>
        <v/>
      </c>
      <c r="AB787" s="28" t="str">
        <f t="shared" si="90"/>
        <v xml:space="preserve"> </v>
      </c>
      <c r="AE787" s="61" t="str">
        <f t="shared" si="91"/>
        <v/>
      </c>
      <c r="AF787" s="77" t="str">
        <f>_xlfn.XLOOKUP(AD787,menu!$K$2:$K$9,menu!$J$2:$J$9,"",1)</f>
        <v/>
      </c>
      <c r="AG787" s="80" t="str">
        <f>_xlfn.XLOOKUP(AH787,menu!$O$2:$O$9,menu!$H$2:$H$9,"")</f>
        <v/>
      </c>
      <c r="AI787" t="str">
        <f>_xlfn.LET(_xlpm.x,_xlfn.CONCAT(_xlfn.XLOOKUP(D787,beans!$A$2:$A$300,beans!$J$2:$J$300,"")," / ",_xlfn.XLOOKUP(D787,beans!$A$2:$A$300,beans!$K$2:$K$300,"")," - ",_xlfn.XLOOKUP(D787,beans!$A$2:$A$300,beans!$L$2:$L$300,"")),IF(_xlpm.x=" /  - ","",_xlpm.x))</f>
        <v/>
      </c>
    </row>
    <row r="788" spans="1:35" x14ac:dyDescent="0.3">
      <c r="A788">
        <v>771</v>
      </c>
      <c r="E788" t="str">
        <f>_xlfn.LET(_xlpm.x,_xlfn.XLOOKUP(D788,beans!$A$2:$A$300,beans!$H$2:$H$300,""),IF(_xlpm.x="","",_xlpm.x))</f>
        <v/>
      </c>
      <c r="F788" s="22" t="str">
        <f>_xlfn.XLOOKUP(E788,menu!$A$2:$A$37,menu!$B$2:$B$37,"")</f>
        <v/>
      </c>
      <c r="G788" t="str">
        <f>_xlfn.XLOOKUP(E788,menu!$A$2:$A$37,menu!$C$2:$C$37,"")</f>
        <v/>
      </c>
      <c r="H788" t="str">
        <f>_xlfn.LET(_xlpm.x,_xlfn.XLOOKUP(_xlfn.XLOOKUP(D788,beans!$A$2:$A$300,beans!$I$2:$I$300),menu!$E$2:$E$20,menu!$F$2:$F$20),IF(_xlpm.x="","",_xlpm.x))</f>
        <v/>
      </c>
      <c r="T788" s="68" t="str">
        <f t="shared" si="92"/>
        <v/>
      </c>
      <c r="U788" t="str">
        <f t="shared" si="88"/>
        <v/>
      </c>
      <c r="V788">
        <f t="shared" si="93"/>
        <v>0</v>
      </c>
      <c r="W788" t="str">
        <f t="shared" si="89"/>
        <v/>
      </c>
      <c r="AB788" s="28" t="str">
        <f t="shared" si="90"/>
        <v xml:space="preserve"> </v>
      </c>
      <c r="AE788" s="61" t="str">
        <f t="shared" si="91"/>
        <v/>
      </c>
      <c r="AF788" s="77" t="str">
        <f>_xlfn.XLOOKUP(AD788,menu!$K$2:$K$9,menu!$J$2:$J$9,"",1)</f>
        <v/>
      </c>
      <c r="AG788" s="80" t="str">
        <f>_xlfn.XLOOKUP(AH788,menu!$O$2:$O$9,menu!$H$2:$H$9,"")</f>
        <v/>
      </c>
      <c r="AI788" t="str">
        <f>_xlfn.LET(_xlpm.x,_xlfn.CONCAT(_xlfn.XLOOKUP(D788,beans!$A$2:$A$300,beans!$J$2:$J$300,"")," / ",_xlfn.XLOOKUP(D788,beans!$A$2:$A$300,beans!$K$2:$K$300,"")," - ",_xlfn.XLOOKUP(D788,beans!$A$2:$A$300,beans!$L$2:$L$300,"")),IF(_xlpm.x=" /  - ","",_xlpm.x))</f>
        <v/>
      </c>
    </row>
    <row r="789" spans="1:35" x14ac:dyDescent="0.3">
      <c r="A789">
        <v>772</v>
      </c>
      <c r="E789" t="str">
        <f>_xlfn.LET(_xlpm.x,_xlfn.XLOOKUP(D789,beans!$A$2:$A$300,beans!$H$2:$H$300,""),IF(_xlpm.x="","",_xlpm.x))</f>
        <v/>
      </c>
      <c r="F789" s="22" t="str">
        <f>_xlfn.XLOOKUP(E789,menu!$A$2:$A$37,menu!$B$2:$B$37,"")</f>
        <v/>
      </c>
      <c r="G789" t="str">
        <f>_xlfn.XLOOKUP(E789,menu!$A$2:$A$37,menu!$C$2:$C$37,"")</f>
        <v/>
      </c>
      <c r="H789" t="str">
        <f>_xlfn.LET(_xlpm.x,_xlfn.XLOOKUP(_xlfn.XLOOKUP(D789,beans!$A$2:$A$300,beans!$I$2:$I$300),menu!$E$2:$E$20,menu!$F$2:$F$20),IF(_xlpm.x="","",_xlpm.x))</f>
        <v/>
      </c>
      <c r="T789" s="68" t="str">
        <f t="shared" si="92"/>
        <v/>
      </c>
      <c r="U789" t="str">
        <f t="shared" si="88"/>
        <v/>
      </c>
      <c r="V789">
        <f t="shared" si="93"/>
        <v>0</v>
      </c>
      <c r="W789" t="str">
        <f t="shared" si="89"/>
        <v/>
      </c>
      <c r="AB789" s="28" t="str">
        <f t="shared" si="90"/>
        <v xml:space="preserve"> </v>
      </c>
      <c r="AE789" s="61" t="str">
        <f t="shared" si="91"/>
        <v/>
      </c>
      <c r="AF789" s="77" t="str">
        <f>_xlfn.XLOOKUP(AD789,menu!$K$2:$K$9,menu!$J$2:$J$9,"",1)</f>
        <v/>
      </c>
      <c r="AG789" s="80" t="str">
        <f>_xlfn.XLOOKUP(AH789,menu!$O$2:$O$9,menu!$H$2:$H$9,"")</f>
        <v/>
      </c>
      <c r="AI789" t="str">
        <f>_xlfn.LET(_xlpm.x,_xlfn.CONCAT(_xlfn.XLOOKUP(D789,beans!$A$2:$A$300,beans!$J$2:$J$300,"")," / ",_xlfn.XLOOKUP(D789,beans!$A$2:$A$300,beans!$K$2:$K$300,"")," - ",_xlfn.XLOOKUP(D789,beans!$A$2:$A$300,beans!$L$2:$L$300,"")),IF(_xlpm.x=" /  - ","",_xlpm.x))</f>
        <v/>
      </c>
    </row>
    <row r="790" spans="1:35" x14ac:dyDescent="0.3">
      <c r="A790">
        <v>773</v>
      </c>
      <c r="E790" t="str">
        <f>_xlfn.LET(_xlpm.x,_xlfn.XLOOKUP(D790,beans!$A$2:$A$300,beans!$H$2:$H$300,""),IF(_xlpm.x="","",_xlpm.x))</f>
        <v/>
      </c>
      <c r="F790" s="22" t="str">
        <f>_xlfn.XLOOKUP(E790,menu!$A$2:$A$37,menu!$B$2:$B$37,"")</f>
        <v/>
      </c>
      <c r="G790" t="str">
        <f>_xlfn.XLOOKUP(E790,menu!$A$2:$A$37,menu!$C$2:$C$37,"")</f>
        <v/>
      </c>
      <c r="H790" t="str">
        <f>_xlfn.LET(_xlpm.x,_xlfn.XLOOKUP(_xlfn.XLOOKUP(D790,beans!$A$2:$A$300,beans!$I$2:$I$300),menu!$E$2:$E$20,menu!$F$2:$F$20),IF(_xlpm.x="","",_xlpm.x))</f>
        <v/>
      </c>
      <c r="T790" s="68" t="str">
        <f t="shared" si="92"/>
        <v/>
      </c>
      <c r="U790" t="str">
        <f t="shared" si="88"/>
        <v/>
      </c>
      <c r="V790">
        <f t="shared" si="93"/>
        <v>0</v>
      </c>
      <c r="W790" t="str">
        <f t="shared" si="89"/>
        <v/>
      </c>
      <c r="AB790" s="28" t="str">
        <f t="shared" si="90"/>
        <v xml:space="preserve"> </v>
      </c>
      <c r="AE790" s="61" t="str">
        <f t="shared" si="91"/>
        <v/>
      </c>
      <c r="AF790" s="77" t="str">
        <f>_xlfn.XLOOKUP(AD790,menu!$K$2:$K$9,menu!$J$2:$J$9,"",1)</f>
        <v/>
      </c>
      <c r="AG790" s="80" t="str">
        <f>_xlfn.XLOOKUP(AH790,menu!$O$2:$O$9,menu!$H$2:$H$9,"")</f>
        <v/>
      </c>
      <c r="AI790" t="str">
        <f>_xlfn.LET(_xlpm.x,_xlfn.CONCAT(_xlfn.XLOOKUP(D790,beans!$A$2:$A$300,beans!$J$2:$J$300,"")," / ",_xlfn.XLOOKUP(D790,beans!$A$2:$A$300,beans!$K$2:$K$300,"")," - ",_xlfn.XLOOKUP(D790,beans!$A$2:$A$300,beans!$L$2:$L$300,"")),IF(_xlpm.x=" /  - ","",_xlpm.x))</f>
        <v/>
      </c>
    </row>
    <row r="791" spans="1:35" x14ac:dyDescent="0.3">
      <c r="A791">
        <v>774</v>
      </c>
      <c r="E791" t="str">
        <f>_xlfn.LET(_xlpm.x,_xlfn.XLOOKUP(D791,beans!$A$2:$A$300,beans!$H$2:$H$300,""),IF(_xlpm.x="","",_xlpm.x))</f>
        <v/>
      </c>
      <c r="F791" s="22" t="str">
        <f>_xlfn.XLOOKUP(E791,menu!$A$2:$A$37,menu!$B$2:$B$37,"")</f>
        <v/>
      </c>
      <c r="G791" t="str">
        <f>_xlfn.XLOOKUP(E791,menu!$A$2:$A$37,menu!$C$2:$C$37,"")</f>
        <v/>
      </c>
      <c r="H791" t="str">
        <f>_xlfn.LET(_xlpm.x,_xlfn.XLOOKUP(_xlfn.XLOOKUP(D791,beans!$A$2:$A$300,beans!$I$2:$I$300),menu!$E$2:$E$20,menu!$F$2:$F$20),IF(_xlpm.x="","",_xlpm.x))</f>
        <v/>
      </c>
      <c r="T791" s="68" t="str">
        <f t="shared" si="92"/>
        <v/>
      </c>
      <c r="U791" t="str">
        <f t="shared" si="88"/>
        <v/>
      </c>
      <c r="V791">
        <f t="shared" si="93"/>
        <v>0</v>
      </c>
      <c r="W791" t="str">
        <f t="shared" si="89"/>
        <v/>
      </c>
      <c r="AB791" s="28" t="str">
        <f t="shared" si="90"/>
        <v xml:space="preserve"> </v>
      </c>
      <c r="AE791" s="61" t="str">
        <f t="shared" si="91"/>
        <v/>
      </c>
      <c r="AF791" s="77" t="str">
        <f>_xlfn.XLOOKUP(AD791,menu!$K$2:$K$9,menu!$J$2:$J$9,"",1)</f>
        <v/>
      </c>
      <c r="AG791" s="80" t="str">
        <f>_xlfn.XLOOKUP(AH791,menu!$O$2:$O$9,menu!$H$2:$H$9,"")</f>
        <v/>
      </c>
      <c r="AI791" t="str">
        <f>_xlfn.LET(_xlpm.x,_xlfn.CONCAT(_xlfn.XLOOKUP(D791,beans!$A$2:$A$300,beans!$J$2:$J$300,"")," / ",_xlfn.XLOOKUP(D791,beans!$A$2:$A$300,beans!$K$2:$K$300,"")," - ",_xlfn.XLOOKUP(D791,beans!$A$2:$A$300,beans!$L$2:$L$300,"")),IF(_xlpm.x=" /  - ","",_xlpm.x))</f>
        <v/>
      </c>
    </row>
    <row r="792" spans="1:35" x14ac:dyDescent="0.3">
      <c r="A792">
        <v>775</v>
      </c>
      <c r="E792" t="str">
        <f>_xlfn.LET(_xlpm.x,_xlfn.XLOOKUP(D792,beans!$A$2:$A$300,beans!$H$2:$H$300,""),IF(_xlpm.x="","",_xlpm.x))</f>
        <v/>
      </c>
      <c r="F792" s="22" t="str">
        <f>_xlfn.XLOOKUP(E792,menu!$A$2:$A$37,menu!$B$2:$B$37,"")</f>
        <v/>
      </c>
      <c r="G792" t="str">
        <f>_xlfn.XLOOKUP(E792,menu!$A$2:$A$37,menu!$C$2:$C$37,"")</f>
        <v/>
      </c>
      <c r="H792" t="str">
        <f>_xlfn.LET(_xlpm.x,_xlfn.XLOOKUP(_xlfn.XLOOKUP(D792,beans!$A$2:$A$300,beans!$I$2:$I$300),menu!$E$2:$E$20,menu!$F$2:$F$20),IF(_xlpm.x="","",_xlpm.x))</f>
        <v/>
      </c>
      <c r="T792" s="68" t="str">
        <f t="shared" si="92"/>
        <v/>
      </c>
      <c r="U792" t="str">
        <f t="shared" si="88"/>
        <v/>
      </c>
      <c r="V792">
        <f t="shared" si="93"/>
        <v>0</v>
      </c>
      <c r="W792" t="str">
        <f t="shared" si="89"/>
        <v/>
      </c>
      <c r="AB792" s="28" t="str">
        <f t="shared" si="90"/>
        <v xml:space="preserve"> </v>
      </c>
      <c r="AE792" s="61" t="str">
        <f t="shared" si="91"/>
        <v/>
      </c>
      <c r="AF792" s="77" t="str">
        <f>_xlfn.XLOOKUP(AD792,menu!$K$2:$K$9,menu!$J$2:$J$9,"",1)</f>
        <v/>
      </c>
      <c r="AG792" s="80" t="str">
        <f>_xlfn.XLOOKUP(AH792,menu!$O$2:$O$9,menu!$H$2:$H$9,"")</f>
        <v/>
      </c>
      <c r="AI792" t="str">
        <f>_xlfn.LET(_xlpm.x,_xlfn.CONCAT(_xlfn.XLOOKUP(D792,beans!$A$2:$A$300,beans!$J$2:$J$300,"")," / ",_xlfn.XLOOKUP(D792,beans!$A$2:$A$300,beans!$K$2:$K$300,"")," - ",_xlfn.XLOOKUP(D792,beans!$A$2:$A$300,beans!$L$2:$L$300,"")),IF(_xlpm.x=" /  - ","",_xlpm.x))</f>
        <v/>
      </c>
    </row>
    <row r="793" spans="1:35" x14ac:dyDescent="0.3">
      <c r="A793">
        <v>776</v>
      </c>
      <c r="E793" t="str">
        <f>_xlfn.LET(_xlpm.x,_xlfn.XLOOKUP(D793,beans!$A$2:$A$300,beans!$H$2:$H$300,""),IF(_xlpm.x="","",_xlpm.x))</f>
        <v/>
      </c>
      <c r="F793" s="22" t="str">
        <f>_xlfn.XLOOKUP(E793,menu!$A$2:$A$37,menu!$B$2:$B$37,"")</f>
        <v/>
      </c>
      <c r="G793" t="str">
        <f>_xlfn.XLOOKUP(E793,menu!$A$2:$A$37,menu!$C$2:$C$37,"")</f>
        <v/>
      </c>
      <c r="H793" t="str">
        <f>_xlfn.LET(_xlpm.x,_xlfn.XLOOKUP(_xlfn.XLOOKUP(D793,beans!$A$2:$A$300,beans!$I$2:$I$300),menu!$E$2:$E$20,menu!$F$2:$F$20),IF(_xlpm.x="","",_xlpm.x))</f>
        <v/>
      </c>
      <c r="T793" s="68" t="str">
        <f t="shared" si="92"/>
        <v/>
      </c>
      <c r="U793" t="str">
        <f t="shared" si="88"/>
        <v/>
      </c>
      <c r="V793">
        <f t="shared" si="93"/>
        <v>0</v>
      </c>
      <c r="W793" t="str">
        <f t="shared" si="89"/>
        <v/>
      </c>
      <c r="AB793" s="28" t="str">
        <f t="shared" si="90"/>
        <v xml:space="preserve"> </v>
      </c>
      <c r="AE793" s="61" t="str">
        <f t="shared" si="91"/>
        <v/>
      </c>
      <c r="AF793" s="77" t="str">
        <f>_xlfn.XLOOKUP(AD793,menu!$K$2:$K$9,menu!$J$2:$J$9,"",1)</f>
        <v/>
      </c>
      <c r="AG793" s="80" t="str">
        <f>_xlfn.XLOOKUP(AH793,menu!$O$2:$O$9,menu!$H$2:$H$9,"")</f>
        <v/>
      </c>
      <c r="AI793" t="str">
        <f>_xlfn.LET(_xlpm.x,_xlfn.CONCAT(_xlfn.XLOOKUP(D793,beans!$A$2:$A$300,beans!$J$2:$J$300,"")," / ",_xlfn.XLOOKUP(D793,beans!$A$2:$A$300,beans!$K$2:$K$300,"")," - ",_xlfn.XLOOKUP(D793,beans!$A$2:$A$300,beans!$L$2:$L$300,"")),IF(_xlpm.x=" /  - ","",_xlpm.x))</f>
        <v/>
      </c>
    </row>
    <row r="794" spans="1:35" x14ac:dyDescent="0.3">
      <c r="A794">
        <v>777</v>
      </c>
      <c r="E794" t="str">
        <f>_xlfn.LET(_xlpm.x,_xlfn.XLOOKUP(D794,beans!$A$2:$A$300,beans!$H$2:$H$300,""),IF(_xlpm.x="","",_xlpm.x))</f>
        <v/>
      </c>
      <c r="F794" s="22" t="str">
        <f>_xlfn.XLOOKUP(E794,menu!$A$2:$A$37,menu!$B$2:$B$37,"")</f>
        <v/>
      </c>
      <c r="G794" t="str">
        <f>_xlfn.XLOOKUP(E794,menu!$A$2:$A$37,menu!$C$2:$C$37,"")</f>
        <v/>
      </c>
      <c r="H794" t="str">
        <f>_xlfn.LET(_xlpm.x,_xlfn.XLOOKUP(_xlfn.XLOOKUP(D794,beans!$A$2:$A$300,beans!$I$2:$I$300),menu!$E$2:$E$20,menu!$F$2:$F$20),IF(_xlpm.x="","",_xlpm.x))</f>
        <v/>
      </c>
      <c r="T794" s="68" t="str">
        <f t="shared" si="92"/>
        <v/>
      </c>
      <c r="U794" t="str">
        <f t="shared" si="88"/>
        <v/>
      </c>
      <c r="V794">
        <f t="shared" si="93"/>
        <v>0</v>
      </c>
      <c r="W794" t="str">
        <f t="shared" si="89"/>
        <v/>
      </c>
      <c r="AB794" s="28" t="str">
        <f t="shared" si="90"/>
        <v xml:space="preserve"> </v>
      </c>
      <c r="AE794" s="61" t="str">
        <f t="shared" si="91"/>
        <v/>
      </c>
      <c r="AF794" s="77" t="str">
        <f>_xlfn.XLOOKUP(AD794,menu!$K$2:$K$9,menu!$J$2:$J$9,"",1)</f>
        <v/>
      </c>
      <c r="AG794" s="80" t="str">
        <f>_xlfn.XLOOKUP(AH794,menu!$O$2:$O$9,menu!$H$2:$H$9,"")</f>
        <v/>
      </c>
      <c r="AI794" t="str">
        <f>_xlfn.LET(_xlpm.x,_xlfn.CONCAT(_xlfn.XLOOKUP(D794,beans!$A$2:$A$300,beans!$J$2:$J$300,"")," / ",_xlfn.XLOOKUP(D794,beans!$A$2:$A$300,beans!$K$2:$K$300,"")," - ",_xlfn.XLOOKUP(D794,beans!$A$2:$A$300,beans!$L$2:$L$300,"")),IF(_xlpm.x=" /  - ","",_xlpm.x))</f>
        <v/>
      </c>
    </row>
    <row r="795" spans="1:35" x14ac:dyDescent="0.3">
      <c r="A795">
        <v>778</v>
      </c>
      <c r="E795" t="str">
        <f>_xlfn.LET(_xlpm.x,_xlfn.XLOOKUP(D795,beans!$A$2:$A$300,beans!$H$2:$H$300,""),IF(_xlpm.x="","",_xlpm.x))</f>
        <v/>
      </c>
      <c r="F795" s="22" t="str">
        <f>_xlfn.XLOOKUP(E795,menu!$A$2:$A$37,menu!$B$2:$B$37,"")</f>
        <v/>
      </c>
      <c r="G795" t="str">
        <f>_xlfn.XLOOKUP(E795,menu!$A$2:$A$37,menu!$C$2:$C$37,"")</f>
        <v/>
      </c>
      <c r="H795" t="str">
        <f>_xlfn.LET(_xlpm.x,_xlfn.XLOOKUP(_xlfn.XLOOKUP(D795,beans!$A$2:$A$300,beans!$I$2:$I$300),menu!$E$2:$E$20,menu!$F$2:$F$20),IF(_xlpm.x="","",_xlpm.x))</f>
        <v/>
      </c>
      <c r="T795" s="68" t="str">
        <f t="shared" si="92"/>
        <v/>
      </c>
      <c r="U795" t="str">
        <f t="shared" si="88"/>
        <v/>
      </c>
      <c r="V795">
        <f t="shared" si="93"/>
        <v>0</v>
      </c>
      <c r="W795" t="str">
        <f t="shared" si="89"/>
        <v/>
      </c>
      <c r="AB795" s="28" t="str">
        <f t="shared" si="90"/>
        <v xml:space="preserve"> </v>
      </c>
      <c r="AE795" s="61" t="str">
        <f t="shared" si="91"/>
        <v/>
      </c>
      <c r="AF795" s="77" t="str">
        <f>_xlfn.XLOOKUP(AD795,menu!$K$2:$K$9,menu!$J$2:$J$9,"",1)</f>
        <v/>
      </c>
      <c r="AG795" s="80" t="str">
        <f>_xlfn.XLOOKUP(AH795,menu!$O$2:$O$9,menu!$H$2:$H$9,"")</f>
        <v/>
      </c>
      <c r="AI795" t="str">
        <f>_xlfn.LET(_xlpm.x,_xlfn.CONCAT(_xlfn.XLOOKUP(D795,beans!$A$2:$A$300,beans!$J$2:$J$300,"")," / ",_xlfn.XLOOKUP(D795,beans!$A$2:$A$300,beans!$K$2:$K$300,"")," - ",_xlfn.XLOOKUP(D795,beans!$A$2:$A$300,beans!$L$2:$L$300,"")),IF(_xlpm.x=" /  - ","",_xlpm.x))</f>
        <v/>
      </c>
    </row>
    <row r="796" spans="1:35" x14ac:dyDescent="0.3">
      <c r="A796">
        <v>779</v>
      </c>
      <c r="E796" t="str">
        <f>_xlfn.LET(_xlpm.x,_xlfn.XLOOKUP(D796,beans!$A$2:$A$300,beans!$H$2:$H$300,""),IF(_xlpm.x="","",_xlpm.x))</f>
        <v/>
      </c>
      <c r="F796" s="22" t="str">
        <f>_xlfn.XLOOKUP(E796,menu!$A$2:$A$37,menu!$B$2:$B$37,"")</f>
        <v/>
      </c>
      <c r="G796" t="str">
        <f>_xlfn.XLOOKUP(E796,menu!$A$2:$A$37,menu!$C$2:$C$37,"")</f>
        <v/>
      </c>
      <c r="H796" t="str">
        <f>_xlfn.LET(_xlpm.x,_xlfn.XLOOKUP(_xlfn.XLOOKUP(D796,beans!$A$2:$A$300,beans!$I$2:$I$300),menu!$E$2:$E$20,menu!$F$2:$F$20),IF(_xlpm.x="","",_xlpm.x))</f>
        <v/>
      </c>
      <c r="T796" s="68" t="str">
        <f t="shared" si="92"/>
        <v/>
      </c>
      <c r="U796" t="str">
        <f t="shared" si="88"/>
        <v/>
      </c>
      <c r="V796">
        <f t="shared" si="93"/>
        <v>0</v>
      </c>
      <c r="W796" t="str">
        <f t="shared" si="89"/>
        <v/>
      </c>
      <c r="AB796" s="28" t="str">
        <f t="shared" si="90"/>
        <v xml:space="preserve"> </v>
      </c>
      <c r="AE796" s="61" t="str">
        <f t="shared" si="91"/>
        <v/>
      </c>
      <c r="AF796" s="77" t="str">
        <f>_xlfn.XLOOKUP(AD796,menu!$K$2:$K$9,menu!$J$2:$J$9,"",1)</f>
        <v/>
      </c>
      <c r="AG796" s="80" t="str">
        <f>_xlfn.XLOOKUP(AH796,menu!$O$2:$O$9,menu!$H$2:$H$9,"")</f>
        <v/>
      </c>
      <c r="AI796" t="str">
        <f>_xlfn.LET(_xlpm.x,_xlfn.CONCAT(_xlfn.XLOOKUP(D796,beans!$A$2:$A$300,beans!$J$2:$J$300,"")," / ",_xlfn.XLOOKUP(D796,beans!$A$2:$A$300,beans!$K$2:$K$300,"")," - ",_xlfn.XLOOKUP(D796,beans!$A$2:$A$300,beans!$L$2:$L$300,"")),IF(_xlpm.x=" /  - ","",_xlpm.x))</f>
        <v/>
      </c>
    </row>
    <row r="797" spans="1:35" x14ac:dyDescent="0.3">
      <c r="A797">
        <v>780</v>
      </c>
      <c r="E797" t="str">
        <f>_xlfn.LET(_xlpm.x,_xlfn.XLOOKUP(D797,beans!$A$2:$A$300,beans!$H$2:$H$300,""),IF(_xlpm.x="","",_xlpm.x))</f>
        <v/>
      </c>
      <c r="F797" s="22" t="str">
        <f>_xlfn.XLOOKUP(E797,menu!$A$2:$A$37,menu!$B$2:$B$37,"")</f>
        <v/>
      </c>
      <c r="G797" t="str">
        <f>_xlfn.XLOOKUP(E797,menu!$A$2:$A$37,menu!$C$2:$C$37,"")</f>
        <v/>
      </c>
      <c r="H797" t="str">
        <f>_xlfn.LET(_xlpm.x,_xlfn.XLOOKUP(_xlfn.XLOOKUP(D797,beans!$A$2:$A$300,beans!$I$2:$I$300),menu!$E$2:$E$20,menu!$F$2:$F$20),IF(_xlpm.x="","",_xlpm.x))</f>
        <v/>
      </c>
      <c r="T797" s="68" t="str">
        <f t="shared" si="92"/>
        <v/>
      </c>
      <c r="U797" t="str">
        <f t="shared" si="88"/>
        <v/>
      </c>
      <c r="V797">
        <f t="shared" si="93"/>
        <v>0</v>
      </c>
      <c r="W797" t="str">
        <f t="shared" si="89"/>
        <v/>
      </c>
      <c r="AB797" s="28" t="str">
        <f t="shared" si="90"/>
        <v xml:space="preserve"> </v>
      </c>
      <c r="AE797" s="61" t="str">
        <f t="shared" si="91"/>
        <v/>
      </c>
      <c r="AF797" s="77" t="str">
        <f>_xlfn.XLOOKUP(AD797,menu!$K$2:$K$9,menu!$J$2:$J$9,"",1)</f>
        <v/>
      </c>
      <c r="AG797" s="80" t="str">
        <f>_xlfn.XLOOKUP(AH797,menu!$O$2:$O$9,menu!$H$2:$H$9,"")</f>
        <v/>
      </c>
      <c r="AI797" t="str">
        <f>_xlfn.LET(_xlpm.x,_xlfn.CONCAT(_xlfn.XLOOKUP(D797,beans!$A$2:$A$300,beans!$J$2:$J$300,"")," / ",_xlfn.XLOOKUP(D797,beans!$A$2:$A$300,beans!$K$2:$K$300,"")," - ",_xlfn.XLOOKUP(D797,beans!$A$2:$A$300,beans!$L$2:$L$300,"")),IF(_xlpm.x=" /  - ","",_xlpm.x))</f>
        <v/>
      </c>
    </row>
    <row r="798" spans="1:35" x14ac:dyDescent="0.3">
      <c r="A798">
        <v>781</v>
      </c>
      <c r="E798" t="str">
        <f>_xlfn.LET(_xlpm.x,_xlfn.XLOOKUP(D798,beans!$A$2:$A$300,beans!$H$2:$H$300,""),IF(_xlpm.x="","",_xlpm.x))</f>
        <v/>
      </c>
      <c r="F798" s="22" t="str">
        <f>_xlfn.XLOOKUP(E798,menu!$A$2:$A$37,menu!$B$2:$B$37,"")</f>
        <v/>
      </c>
      <c r="G798" t="str">
        <f>_xlfn.XLOOKUP(E798,menu!$A$2:$A$37,menu!$C$2:$C$37,"")</f>
        <v/>
      </c>
      <c r="H798" t="str">
        <f>_xlfn.LET(_xlpm.x,_xlfn.XLOOKUP(_xlfn.XLOOKUP(D798,beans!$A$2:$A$300,beans!$I$2:$I$300),menu!$E$2:$E$20,menu!$F$2:$F$20),IF(_xlpm.x="","",_xlpm.x))</f>
        <v/>
      </c>
      <c r="T798" s="68" t="str">
        <f t="shared" si="92"/>
        <v/>
      </c>
      <c r="U798" t="str">
        <f t="shared" si="88"/>
        <v/>
      </c>
      <c r="V798">
        <f t="shared" si="93"/>
        <v>0</v>
      </c>
      <c r="W798" t="str">
        <f t="shared" si="89"/>
        <v/>
      </c>
      <c r="AB798" s="28" t="str">
        <f t="shared" si="90"/>
        <v xml:space="preserve"> </v>
      </c>
      <c r="AE798" s="61" t="str">
        <f t="shared" si="91"/>
        <v/>
      </c>
      <c r="AF798" s="77" t="str">
        <f>_xlfn.XLOOKUP(AD798,menu!$K$2:$K$9,menu!$J$2:$J$9,"",1)</f>
        <v/>
      </c>
      <c r="AG798" s="80" t="str">
        <f>_xlfn.XLOOKUP(AH798,menu!$O$2:$O$9,menu!$H$2:$H$9,"")</f>
        <v/>
      </c>
      <c r="AI798" t="str">
        <f>_xlfn.LET(_xlpm.x,_xlfn.CONCAT(_xlfn.XLOOKUP(D798,beans!$A$2:$A$300,beans!$J$2:$J$300,"")," / ",_xlfn.XLOOKUP(D798,beans!$A$2:$A$300,beans!$K$2:$K$300,"")," - ",_xlfn.XLOOKUP(D798,beans!$A$2:$A$300,beans!$L$2:$L$300,"")),IF(_xlpm.x=" /  - ","",_xlpm.x))</f>
        <v/>
      </c>
    </row>
    <row r="799" spans="1:35" x14ac:dyDescent="0.3">
      <c r="A799">
        <v>782</v>
      </c>
      <c r="E799" t="str">
        <f>_xlfn.LET(_xlpm.x,_xlfn.XLOOKUP(D799,beans!$A$2:$A$300,beans!$H$2:$H$300,""),IF(_xlpm.x="","",_xlpm.x))</f>
        <v/>
      </c>
      <c r="F799" s="22" t="str">
        <f>_xlfn.XLOOKUP(E799,menu!$A$2:$A$37,menu!$B$2:$B$37,"")</f>
        <v/>
      </c>
      <c r="G799" t="str">
        <f>_xlfn.XLOOKUP(E799,menu!$A$2:$A$37,menu!$C$2:$C$37,"")</f>
        <v/>
      </c>
      <c r="H799" t="str">
        <f>_xlfn.LET(_xlpm.x,_xlfn.XLOOKUP(_xlfn.XLOOKUP(D799,beans!$A$2:$A$300,beans!$I$2:$I$300),menu!$E$2:$E$20,menu!$F$2:$F$20),IF(_xlpm.x="","",_xlpm.x))</f>
        <v/>
      </c>
      <c r="T799" s="68" t="str">
        <f t="shared" si="92"/>
        <v/>
      </c>
      <c r="U799" t="str">
        <f t="shared" si="88"/>
        <v/>
      </c>
      <c r="V799">
        <f t="shared" si="93"/>
        <v>0</v>
      </c>
      <c r="W799" t="str">
        <f t="shared" si="89"/>
        <v/>
      </c>
      <c r="AB799" s="28" t="str">
        <f t="shared" si="90"/>
        <v xml:space="preserve"> </v>
      </c>
      <c r="AE799" s="61" t="str">
        <f t="shared" si="91"/>
        <v/>
      </c>
      <c r="AF799" s="77" t="str">
        <f>_xlfn.XLOOKUP(AD799,menu!$K$2:$K$9,menu!$J$2:$J$9,"",1)</f>
        <v/>
      </c>
      <c r="AG799" s="80" t="str">
        <f>_xlfn.XLOOKUP(AH799,menu!$O$2:$O$9,menu!$H$2:$H$9,"")</f>
        <v/>
      </c>
      <c r="AI799" t="str">
        <f>_xlfn.LET(_xlpm.x,_xlfn.CONCAT(_xlfn.XLOOKUP(D799,beans!$A$2:$A$300,beans!$J$2:$J$300,"")," / ",_xlfn.XLOOKUP(D799,beans!$A$2:$A$300,beans!$K$2:$K$300,"")," - ",_xlfn.XLOOKUP(D799,beans!$A$2:$A$300,beans!$L$2:$L$300,"")),IF(_xlpm.x=" /  - ","",_xlpm.x))</f>
        <v/>
      </c>
    </row>
    <row r="800" spans="1:35" x14ac:dyDescent="0.3">
      <c r="A800">
        <v>783</v>
      </c>
      <c r="E800" t="str">
        <f>_xlfn.LET(_xlpm.x,_xlfn.XLOOKUP(D800,beans!$A$2:$A$300,beans!$H$2:$H$300,""),IF(_xlpm.x="","",_xlpm.x))</f>
        <v/>
      </c>
      <c r="F800" s="22" t="str">
        <f>_xlfn.XLOOKUP(E800,menu!$A$2:$A$37,menu!$B$2:$B$37,"")</f>
        <v/>
      </c>
      <c r="G800" t="str">
        <f>_xlfn.XLOOKUP(E800,menu!$A$2:$A$37,menu!$C$2:$C$37,"")</f>
        <v/>
      </c>
      <c r="H800" t="str">
        <f>_xlfn.LET(_xlpm.x,_xlfn.XLOOKUP(_xlfn.XLOOKUP(D800,beans!$A$2:$A$300,beans!$I$2:$I$300),menu!$E$2:$E$20,menu!$F$2:$F$20),IF(_xlpm.x="","",_xlpm.x))</f>
        <v/>
      </c>
      <c r="T800" s="68" t="str">
        <f t="shared" si="92"/>
        <v/>
      </c>
      <c r="U800" t="str">
        <f t="shared" si="88"/>
        <v/>
      </c>
      <c r="V800">
        <f t="shared" si="93"/>
        <v>0</v>
      </c>
      <c r="W800" t="str">
        <f t="shared" si="89"/>
        <v/>
      </c>
      <c r="AB800" s="28" t="str">
        <f t="shared" si="90"/>
        <v xml:space="preserve"> </v>
      </c>
      <c r="AE800" s="61" t="str">
        <f t="shared" si="91"/>
        <v/>
      </c>
      <c r="AF800" s="77" t="str">
        <f>_xlfn.XLOOKUP(AD800,menu!$K$2:$K$9,menu!$J$2:$J$9,"",1)</f>
        <v/>
      </c>
      <c r="AG800" s="80" t="str">
        <f>_xlfn.XLOOKUP(AH800,menu!$O$2:$O$9,menu!$H$2:$H$9,"")</f>
        <v/>
      </c>
      <c r="AI800" t="str">
        <f>_xlfn.LET(_xlpm.x,_xlfn.CONCAT(_xlfn.XLOOKUP(D800,beans!$A$2:$A$300,beans!$J$2:$J$300,"")," / ",_xlfn.XLOOKUP(D800,beans!$A$2:$A$300,beans!$K$2:$K$300,"")," - ",_xlfn.XLOOKUP(D800,beans!$A$2:$A$300,beans!$L$2:$L$300,"")),IF(_xlpm.x=" /  - ","",_xlpm.x))</f>
        <v/>
      </c>
    </row>
    <row r="801" spans="1:35" x14ac:dyDescent="0.3">
      <c r="A801">
        <v>784</v>
      </c>
      <c r="E801" t="str">
        <f>_xlfn.LET(_xlpm.x,_xlfn.XLOOKUP(D801,beans!$A$2:$A$300,beans!$H$2:$H$300,""),IF(_xlpm.x="","",_xlpm.x))</f>
        <v/>
      </c>
      <c r="F801" s="22" t="str">
        <f>_xlfn.XLOOKUP(E801,menu!$A$2:$A$37,menu!$B$2:$B$37,"")</f>
        <v/>
      </c>
      <c r="G801" t="str">
        <f>_xlfn.XLOOKUP(E801,menu!$A$2:$A$37,menu!$C$2:$C$37,"")</f>
        <v/>
      </c>
      <c r="H801" t="str">
        <f>_xlfn.LET(_xlpm.x,_xlfn.XLOOKUP(_xlfn.XLOOKUP(D801,beans!$A$2:$A$300,beans!$I$2:$I$300),menu!$E$2:$E$20,menu!$F$2:$F$20),IF(_xlpm.x="","",_xlpm.x))</f>
        <v/>
      </c>
      <c r="T801" s="68" t="str">
        <f t="shared" si="92"/>
        <v/>
      </c>
      <c r="U801" t="str">
        <f t="shared" si="88"/>
        <v/>
      </c>
      <c r="V801">
        <f t="shared" si="93"/>
        <v>0</v>
      </c>
      <c r="W801" t="str">
        <f t="shared" si="89"/>
        <v/>
      </c>
      <c r="AB801" s="28" t="str">
        <f t="shared" si="90"/>
        <v xml:space="preserve"> </v>
      </c>
      <c r="AE801" s="61" t="str">
        <f t="shared" si="91"/>
        <v/>
      </c>
      <c r="AF801" s="77" t="str">
        <f>_xlfn.XLOOKUP(AD801,menu!$K$2:$K$9,menu!$J$2:$J$9,"",1)</f>
        <v/>
      </c>
      <c r="AG801" s="80" t="str">
        <f>_xlfn.XLOOKUP(AH801,menu!$O$2:$O$9,menu!$H$2:$H$9,"")</f>
        <v/>
      </c>
      <c r="AI801" t="str">
        <f>_xlfn.LET(_xlpm.x,_xlfn.CONCAT(_xlfn.XLOOKUP(D801,beans!$A$2:$A$300,beans!$J$2:$J$300,"")," / ",_xlfn.XLOOKUP(D801,beans!$A$2:$A$300,beans!$K$2:$K$300,"")," - ",_xlfn.XLOOKUP(D801,beans!$A$2:$A$300,beans!$L$2:$L$300,"")),IF(_xlpm.x=" /  - ","",_xlpm.x))</f>
        <v/>
      </c>
    </row>
    <row r="802" spans="1:35" x14ac:dyDescent="0.3">
      <c r="A802">
        <v>785</v>
      </c>
      <c r="E802" t="str">
        <f>_xlfn.LET(_xlpm.x,_xlfn.XLOOKUP(D802,beans!$A$2:$A$300,beans!$H$2:$H$300,""),IF(_xlpm.x="","",_xlpm.x))</f>
        <v/>
      </c>
      <c r="F802" s="22" t="str">
        <f>_xlfn.XLOOKUP(E802,menu!$A$2:$A$37,menu!$B$2:$B$37,"")</f>
        <v/>
      </c>
      <c r="G802" t="str">
        <f>_xlfn.XLOOKUP(E802,menu!$A$2:$A$37,menu!$C$2:$C$37,"")</f>
        <v/>
      </c>
      <c r="H802" t="str">
        <f>_xlfn.LET(_xlpm.x,_xlfn.XLOOKUP(_xlfn.XLOOKUP(D802,beans!$A$2:$A$300,beans!$I$2:$I$300),menu!$E$2:$E$20,menu!$F$2:$F$20),IF(_xlpm.x="","",_xlpm.x))</f>
        <v/>
      </c>
      <c r="T802" s="68" t="str">
        <f t="shared" si="92"/>
        <v/>
      </c>
      <c r="U802" t="str">
        <f t="shared" si="88"/>
        <v/>
      </c>
      <c r="V802">
        <f t="shared" si="93"/>
        <v>0</v>
      </c>
      <c r="W802" t="str">
        <f t="shared" si="89"/>
        <v/>
      </c>
      <c r="AB802" s="28" t="str">
        <f t="shared" si="90"/>
        <v xml:space="preserve"> </v>
      </c>
      <c r="AE802" s="61" t="str">
        <f t="shared" si="91"/>
        <v/>
      </c>
      <c r="AF802" s="77" t="str">
        <f>_xlfn.XLOOKUP(AD802,menu!$K$2:$K$9,menu!$J$2:$J$9,"",1)</f>
        <v/>
      </c>
      <c r="AG802" s="80" t="str">
        <f>_xlfn.XLOOKUP(AH802,menu!$O$2:$O$9,menu!$H$2:$H$9,"")</f>
        <v/>
      </c>
      <c r="AI802" t="str">
        <f>_xlfn.LET(_xlpm.x,_xlfn.CONCAT(_xlfn.XLOOKUP(D802,beans!$A$2:$A$300,beans!$J$2:$J$300,"")," / ",_xlfn.XLOOKUP(D802,beans!$A$2:$A$300,beans!$K$2:$K$300,"")," - ",_xlfn.XLOOKUP(D802,beans!$A$2:$A$300,beans!$L$2:$L$300,"")),IF(_xlpm.x=" /  - ","",_xlpm.x))</f>
        <v/>
      </c>
    </row>
    <row r="803" spans="1:35" x14ac:dyDescent="0.3">
      <c r="A803">
        <v>786</v>
      </c>
      <c r="E803" t="str">
        <f>_xlfn.LET(_xlpm.x,_xlfn.XLOOKUP(D803,beans!$A$2:$A$300,beans!$H$2:$H$300,""),IF(_xlpm.x="","",_xlpm.x))</f>
        <v/>
      </c>
      <c r="F803" s="22" t="str">
        <f>_xlfn.XLOOKUP(E803,menu!$A$2:$A$37,menu!$B$2:$B$37,"")</f>
        <v/>
      </c>
      <c r="G803" t="str">
        <f>_xlfn.XLOOKUP(E803,menu!$A$2:$A$37,menu!$C$2:$C$37,"")</f>
        <v/>
      </c>
      <c r="H803" t="str">
        <f>_xlfn.LET(_xlpm.x,_xlfn.XLOOKUP(_xlfn.XLOOKUP(D803,beans!$A$2:$A$300,beans!$I$2:$I$300),menu!$E$2:$E$20,menu!$F$2:$F$20),IF(_xlpm.x="","",_xlpm.x))</f>
        <v/>
      </c>
      <c r="T803" s="68" t="str">
        <f t="shared" si="92"/>
        <v/>
      </c>
      <c r="U803" t="str">
        <f t="shared" si="88"/>
        <v/>
      </c>
      <c r="V803">
        <f t="shared" si="93"/>
        <v>0</v>
      </c>
      <c r="W803" t="str">
        <f t="shared" si="89"/>
        <v/>
      </c>
      <c r="AB803" s="28" t="str">
        <f t="shared" si="90"/>
        <v xml:space="preserve"> </v>
      </c>
      <c r="AE803" s="61" t="str">
        <f t="shared" si="91"/>
        <v/>
      </c>
      <c r="AF803" s="77" t="str">
        <f>_xlfn.XLOOKUP(AD803,menu!$K$2:$K$9,menu!$J$2:$J$9,"",1)</f>
        <v/>
      </c>
      <c r="AG803" s="80" t="str">
        <f>_xlfn.XLOOKUP(AH803,menu!$O$2:$O$9,menu!$H$2:$H$9,"")</f>
        <v/>
      </c>
      <c r="AI803" t="str">
        <f>_xlfn.LET(_xlpm.x,_xlfn.CONCAT(_xlfn.XLOOKUP(D803,beans!$A$2:$A$300,beans!$J$2:$J$300,"")," / ",_xlfn.XLOOKUP(D803,beans!$A$2:$A$300,beans!$K$2:$K$300,"")," - ",_xlfn.XLOOKUP(D803,beans!$A$2:$A$300,beans!$L$2:$L$300,"")),IF(_xlpm.x=" /  - ","",_xlpm.x))</f>
        <v/>
      </c>
    </row>
    <row r="804" spans="1:35" x14ac:dyDescent="0.3">
      <c r="A804">
        <v>787</v>
      </c>
      <c r="E804" t="str">
        <f>_xlfn.LET(_xlpm.x,_xlfn.XLOOKUP(D804,beans!$A$2:$A$300,beans!$H$2:$H$300,""),IF(_xlpm.x="","",_xlpm.x))</f>
        <v/>
      </c>
      <c r="F804" s="22" t="str">
        <f>_xlfn.XLOOKUP(E804,menu!$A$2:$A$37,menu!$B$2:$B$37,"")</f>
        <v/>
      </c>
      <c r="G804" t="str">
        <f>_xlfn.XLOOKUP(E804,menu!$A$2:$A$37,menu!$C$2:$C$37,"")</f>
        <v/>
      </c>
      <c r="H804" t="str">
        <f>_xlfn.LET(_xlpm.x,_xlfn.XLOOKUP(_xlfn.XLOOKUP(D804,beans!$A$2:$A$300,beans!$I$2:$I$300),menu!$E$2:$E$20,menu!$F$2:$F$20),IF(_xlpm.x="","",_xlpm.x))</f>
        <v/>
      </c>
      <c r="T804" s="68" t="str">
        <f t="shared" si="92"/>
        <v/>
      </c>
      <c r="U804" t="str">
        <f t="shared" si="88"/>
        <v/>
      </c>
      <c r="V804">
        <f t="shared" si="93"/>
        <v>0</v>
      </c>
      <c r="W804" t="str">
        <f t="shared" si="89"/>
        <v/>
      </c>
      <c r="AB804" s="28" t="str">
        <f t="shared" si="90"/>
        <v xml:space="preserve"> </v>
      </c>
      <c r="AE804" s="61" t="str">
        <f t="shared" si="91"/>
        <v/>
      </c>
      <c r="AF804" s="77" t="str">
        <f>_xlfn.XLOOKUP(AD804,menu!$K$2:$K$9,menu!$J$2:$J$9,"",1)</f>
        <v/>
      </c>
      <c r="AG804" s="80" t="str">
        <f>_xlfn.XLOOKUP(AH804,menu!$O$2:$O$9,menu!$H$2:$H$9,"")</f>
        <v/>
      </c>
      <c r="AI804" t="str">
        <f>_xlfn.LET(_xlpm.x,_xlfn.CONCAT(_xlfn.XLOOKUP(D804,beans!$A$2:$A$300,beans!$J$2:$J$300,"")," / ",_xlfn.XLOOKUP(D804,beans!$A$2:$A$300,beans!$K$2:$K$300,"")," - ",_xlfn.XLOOKUP(D804,beans!$A$2:$A$300,beans!$L$2:$L$300,"")),IF(_xlpm.x=" /  - ","",_xlpm.x))</f>
        <v/>
      </c>
    </row>
    <row r="805" spans="1:35" x14ac:dyDescent="0.3">
      <c r="A805">
        <v>788</v>
      </c>
      <c r="E805" t="str">
        <f>_xlfn.LET(_xlpm.x,_xlfn.XLOOKUP(D805,beans!$A$2:$A$300,beans!$H$2:$H$300,""),IF(_xlpm.x="","",_xlpm.x))</f>
        <v/>
      </c>
      <c r="F805" s="22" t="str">
        <f>_xlfn.XLOOKUP(E805,menu!$A$2:$A$37,menu!$B$2:$B$37,"")</f>
        <v/>
      </c>
      <c r="G805" t="str">
        <f>_xlfn.XLOOKUP(E805,menu!$A$2:$A$37,menu!$C$2:$C$37,"")</f>
        <v/>
      </c>
      <c r="H805" t="str">
        <f>_xlfn.LET(_xlpm.x,_xlfn.XLOOKUP(_xlfn.XLOOKUP(D805,beans!$A$2:$A$300,beans!$I$2:$I$300),menu!$E$2:$E$20,menu!$F$2:$F$20),IF(_xlpm.x="","",_xlpm.x))</f>
        <v/>
      </c>
      <c r="T805" s="68" t="str">
        <f t="shared" si="92"/>
        <v/>
      </c>
      <c r="U805" t="str">
        <f t="shared" si="88"/>
        <v/>
      </c>
      <c r="V805">
        <f t="shared" si="93"/>
        <v>0</v>
      </c>
      <c r="W805" t="str">
        <f t="shared" si="89"/>
        <v/>
      </c>
      <c r="AB805" s="28" t="str">
        <f t="shared" si="90"/>
        <v xml:space="preserve"> </v>
      </c>
      <c r="AE805" s="61" t="str">
        <f t="shared" si="91"/>
        <v/>
      </c>
      <c r="AF805" s="77" t="str">
        <f>_xlfn.XLOOKUP(AD805,menu!$K$2:$K$9,menu!$J$2:$J$9,"",1)</f>
        <v/>
      </c>
      <c r="AG805" s="80" t="str">
        <f>_xlfn.XLOOKUP(AH805,menu!$O$2:$O$9,menu!$H$2:$H$9,"")</f>
        <v/>
      </c>
      <c r="AI805" t="str">
        <f>_xlfn.LET(_xlpm.x,_xlfn.CONCAT(_xlfn.XLOOKUP(D805,beans!$A$2:$A$300,beans!$J$2:$J$300,"")," / ",_xlfn.XLOOKUP(D805,beans!$A$2:$A$300,beans!$K$2:$K$300,"")," - ",_xlfn.XLOOKUP(D805,beans!$A$2:$A$300,beans!$L$2:$L$300,"")),IF(_xlpm.x=" /  - ","",_xlpm.x))</f>
        <v/>
      </c>
    </row>
    <row r="806" spans="1:35" x14ac:dyDescent="0.3">
      <c r="A806">
        <v>789</v>
      </c>
      <c r="E806" t="str">
        <f>_xlfn.LET(_xlpm.x,_xlfn.XLOOKUP(D806,beans!$A$2:$A$300,beans!$H$2:$H$300,""),IF(_xlpm.x="","",_xlpm.x))</f>
        <v/>
      </c>
      <c r="F806" s="22" t="str">
        <f>_xlfn.XLOOKUP(E806,menu!$A$2:$A$37,menu!$B$2:$B$37,"")</f>
        <v/>
      </c>
      <c r="G806" t="str">
        <f>_xlfn.XLOOKUP(E806,menu!$A$2:$A$37,menu!$C$2:$C$37,"")</f>
        <v/>
      </c>
      <c r="H806" t="str">
        <f>_xlfn.LET(_xlpm.x,_xlfn.XLOOKUP(_xlfn.XLOOKUP(D806,beans!$A$2:$A$300,beans!$I$2:$I$300),menu!$E$2:$E$20,menu!$F$2:$F$20),IF(_xlpm.x="","",_xlpm.x))</f>
        <v/>
      </c>
      <c r="T806" s="68" t="str">
        <f t="shared" si="92"/>
        <v/>
      </c>
      <c r="U806" t="str">
        <f t="shared" si="88"/>
        <v/>
      </c>
      <c r="V806">
        <f t="shared" si="93"/>
        <v>0</v>
      </c>
      <c r="W806" t="str">
        <f t="shared" si="89"/>
        <v/>
      </c>
      <c r="AB806" s="28" t="str">
        <f t="shared" si="90"/>
        <v xml:space="preserve"> </v>
      </c>
      <c r="AE806" s="61" t="str">
        <f t="shared" si="91"/>
        <v/>
      </c>
      <c r="AF806" s="77" t="str">
        <f>_xlfn.XLOOKUP(AD806,menu!$K$2:$K$9,menu!$J$2:$J$9,"",1)</f>
        <v/>
      </c>
      <c r="AG806" s="80" t="str">
        <f>_xlfn.XLOOKUP(AH806,menu!$O$2:$O$9,menu!$H$2:$H$9,"")</f>
        <v/>
      </c>
      <c r="AI806" t="str">
        <f>_xlfn.LET(_xlpm.x,_xlfn.CONCAT(_xlfn.XLOOKUP(D806,beans!$A$2:$A$300,beans!$J$2:$J$300,"")," / ",_xlfn.XLOOKUP(D806,beans!$A$2:$A$300,beans!$K$2:$K$300,"")," - ",_xlfn.XLOOKUP(D806,beans!$A$2:$A$300,beans!$L$2:$L$300,"")),IF(_xlpm.x=" /  - ","",_xlpm.x))</f>
        <v/>
      </c>
    </row>
    <row r="807" spans="1:35" x14ac:dyDescent="0.3">
      <c r="A807">
        <v>790</v>
      </c>
      <c r="E807" t="str">
        <f>_xlfn.LET(_xlpm.x,_xlfn.XLOOKUP(D807,beans!$A$2:$A$300,beans!$H$2:$H$300,""),IF(_xlpm.x="","",_xlpm.x))</f>
        <v/>
      </c>
      <c r="F807" s="22" t="str">
        <f>_xlfn.XLOOKUP(E807,menu!$A$2:$A$37,menu!$B$2:$B$37,"")</f>
        <v/>
      </c>
      <c r="G807" t="str">
        <f>_xlfn.XLOOKUP(E807,menu!$A$2:$A$37,menu!$C$2:$C$37,"")</f>
        <v/>
      </c>
      <c r="H807" t="str">
        <f>_xlfn.LET(_xlpm.x,_xlfn.XLOOKUP(_xlfn.XLOOKUP(D807,beans!$A$2:$A$300,beans!$I$2:$I$300),menu!$E$2:$E$20,menu!$F$2:$F$20),IF(_xlpm.x="","",_xlpm.x))</f>
        <v/>
      </c>
      <c r="T807" s="68" t="str">
        <f t="shared" si="92"/>
        <v/>
      </c>
      <c r="U807" t="str">
        <f t="shared" si="88"/>
        <v/>
      </c>
      <c r="V807">
        <f t="shared" si="93"/>
        <v>0</v>
      </c>
      <c r="W807" t="str">
        <f t="shared" si="89"/>
        <v/>
      </c>
      <c r="AB807" s="28" t="str">
        <f t="shared" si="90"/>
        <v xml:space="preserve"> </v>
      </c>
      <c r="AE807" s="61" t="str">
        <f t="shared" si="91"/>
        <v/>
      </c>
      <c r="AF807" s="77" t="str">
        <f>_xlfn.XLOOKUP(AD807,menu!$K$2:$K$9,menu!$J$2:$J$9,"",1)</f>
        <v/>
      </c>
      <c r="AG807" s="80" t="str">
        <f>_xlfn.XLOOKUP(AH807,menu!$O$2:$O$9,menu!$H$2:$H$9,"")</f>
        <v/>
      </c>
      <c r="AI807" t="str">
        <f>_xlfn.LET(_xlpm.x,_xlfn.CONCAT(_xlfn.XLOOKUP(D807,beans!$A$2:$A$300,beans!$J$2:$J$300,"")," / ",_xlfn.XLOOKUP(D807,beans!$A$2:$A$300,beans!$K$2:$K$300,"")," - ",_xlfn.XLOOKUP(D807,beans!$A$2:$A$300,beans!$L$2:$L$300,"")),IF(_xlpm.x=" /  - ","",_xlpm.x))</f>
        <v/>
      </c>
    </row>
    <row r="808" spans="1:35" x14ac:dyDescent="0.3">
      <c r="A808">
        <v>791</v>
      </c>
      <c r="E808" t="str">
        <f>_xlfn.LET(_xlpm.x,_xlfn.XLOOKUP(D808,beans!$A$2:$A$300,beans!$H$2:$H$300,""),IF(_xlpm.x="","",_xlpm.x))</f>
        <v/>
      </c>
      <c r="F808" s="22" t="str">
        <f>_xlfn.XLOOKUP(E808,menu!$A$2:$A$37,menu!$B$2:$B$37,"")</f>
        <v/>
      </c>
      <c r="G808" t="str">
        <f>_xlfn.XLOOKUP(E808,menu!$A$2:$A$37,menu!$C$2:$C$37,"")</f>
        <v/>
      </c>
      <c r="H808" t="str">
        <f>_xlfn.LET(_xlpm.x,_xlfn.XLOOKUP(_xlfn.XLOOKUP(D808,beans!$A$2:$A$300,beans!$I$2:$I$300),menu!$E$2:$E$20,menu!$F$2:$F$20),IF(_xlpm.x="","",_xlpm.x))</f>
        <v/>
      </c>
      <c r="T808" s="68" t="str">
        <f t="shared" si="92"/>
        <v/>
      </c>
      <c r="U808" t="str">
        <f t="shared" si="88"/>
        <v/>
      </c>
      <c r="V808">
        <f t="shared" si="93"/>
        <v>0</v>
      </c>
      <c r="W808" t="str">
        <f t="shared" si="89"/>
        <v/>
      </c>
      <c r="AB808" s="28" t="str">
        <f t="shared" si="90"/>
        <v xml:space="preserve"> </v>
      </c>
      <c r="AE808" s="61" t="str">
        <f t="shared" si="91"/>
        <v/>
      </c>
      <c r="AF808" s="77" t="str">
        <f>_xlfn.XLOOKUP(AD808,menu!$K$2:$K$9,menu!$J$2:$J$9,"",1)</f>
        <v/>
      </c>
      <c r="AG808" s="80" t="str">
        <f>_xlfn.XLOOKUP(AH808,menu!$O$2:$O$9,menu!$H$2:$H$9,"")</f>
        <v/>
      </c>
      <c r="AI808" t="str">
        <f>_xlfn.LET(_xlpm.x,_xlfn.CONCAT(_xlfn.XLOOKUP(D808,beans!$A$2:$A$300,beans!$J$2:$J$300,"")," / ",_xlfn.XLOOKUP(D808,beans!$A$2:$A$300,beans!$K$2:$K$300,"")," - ",_xlfn.XLOOKUP(D808,beans!$A$2:$A$300,beans!$L$2:$L$300,"")),IF(_xlpm.x=" /  - ","",_xlpm.x))</f>
        <v/>
      </c>
    </row>
    <row r="809" spans="1:35" x14ac:dyDescent="0.3">
      <c r="A809">
        <v>792</v>
      </c>
      <c r="E809" t="str">
        <f>_xlfn.LET(_xlpm.x,_xlfn.XLOOKUP(D809,beans!$A$2:$A$300,beans!$H$2:$H$300,""),IF(_xlpm.x="","",_xlpm.x))</f>
        <v/>
      </c>
      <c r="F809" s="22" t="str">
        <f>_xlfn.XLOOKUP(E809,menu!$A$2:$A$37,menu!$B$2:$B$37,"")</f>
        <v/>
      </c>
      <c r="G809" t="str">
        <f>_xlfn.XLOOKUP(E809,menu!$A$2:$A$37,menu!$C$2:$C$37,"")</f>
        <v/>
      </c>
      <c r="H809" t="str">
        <f>_xlfn.LET(_xlpm.x,_xlfn.XLOOKUP(_xlfn.XLOOKUP(D809,beans!$A$2:$A$300,beans!$I$2:$I$300),menu!$E$2:$E$20,menu!$F$2:$F$20),IF(_xlpm.x="","",_xlpm.x))</f>
        <v/>
      </c>
      <c r="T809" s="68" t="str">
        <f t="shared" si="92"/>
        <v/>
      </c>
      <c r="U809" t="str">
        <f t="shared" si="88"/>
        <v/>
      </c>
      <c r="V809">
        <f t="shared" si="93"/>
        <v>0</v>
      </c>
      <c r="W809" t="str">
        <f t="shared" si="89"/>
        <v/>
      </c>
      <c r="AB809" s="28" t="str">
        <f t="shared" si="90"/>
        <v xml:space="preserve"> </v>
      </c>
      <c r="AE809" s="61" t="str">
        <f t="shared" si="91"/>
        <v/>
      </c>
      <c r="AF809" s="77" t="str">
        <f>_xlfn.XLOOKUP(AD809,menu!$K$2:$K$9,menu!$J$2:$J$9,"",1)</f>
        <v/>
      </c>
      <c r="AG809" s="80" t="str">
        <f>_xlfn.XLOOKUP(AH809,menu!$O$2:$O$9,menu!$H$2:$H$9,"")</f>
        <v/>
      </c>
      <c r="AI809" t="str">
        <f>_xlfn.LET(_xlpm.x,_xlfn.CONCAT(_xlfn.XLOOKUP(D809,beans!$A$2:$A$300,beans!$J$2:$J$300,"")," / ",_xlfn.XLOOKUP(D809,beans!$A$2:$A$300,beans!$K$2:$K$300,"")," - ",_xlfn.XLOOKUP(D809,beans!$A$2:$A$300,beans!$L$2:$L$300,"")),IF(_xlpm.x=" /  - ","",_xlpm.x))</f>
        <v/>
      </c>
    </row>
    <row r="810" spans="1:35" x14ac:dyDescent="0.3">
      <c r="A810">
        <v>793</v>
      </c>
      <c r="E810" t="str">
        <f>_xlfn.LET(_xlpm.x,_xlfn.XLOOKUP(D810,beans!$A$2:$A$300,beans!$H$2:$H$300,""),IF(_xlpm.x="","",_xlpm.x))</f>
        <v/>
      </c>
      <c r="F810" s="22" t="str">
        <f>_xlfn.XLOOKUP(E810,menu!$A$2:$A$37,menu!$B$2:$B$37,"")</f>
        <v/>
      </c>
      <c r="G810" t="str">
        <f>_xlfn.XLOOKUP(E810,menu!$A$2:$A$37,menu!$C$2:$C$37,"")</f>
        <v/>
      </c>
      <c r="H810" t="str">
        <f>_xlfn.LET(_xlpm.x,_xlfn.XLOOKUP(_xlfn.XLOOKUP(D810,beans!$A$2:$A$300,beans!$I$2:$I$300),menu!$E$2:$E$20,menu!$F$2:$F$20),IF(_xlpm.x="","",_xlpm.x))</f>
        <v/>
      </c>
      <c r="T810" s="68" t="str">
        <f t="shared" si="92"/>
        <v/>
      </c>
      <c r="U810" t="str">
        <f t="shared" si="88"/>
        <v/>
      </c>
      <c r="V810">
        <f t="shared" si="93"/>
        <v>0</v>
      </c>
      <c r="W810" t="str">
        <f t="shared" si="89"/>
        <v/>
      </c>
      <c r="AB810" s="28" t="str">
        <f t="shared" si="90"/>
        <v xml:space="preserve"> </v>
      </c>
      <c r="AE810" s="61" t="str">
        <f t="shared" si="91"/>
        <v/>
      </c>
      <c r="AF810" s="77" t="str">
        <f>_xlfn.XLOOKUP(AD810,menu!$K$2:$K$9,menu!$J$2:$J$9,"",1)</f>
        <v/>
      </c>
      <c r="AG810" s="80" t="str">
        <f>_xlfn.XLOOKUP(AH810,menu!$O$2:$O$9,menu!$H$2:$H$9,"")</f>
        <v/>
      </c>
      <c r="AI810" t="str">
        <f>_xlfn.LET(_xlpm.x,_xlfn.CONCAT(_xlfn.XLOOKUP(D810,beans!$A$2:$A$300,beans!$J$2:$J$300,"")," / ",_xlfn.XLOOKUP(D810,beans!$A$2:$A$300,beans!$K$2:$K$300,"")," - ",_xlfn.XLOOKUP(D810,beans!$A$2:$A$300,beans!$L$2:$L$300,"")),IF(_xlpm.x=" /  - ","",_xlpm.x))</f>
        <v/>
      </c>
    </row>
    <row r="811" spans="1:35" x14ac:dyDescent="0.3">
      <c r="A811">
        <v>794</v>
      </c>
      <c r="E811" t="str">
        <f>_xlfn.LET(_xlpm.x,_xlfn.XLOOKUP(D811,beans!$A$2:$A$300,beans!$H$2:$H$300,""),IF(_xlpm.x="","",_xlpm.x))</f>
        <v/>
      </c>
      <c r="F811" s="22" t="str">
        <f>_xlfn.XLOOKUP(E811,menu!$A$2:$A$37,menu!$B$2:$B$37,"")</f>
        <v/>
      </c>
      <c r="G811" t="str">
        <f>_xlfn.XLOOKUP(E811,menu!$A$2:$A$37,menu!$C$2:$C$37,"")</f>
        <v/>
      </c>
      <c r="H811" t="str">
        <f>_xlfn.LET(_xlpm.x,_xlfn.XLOOKUP(_xlfn.XLOOKUP(D811,beans!$A$2:$A$300,beans!$I$2:$I$300),menu!$E$2:$E$20,menu!$F$2:$F$20),IF(_xlpm.x="","",_xlpm.x))</f>
        <v/>
      </c>
      <c r="T811" s="68" t="str">
        <f t="shared" si="92"/>
        <v/>
      </c>
      <c r="U811" t="str">
        <f t="shared" si="88"/>
        <v/>
      </c>
      <c r="V811">
        <f t="shared" si="93"/>
        <v>0</v>
      </c>
      <c r="W811" t="str">
        <f t="shared" si="89"/>
        <v/>
      </c>
      <c r="AB811" s="28" t="str">
        <f t="shared" si="90"/>
        <v xml:space="preserve"> </v>
      </c>
      <c r="AE811" s="61" t="str">
        <f t="shared" si="91"/>
        <v/>
      </c>
      <c r="AF811" s="77" t="str">
        <f>_xlfn.XLOOKUP(AD811,menu!$K$2:$K$9,menu!$J$2:$J$9,"",1)</f>
        <v/>
      </c>
      <c r="AG811" s="80" t="str">
        <f>_xlfn.XLOOKUP(AH811,menu!$O$2:$O$9,menu!$H$2:$H$9,"")</f>
        <v/>
      </c>
      <c r="AI811" t="str">
        <f>_xlfn.LET(_xlpm.x,_xlfn.CONCAT(_xlfn.XLOOKUP(D811,beans!$A$2:$A$300,beans!$J$2:$J$300,"")," / ",_xlfn.XLOOKUP(D811,beans!$A$2:$A$300,beans!$K$2:$K$300,"")," - ",_xlfn.XLOOKUP(D811,beans!$A$2:$A$300,beans!$L$2:$L$300,"")),IF(_xlpm.x=" /  - ","",_xlpm.x))</f>
        <v/>
      </c>
    </row>
    <row r="812" spans="1:35" x14ac:dyDescent="0.3">
      <c r="A812">
        <v>795</v>
      </c>
      <c r="E812" t="str">
        <f>_xlfn.LET(_xlpm.x,_xlfn.XLOOKUP(D812,beans!$A$2:$A$300,beans!$H$2:$H$300,""),IF(_xlpm.x="","",_xlpm.x))</f>
        <v/>
      </c>
      <c r="F812" s="22" t="str">
        <f>_xlfn.XLOOKUP(E812,menu!$A$2:$A$37,menu!$B$2:$B$37,"")</f>
        <v/>
      </c>
      <c r="G812" t="str">
        <f>_xlfn.XLOOKUP(E812,menu!$A$2:$A$37,menu!$C$2:$C$37,"")</f>
        <v/>
      </c>
      <c r="H812" t="str">
        <f>_xlfn.LET(_xlpm.x,_xlfn.XLOOKUP(_xlfn.XLOOKUP(D812,beans!$A$2:$A$300,beans!$I$2:$I$300),menu!$E$2:$E$20,menu!$F$2:$F$20),IF(_xlpm.x="","",_xlpm.x))</f>
        <v/>
      </c>
      <c r="T812" s="68" t="str">
        <f t="shared" si="92"/>
        <v/>
      </c>
      <c r="U812" t="str">
        <f t="shared" si="88"/>
        <v/>
      </c>
      <c r="V812">
        <f t="shared" si="93"/>
        <v>0</v>
      </c>
      <c r="W812" t="str">
        <f t="shared" si="89"/>
        <v/>
      </c>
      <c r="AB812" s="28" t="str">
        <f t="shared" si="90"/>
        <v xml:space="preserve"> </v>
      </c>
      <c r="AE812" s="61" t="str">
        <f t="shared" si="91"/>
        <v/>
      </c>
      <c r="AF812" s="77" t="str">
        <f>_xlfn.XLOOKUP(AD812,menu!$K$2:$K$9,menu!$J$2:$J$9,"",1)</f>
        <v/>
      </c>
      <c r="AG812" s="80" t="str">
        <f>_xlfn.XLOOKUP(AH812,menu!$O$2:$O$9,menu!$H$2:$H$9,"")</f>
        <v/>
      </c>
      <c r="AI812" t="str">
        <f>_xlfn.LET(_xlpm.x,_xlfn.CONCAT(_xlfn.XLOOKUP(D812,beans!$A$2:$A$300,beans!$J$2:$J$300,"")," / ",_xlfn.XLOOKUP(D812,beans!$A$2:$A$300,beans!$K$2:$K$300,"")," - ",_xlfn.XLOOKUP(D812,beans!$A$2:$A$300,beans!$L$2:$L$300,"")),IF(_xlpm.x=" /  - ","",_xlpm.x))</f>
        <v/>
      </c>
    </row>
    <row r="813" spans="1:35" x14ac:dyDescent="0.3">
      <c r="A813">
        <v>796</v>
      </c>
      <c r="E813" t="str">
        <f>_xlfn.LET(_xlpm.x,_xlfn.XLOOKUP(D813,beans!$A$2:$A$300,beans!$H$2:$H$300,""),IF(_xlpm.x="","",_xlpm.x))</f>
        <v/>
      </c>
      <c r="F813" s="22" t="str">
        <f>_xlfn.XLOOKUP(E813,menu!$A$2:$A$37,menu!$B$2:$B$37,"")</f>
        <v/>
      </c>
      <c r="G813" t="str">
        <f>_xlfn.XLOOKUP(E813,menu!$A$2:$A$37,menu!$C$2:$C$37,"")</f>
        <v/>
      </c>
      <c r="H813" t="str">
        <f>_xlfn.LET(_xlpm.x,_xlfn.XLOOKUP(_xlfn.XLOOKUP(D813,beans!$A$2:$A$300,beans!$I$2:$I$300),menu!$E$2:$E$20,menu!$F$2:$F$20),IF(_xlpm.x="","",_xlpm.x))</f>
        <v/>
      </c>
      <c r="T813" s="68" t="str">
        <f t="shared" si="92"/>
        <v/>
      </c>
      <c r="U813" t="str">
        <f t="shared" si="88"/>
        <v/>
      </c>
      <c r="V813">
        <f t="shared" si="93"/>
        <v>0</v>
      </c>
      <c r="W813" t="str">
        <f t="shared" si="89"/>
        <v/>
      </c>
      <c r="AB813" s="28" t="str">
        <f t="shared" si="90"/>
        <v xml:space="preserve"> </v>
      </c>
      <c r="AE813" s="61" t="str">
        <f t="shared" si="91"/>
        <v/>
      </c>
      <c r="AF813" s="77" t="str">
        <f>_xlfn.XLOOKUP(AD813,menu!$K$2:$K$9,menu!$J$2:$J$9,"",1)</f>
        <v/>
      </c>
      <c r="AG813" s="80" t="str">
        <f>_xlfn.XLOOKUP(AH813,menu!$O$2:$O$9,menu!$H$2:$H$9,"")</f>
        <v/>
      </c>
      <c r="AI813" t="str">
        <f>_xlfn.LET(_xlpm.x,_xlfn.CONCAT(_xlfn.XLOOKUP(D813,beans!$A$2:$A$300,beans!$J$2:$J$300,"")," / ",_xlfn.XLOOKUP(D813,beans!$A$2:$A$300,beans!$K$2:$K$300,"")," - ",_xlfn.XLOOKUP(D813,beans!$A$2:$A$300,beans!$L$2:$L$300,"")),IF(_xlpm.x=" /  - ","",_xlpm.x))</f>
        <v/>
      </c>
    </row>
    <row r="814" spans="1:35" x14ac:dyDescent="0.3">
      <c r="A814">
        <v>797</v>
      </c>
      <c r="E814" t="str">
        <f>_xlfn.LET(_xlpm.x,_xlfn.XLOOKUP(D814,beans!$A$2:$A$300,beans!$H$2:$H$300,""),IF(_xlpm.x="","",_xlpm.x))</f>
        <v/>
      </c>
      <c r="F814" s="22" t="str">
        <f>_xlfn.XLOOKUP(E814,menu!$A$2:$A$37,menu!$B$2:$B$37,"")</f>
        <v/>
      </c>
      <c r="G814" t="str">
        <f>_xlfn.XLOOKUP(E814,menu!$A$2:$A$37,menu!$C$2:$C$37,"")</f>
        <v/>
      </c>
      <c r="H814" t="str">
        <f>_xlfn.LET(_xlpm.x,_xlfn.XLOOKUP(_xlfn.XLOOKUP(D814,beans!$A$2:$A$300,beans!$I$2:$I$300),menu!$E$2:$E$20,menu!$F$2:$F$20),IF(_xlpm.x="","",_xlpm.x))</f>
        <v/>
      </c>
      <c r="T814" s="68" t="str">
        <f t="shared" si="92"/>
        <v/>
      </c>
      <c r="U814" t="str">
        <f t="shared" si="88"/>
        <v/>
      </c>
      <c r="V814">
        <f t="shared" si="93"/>
        <v>0</v>
      </c>
      <c r="W814" t="str">
        <f t="shared" si="89"/>
        <v/>
      </c>
      <c r="AB814" s="28" t="str">
        <f t="shared" si="90"/>
        <v xml:space="preserve"> </v>
      </c>
      <c r="AE814" s="61" t="str">
        <f t="shared" si="91"/>
        <v/>
      </c>
      <c r="AF814" s="77" t="str">
        <f>_xlfn.XLOOKUP(AD814,menu!$K$2:$K$9,menu!$J$2:$J$9,"",1)</f>
        <v/>
      </c>
      <c r="AG814" s="80" t="str">
        <f>_xlfn.XLOOKUP(AH814,menu!$O$2:$O$9,menu!$H$2:$H$9,"")</f>
        <v/>
      </c>
      <c r="AI814" t="str">
        <f>_xlfn.LET(_xlpm.x,_xlfn.CONCAT(_xlfn.XLOOKUP(D814,beans!$A$2:$A$300,beans!$J$2:$J$300,"")," / ",_xlfn.XLOOKUP(D814,beans!$A$2:$A$300,beans!$K$2:$K$300,"")," - ",_xlfn.XLOOKUP(D814,beans!$A$2:$A$300,beans!$L$2:$L$300,"")),IF(_xlpm.x=" /  - ","",_xlpm.x))</f>
        <v/>
      </c>
    </row>
    <row r="815" spans="1:35" x14ac:dyDescent="0.3">
      <c r="A815">
        <v>798</v>
      </c>
      <c r="E815" t="str">
        <f>_xlfn.LET(_xlpm.x,_xlfn.XLOOKUP(D815,beans!$A$2:$A$300,beans!$H$2:$H$300,""),IF(_xlpm.x="","",_xlpm.x))</f>
        <v/>
      </c>
      <c r="F815" s="22" t="str">
        <f>_xlfn.XLOOKUP(E815,menu!$A$2:$A$37,menu!$B$2:$B$37,"")</f>
        <v/>
      </c>
      <c r="G815" t="str">
        <f>_xlfn.XLOOKUP(E815,menu!$A$2:$A$37,menu!$C$2:$C$37,"")</f>
        <v/>
      </c>
      <c r="H815" t="str">
        <f>_xlfn.LET(_xlpm.x,_xlfn.XLOOKUP(_xlfn.XLOOKUP(D815,beans!$A$2:$A$300,beans!$I$2:$I$300),menu!$E$2:$E$20,menu!$F$2:$F$20),IF(_xlpm.x="","",_xlpm.x))</f>
        <v/>
      </c>
      <c r="T815" s="68" t="str">
        <f t="shared" si="92"/>
        <v/>
      </c>
      <c r="U815" t="str">
        <f t="shared" si="88"/>
        <v/>
      </c>
      <c r="V815">
        <f t="shared" si="93"/>
        <v>0</v>
      </c>
      <c r="W815" t="str">
        <f t="shared" si="89"/>
        <v/>
      </c>
      <c r="AB815" s="28" t="str">
        <f t="shared" si="90"/>
        <v xml:space="preserve"> </v>
      </c>
      <c r="AE815" s="61" t="str">
        <f t="shared" si="91"/>
        <v/>
      </c>
      <c r="AF815" s="77" t="str">
        <f>_xlfn.XLOOKUP(AD815,menu!$K$2:$K$9,menu!$J$2:$J$9,"",1)</f>
        <v/>
      </c>
      <c r="AG815" s="80" t="str">
        <f>_xlfn.XLOOKUP(AH815,menu!$O$2:$O$9,menu!$H$2:$H$9,"")</f>
        <v/>
      </c>
      <c r="AI815" t="str">
        <f>_xlfn.LET(_xlpm.x,_xlfn.CONCAT(_xlfn.XLOOKUP(D815,beans!$A$2:$A$300,beans!$J$2:$J$300,"")," / ",_xlfn.XLOOKUP(D815,beans!$A$2:$A$300,beans!$K$2:$K$300,"")," - ",_xlfn.XLOOKUP(D815,beans!$A$2:$A$300,beans!$L$2:$L$300,"")),IF(_xlpm.x=" /  - ","",_xlpm.x))</f>
        <v/>
      </c>
    </row>
    <row r="816" spans="1:35" x14ac:dyDescent="0.3">
      <c r="A816">
        <v>799</v>
      </c>
      <c r="E816" t="str">
        <f>_xlfn.LET(_xlpm.x,_xlfn.XLOOKUP(D816,beans!$A$2:$A$300,beans!$H$2:$H$300,""),IF(_xlpm.x="","",_xlpm.x))</f>
        <v/>
      </c>
      <c r="F816" s="22" t="str">
        <f>_xlfn.XLOOKUP(E816,menu!$A$2:$A$37,menu!$B$2:$B$37,"")</f>
        <v/>
      </c>
      <c r="G816" t="str">
        <f>_xlfn.XLOOKUP(E816,menu!$A$2:$A$37,menu!$C$2:$C$37,"")</f>
        <v/>
      </c>
      <c r="H816" t="str">
        <f>_xlfn.LET(_xlpm.x,_xlfn.XLOOKUP(_xlfn.XLOOKUP(D816,beans!$A$2:$A$300,beans!$I$2:$I$300),menu!$E$2:$E$20,menu!$F$2:$F$20),IF(_xlpm.x="","",_xlpm.x))</f>
        <v/>
      </c>
      <c r="T816" s="68" t="str">
        <f t="shared" si="92"/>
        <v/>
      </c>
      <c r="U816" t="str">
        <f t="shared" si="88"/>
        <v/>
      </c>
      <c r="V816">
        <f t="shared" si="93"/>
        <v>0</v>
      </c>
      <c r="W816" t="str">
        <f t="shared" si="89"/>
        <v/>
      </c>
      <c r="AB816" s="28" t="str">
        <f t="shared" si="90"/>
        <v xml:space="preserve"> </v>
      </c>
      <c r="AE816" s="61" t="str">
        <f t="shared" si="91"/>
        <v/>
      </c>
      <c r="AF816" s="77" t="str">
        <f>_xlfn.XLOOKUP(AD816,menu!$K$2:$K$9,menu!$J$2:$J$9,"",1)</f>
        <v/>
      </c>
      <c r="AG816" s="80" t="str">
        <f>_xlfn.XLOOKUP(AH816,menu!$O$2:$O$9,menu!$H$2:$H$9,"")</f>
        <v/>
      </c>
      <c r="AI816" t="str">
        <f>_xlfn.LET(_xlpm.x,_xlfn.CONCAT(_xlfn.XLOOKUP(D816,beans!$A$2:$A$300,beans!$J$2:$J$300,"")," / ",_xlfn.XLOOKUP(D816,beans!$A$2:$A$300,beans!$K$2:$K$300,"")," - ",_xlfn.XLOOKUP(D816,beans!$A$2:$A$300,beans!$L$2:$L$300,"")),IF(_xlpm.x=" /  - ","",_xlpm.x))</f>
        <v/>
      </c>
    </row>
    <row r="817" spans="1:35" x14ac:dyDescent="0.3">
      <c r="A817">
        <v>800</v>
      </c>
      <c r="E817" t="str">
        <f>_xlfn.LET(_xlpm.x,_xlfn.XLOOKUP(D817,beans!$A$2:$A$300,beans!$H$2:$H$300,""),IF(_xlpm.x="","",_xlpm.x))</f>
        <v/>
      </c>
      <c r="F817" s="22" t="str">
        <f>_xlfn.XLOOKUP(E817,menu!$A$2:$A$37,menu!$B$2:$B$37,"")</f>
        <v/>
      </c>
      <c r="G817" t="str">
        <f>_xlfn.XLOOKUP(E817,menu!$A$2:$A$37,menu!$C$2:$C$37,"")</f>
        <v/>
      </c>
      <c r="H817" t="str">
        <f>_xlfn.LET(_xlpm.x,_xlfn.XLOOKUP(_xlfn.XLOOKUP(D817,beans!$A$2:$A$300,beans!$I$2:$I$300),menu!$E$2:$E$20,menu!$F$2:$F$20),IF(_xlpm.x="","",_xlpm.x))</f>
        <v/>
      </c>
      <c r="T817" s="68" t="str">
        <f t="shared" si="92"/>
        <v/>
      </c>
      <c r="U817" t="str">
        <f t="shared" si="88"/>
        <v/>
      </c>
      <c r="V817">
        <f t="shared" si="93"/>
        <v>0</v>
      </c>
      <c r="W817" t="str">
        <f t="shared" si="89"/>
        <v/>
      </c>
      <c r="AB817" s="28" t="str">
        <f t="shared" si="90"/>
        <v xml:space="preserve"> </v>
      </c>
      <c r="AE817" s="61" t="str">
        <f t="shared" si="91"/>
        <v/>
      </c>
      <c r="AF817" s="77" t="str">
        <f>_xlfn.XLOOKUP(AD817,menu!$K$2:$K$9,menu!$J$2:$J$9,"",1)</f>
        <v/>
      </c>
      <c r="AG817" s="80" t="str">
        <f>_xlfn.XLOOKUP(AH817,menu!$O$2:$O$9,menu!$H$2:$H$9,"")</f>
        <v/>
      </c>
      <c r="AI817" t="str">
        <f>_xlfn.LET(_xlpm.x,_xlfn.CONCAT(_xlfn.XLOOKUP(D817,beans!$A$2:$A$300,beans!$J$2:$J$300,"")," / ",_xlfn.XLOOKUP(D817,beans!$A$2:$A$300,beans!$K$2:$K$300,"")," - ",_xlfn.XLOOKUP(D817,beans!$A$2:$A$300,beans!$L$2:$L$300,"")),IF(_xlpm.x=" /  - ","",_xlpm.x))</f>
        <v/>
      </c>
    </row>
    <row r="818" spans="1:35" x14ac:dyDescent="0.3">
      <c r="A818">
        <v>801</v>
      </c>
      <c r="E818" t="str">
        <f>_xlfn.LET(_xlpm.x,_xlfn.XLOOKUP(D818,beans!$A$2:$A$300,beans!$H$2:$H$300,""),IF(_xlpm.x="","",_xlpm.x))</f>
        <v/>
      </c>
      <c r="F818" s="22" t="str">
        <f>_xlfn.XLOOKUP(E818,menu!$A$2:$A$37,menu!$B$2:$B$37,"")</f>
        <v/>
      </c>
      <c r="G818" t="str">
        <f>_xlfn.XLOOKUP(E818,menu!$A$2:$A$37,menu!$C$2:$C$37,"")</f>
        <v/>
      </c>
      <c r="H818" t="str">
        <f>_xlfn.LET(_xlpm.x,_xlfn.XLOOKUP(_xlfn.XLOOKUP(D818,beans!$A$2:$A$300,beans!$I$2:$I$300),menu!$E$2:$E$20,menu!$F$2:$F$20),IF(_xlpm.x="","",_xlpm.x))</f>
        <v/>
      </c>
      <c r="T818" s="68" t="str">
        <f t="shared" si="92"/>
        <v/>
      </c>
      <c r="U818" t="str">
        <f t="shared" si="88"/>
        <v/>
      </c>
      <c r="V818">
        <f t="shared" si="93"/>
        <v>0</v>
      </c>
      <c r="W818" t="str">
        <f t="shared" si="89"/>
        <v/>
      </c>
      <c r="AB818" s="28" t="str">
        <f t="shared" si="90"/>
        <v xml:space="preserve"> </v>
      </c>
      <c r="AE818" s="61" t="str">
        <f t="shared" si="91"/>
        <v/>
      </c>
      <c r="AF818" s="77" t="str">
        <f>_xlfn.XLOOKUP(AD818,menu!$K$2:$K$9,menu!$J$2:$J$9,"",1)</f>
        <v/>
      </c>
      <c r="AG818" s="80" t="str">
        <f>_xlfn.XLOOKUP(AH818,menu!$O$2:$O$9,menu!$H$2:$H$9,"")</f>
        <v/>
      </c>
      <c r="AI818" t="str">
        <f>_xlfn.LET(_xlpm.x,_xlfn.CONCAT(_xlfn.XLOOKUP(D818,beans!$A$2:$A$300,beans!$J$2:$J$300,"")," / ",_xlfn.XLOOKUP(D818,beans!$A$2:$A$300,beans!$K$2:$K$300,"")," - ",_xlfn.XLOOKUP(D818,beans!$A$2:$A$300,beans!$L$2:$L$300,"")),IF(_xlpm.x=" /  - ","",_xlpm.x))</f>
        <v/>
      </c>
    </row>
    <row r="819" spans="1:35" x14ac:dyDescent="0.3">
      <c r="A819">
        <v>802</v>
      </c>
      <c r="E819" t="str">
        <f>_xlfn.LET(_xlpm.x,_xlfn.XLOOKUP(D819,beans!$A$2:$A$300,beans!$H$2:$H$300,""),IF(_xlpm.x="","",_xlpm.x))</f>
        <v/>
      </c>
      <c r="F819" s="22" t="str">
        <f>_xlfn.XLOOKUP(E819,menu!$A$2:$A$37,menu!$B$2:$B$37,"")</f>
        <v/>
      </c>
      <c r="G819" t="str">
        <f>_xlfn.XLOOKUP(E819,menu!$A$2:$A$37,menu!$C$2:$C$37,"")</f>
        <v/>
      </c>
      <c r="H819" t="str">
        <f>_xlfn.LET(_xlpm.x,_xlfn.XLOOKUP(_xlfn.XLOOKUP(D819,beans!$A$2:$A$300,beans!$I$2:$I$300),menu!$E$2:$E$20,menu!$F$2:$F$20),IF(_xlpm.x="","",_xlpm.x))</f>
        <v/>
      </c>
      <c r="T819" s="68" t="str">
        <f t="shared" si="92"/>
        <v/>
      </c>
      <c r="U819" t="str">
        <f t="shared" si="88"/>
        <v/>
      </c>
      <c r="V819">
        <f t="shared" si="93"/>
        <v>0</v>
      </c>
      <c r="W819" t="str">
        <f t="shared" si="89"/>
        <v/>
      </c>
      <c r="AB819" s="28" t="str">
        <f t="shared" si="90"/>
        <v xml:space="preserve"> </v>
      </c>
      <c r="AE819" s="61" t="str">
        <f t="shared" si="91"/>
        <v/>
      </c>
      <c r="AF819" s="77" t="str">
        <f>_xlfn.XLOOKUP(AD819,menu!$K$2:$K$9,menu!$J$2:$J$9,"",1)</f>
        <v/>
      </c>
      <c r="AG819" s="80" t="str">
        <f>_xlfn.XLOOKUP(AH819,menu!$O$2:$O$9,menu!$H$2:$H$9,"")</f>
        <v/>
      </c>
      <c r="AI819" t="str">
        <f>_xlfn.LET(_xlpm.x,_xlfn.CONCAT(_xlfn.XLOOKUP(D819,beans!$A$2:$A$300,beans!$J$2:$J$300,"")," / ",_xlfn.XLOOKUP(D819,beans!$A$2:$A$300,beans!$K$2:$K$300,"")," - ",_xlfn.XLOOKUP(D819,beans!$A$2:$A$300,beans!$L$2:$L$300,"")),IF(_xlpm.x=" /  - ","",_xlpm.x))</f>
        <v/>
      </c>
    </row>
    <row r="820" spans="1:35" x14ac:dyDescent="0.3">
      <c r="A820">
        <v>803</v>
      </c>
      <c r="E820" t="str">
        <f>_xlfn.LET(_xlpm.x,_xlfn.XLOOKUP(D820,beans!$A$2:$A$300,beans!$H$2:$H$300,""),IF(_xlpm.x="","",_xlpm.x))</f>
        <v/>
      </c>
      <c r="F820" s="22" t="str">
        <f>_xlfn.XLOOKUP(E820,menu!$A$2:$A$37,menu!$B$2:$B$37,"")</f>
        <v/>
      </c>
      <c r="G820" t="str">
        <f>_xlfn.XLOOKUP(E820,menu!$A$2:$A$37,menu!$C$2:$C$37,"")</f>
        <v/>
      </c>
      <c r="H820" t="str">
        <f>_xlfn.LET(_xlpm.x,_xlfn.XLOOKUP(_xlfn.XLOOKUP(D820,beans!$A$2:$A$300,beans!$I$2:$I$300),menu!$E$2:$E$20,menu!$F$2:$F$20),IF(_xlpm.x="","",_xlpm.x))</f>
        <v/>
      </c>
      <c r="T820" s="68" t="str">
        <f t="shared" si="92"/>
        <v/>
      </c>
      <c r="U820" t="str">
        <f t="shared" si="88"/>
        <v/>
      </c>
      <c r="V820">
        <f t="shared" si="93"/>
        <v>0</v>
      </c>
      <c r="W820" t="str">
        <f t="shared" si="89"/>
        <v/>
      </c>
      <c r="AB820" s="28" t="str">
        <f t="shared" si="90"/>
        <v xml:space="preserve"> </v>
      </c>
      <c r="AE820" s="61" t="str">
        <f t="shared" si="91"/>
        <v/>
      </c>
      <c r="AF820" s="77" t="str">
        <f>_xlfn.XLOOKUP(AD820,menu!$K$2:$K$9,menu!$J$2:$J$9,"",1)</f>
        <v/>
      </c>
      <c r="AG820" s="80" t="str">
        <f>_xlfn.XLOOKUP(AH820,menu!$O$2:$O$9,menu!$H$2:$H$9,"")</f>
        <v/>
      </c>
      <c r="AI820" t="str">
        <f>_xlfn.LET(_xlpm.x,_xlfn.CONCAT(_xlfn.XLOOKUP(D820,beans!$A$2:$A$300,beans!$J$2:$J$300,"")," / ",_xlfn.XLOOKUP(D820,beans!$A$2:$A$300,beans!$K$2:$K$300,"")," - ",_xlfn.XLOOKUP(D820,beans!$A$2:$A$300,beans!$L$2:$L$300,"")),IF(_xlpm.x=" /  - ","",_xlpm.x))</f>
        <v/>
      </c>
    </row>
    <row r="821" spans="1:35" x14ac:dyDescent="0.3">
      <c r="A821">
        <v>804</v>
      </c>
      <c r="E821" t="str">
        <f>_xlfn.LET(_xlpm.x,_xlfn.XLOOKUP(D821,beans!$A$2:$A$300,beans!$H$2:$H$300,""),IF(_xlpm.x="","",_xlpm.x))</f>
        <v/>
      </c>
      <c r="F821" s="22" t="str">
        <f>_xlfn.XLOOKUP(E821,menu!$A$2:$A$37,menu!$B$2:$B$37,"")</f>
        <v/>
      </c>
      <c r="G821" t="str">
        <f>_xlfn.XLOOKUP(E821,menu!$A$2:$A$37,menu!$C$2:$C$37,"")</f>
        <v/>
      </c>
      <c r="H821" t="str">
        <f>_xlfn.LET(_xlpm.x,_xlfn.XLOOKUP(_xlfn.XLOOKUP(D821,beans!$A$2:$A$300,beans!$I$2:$I$300),menu!$E$2:$E$20,menu!$F$2:$F$20),IF(_xlpm.x="","",_xlpm.x))</f>
        <v/>
      </c>
      <c r="T821" s="68" t="str">
        <f t="shared" si="92"/>
        <v/>
      </c>
      <c r="U821" t="str">
        <f t="shared" si="88"/>
        <v/>
      </c>
      <c r="V821">
        <f t="shared" si="93"/>
        <v>0</v>
      </c>
      <c r="W821" t="str">
        <f t="shared" si="89"/>
        <v/>
      </c>
      <c r="AB821" s="28" t="str">
        <f t="shared" si="90"/>
        <v xml:space="preserve"> </v>
      </c>
      <c r="AE821" s="61" t="str">
        <f t="shared" si="91"/>
        <v/>
      </c>
      <c r="AF821" s="77" t="str">
        <f>_xlfn.XLOOKUP(AD821,menu!$K$2:$K$9,menu!$J$2:$J$9,"",1)</f>
        <v/>
      </c>
      <c r="AG821" s="80" t="str">
        <f>_xlfn.XLOOKUP(AH821,menu!$O$2:$O$9,menu!$H$2:$H$9,"")</f>
        <v/>
      </c>
      <c r="AI821" t="str">
        <f>_xlfn.LET(_xlpm.x,_xlfn.CONCAT(_xlfn.XLOOKUP(D821,beans!$A$2:$A$300,beans!$J$2:$J$300,"")," / ",_xlfn.XLOOKUP(D821,beans!$A$2:$A$300,beans!$K$2:$K$300,"")," - ",_xlfn.XLOOKUP(D821,beans!$A$2:$A$300,beans!$L$2:$L$300,"")),IF(_xlpm.x=" /  - ","",_xlpm.x))</f>
        <v/>
      </c>
    </row>
    <row r="822" spans="1:35" x14ac:dyDescent="0.3">
      <c r="A822">
        <v>805</v>
      </c>
      <c r="E822" t="str">
        <f>_xlfn.LET(_xlpm.x,_xlfn.XLOOKUP(D822,beans!$A$2:$A$300,beans!$H$2:$H$300,""),IF(_xlpm.x="","",_xlpm.x))</f>
        <v/>
      </c>
      <c r="F822" s="22" t="str">
        <f>_xlfn.XLOOKUP(E822,menu!$A$2:$A$37,menu!$B$2:$B$37,"")</f>
        <v/>
      </c>
      <c r="G822" t="str">
        <f>_xlfn.XLOOKUP(E822,menu!$A$2:$A$37,menu!$C$2:$C$37,"")</f>
        <v/>
      </c>
      <c r="H822" t="str">
        <f>_xlfn.LET(_xlpm.x,_xlfn.XLOOKUP(_xlfn.XLOOKUP(D822,beans!$A$2:$A$300,beans!$I$2:$I$300),menu!$E$2:$E$20,menu!$F$2:$F$20),IF(_xlpm.x="","",_xlpm.x))</f>
        <v/>
      </c>
      <c r="T822" s="68" t="str">
        <f t="shared" si="92"/>
        <v/>
      </c>
      <c r="U822" t="str">
        <f t="shared" si="88"/>
        <v/>
      </c>
      <c r="V822">
        <f t="shared" si="93"/>
        <v>0</v>
      </c>
      <c r="W822" t="str">
        <f t="shared" si="89"/>
        <v/>
      </c>
      <c r="AB822" s="28" t="str">
        <f t="shared" si="90"/>
        <v xml:space="preserve"> </v>
      </c>
      <c r="AE822" s="61" t="str">
        <f t="shared" si="91"/>
        <v/>
      </c>
      <c r="AF822" s="77" t="str">
        <f>_xlfn.XLOOKUP(AD822,menu!$K$2:$K$9,menu!$J$2:$J$9,"",1)</f>
        <v/>
      </c>
      <c r="AG822" s="80" t="str">
        <f>_xlfn.XLOOKUP(AH822,menu!$O$2:$O$9,menu!$H$2:$H$9,"")</f>
        <v/>
      </c>
      <c r="AI822" t="str">
        <f>_xlfn.LET(_xlpm.x,_xlfn.CONCAT(_xlfn.XLOOKUP(D822,beans!$A$2:$A$300,beans!$J$2:$J$300,"")," / ",_xlfn.XLOOKUP(D822,beans!$A$2:$A$300,beans!$K$2:$K$300,"")," - ",_xlfn.XLOOKUP(D822,beans!$A$2:$A$300,beans!$L$2:$L$300,"")),IF(_xlpm.x=" /  - ","",_xlpm.x))</f>
        <v/>
      </c>
    </row>
    <row r="823" spans="1:35" x14ac:dyDescent="0.3">
      <c r="A823">
        <v>806</v>
      </c>
      <c r="E823" t="str">
        <f>_xlfn.LET(_xlpm.x,_xlfn.XLOOKUP(D823,beans!$A$2:$A$300,beans!$H$2:$H$300,""),IF(_xlpm.x="","",_xlpm.x))</f>
        <v/>
      </c>
      <c r="F823" s="22" t="str">
        <f>_xlfn.XLOOKUP(E823,menu!$A$2:$A$37,menu!$B$2:$B$37,"")</f>
        <v/>
      </c>
      <c r="G823" t="str">
        <f>_xlfn.XLOOKUP(E823,menu!$A$2:$A$37,menu!$C$2:$C$37,"")</f>
        <v/>
      </c>
      <c r="H823" t="str">
        <f>_xlfn.LET(_xlpm.x,_xlfn.XLOOKUP(_xlfn.XLOOKUP(D823,beans!$A$2:$A$300,beans!$I$2:$I$300),menu!$E$2:$E$20,menu!$F$2:$F$20),IF(_xlpm.x="","",_xlpm.x))</f>
        <v/>
      </c>
      <c r="T823" s="68" t="str">
        <f t="shared" si="92"/>
        <v/>
      </c>
      <c r="U823" t="str">
        <f t="shared" si="88"/>
        <v/>
      </c>
      <c r="V823">
        <f t="shared" si="93"/>
        <v>0</v>
      </c>
      <c r="W823" t="str">
        <f t="shared" si="89"/>
        <v/>
      </c>
      <c r="AB823" s="28" t="str">
        <f t="shared" si="90"/>
        <v xml:space="preserve"> </v>
      </c>
      <c r="AE823" s="61" t="str">
        <f t="shared" si="91"/>
        <v/>
      </c>
      <c r="AF823" s="77" t="str">
        <f>_xlfn.XLOOKUP(AD823,menu!$K$2:$K$9,menu!$J$2:$J$9,"",1)</f>
        <v/>
      </c>
      <c r="AG823" s="80" t="str">
        <f>_xlfn.XLOOKUP(AH823,menu!$O$2:$O$9,menu!$H$2:$H$9,"")</f>
        <v/>
      </c>
      <c r="AI823" t="str">
        <f>_xlfn.LET(_xlpm.x,_xlfn.CONCAT(_xlfn.XLOOKUP(D823,beans!$A$2:$A$300,beans!$J$2:$J$300,"")," / ",_xlfn.XLOOKUP(D823,beans!$A$2:$A$300,beans!$K$2:$K$300,"")," - ",_xlfn.XLOOKUP(D823,beans!$A$2:$A$300,beans!$L$2:$L$300,"")),IF(_xlpm.x=" /  - ","",_xlpm.x))</f>
        <v/>
      </c>
    </row>
    <row r="824" spans="1:35" x14ac:dyDescent="0.3">
      <c r="A824">
        <v>807</v>
      </c>
      <c r="E824" t="str">
        <f>_xlfn.LET(_xlpm.x,_xlfn.XLOOKUP(D824,beans!$A$2:$A$300,beans!$H$2:$H$300,""),IF(_xlpm.x="","",_xlpm.x))</f>
        <v/>
      </c>
      <c r="F824" s="22" t="str">
        <f>_xlfn.XLOOKUP(E824,menu!$A$2:$A$37,menu!$B$2:$B$37,"")</f>
        <v/>
      </c>
      <c r="G824" t="str">
        <f>_xlfn.XLOOKUP(E824,menu!$A$2:$A$37,menu!$C$2:$C$37,"")</f>
        <v/>
      </c>
      <c r="H824" t="str">
        <f>_xlfn.LET(_xlpm.x,_xlfn.XLOOKUP(_xlfn.XLOOKUP(D824,beans!$A$2:$A$300,beans!$I$2:$I$300),menu!$E$2:$E$20,menu!$F$2:$F$20),IF(_xlpm.x="","",_xlpm.x))</f>
        <v/>
      </c>
      <c r="T824" s="68" t="str">
        <f t="shared" si="92"/>
        <v/>
      </c>
      <c r="U824" t="str">
        <f t="shared" si="88"/>
        <v/>
      </c>
      <c r="V824">
        <f t="shared" si="93"/>
        <v>0</v>
      </c>
      <c r="W824" t="str">
        <f t="shared" si="89"/>
        <v/>
      </c>
      <c r="AB824" s="28" t="str">
        <f t="shared" si="90"/>
        <v xml:space="preserve"> </v>
      </c>
      <c r="AE824" s="61" t="str">
        <f t="shared" si="91"/>
        <v/>
      </c>
      <c r="AF824" s="77" t="str">
        <f>_xlfn.XLOOKUP(AD824,menu!$K$2:$K$9,menu!$J$2:$J$9,"",1)</f>
        <v/>
      </c>
      <c r="AG824" s="80" t="str">
        <f>_xlfn.XLOOKUP(AH824,menu!$O$2:$O$9,menu!$H$2:$H$9,"")</f>
        <v/>
      </c>
      <c r="AI824" t="str">
        <f>_xlfn.LET(_xlpm.x,_xlfn.CONCAT(_xlfn.XLOOKUP(D824,beans!$A$2:$A$300,beans!$J$2:$J$300,"")," / ",_xlfn.XLOOKUP(D824,beans!$A$2:$A$300,beans!$K$2:$K$300,"")," - ",_xlfn.XLOOKUP(D824,beans!$A$2:$A$300,beans!$L$2:$L$300,"")),IF(_xlpm.x=" /  - ","",_xlpm.x))</f>
        <v/>
      </c>
    </row>
    <row r="825" spans="1:35" x14ac:dyDescent="0.3">
      <c r="A825">
        <v>808</v>
      </c>
      <c r="E825" t="str">
        <f>_xlfn.LET(_xlpm.x,_xlfn.XLOOKUP(D825,beans!$A$2:$A$300,beans!$H$2:$H$300,""),IF(_xlpm.x="","",_xlpm.x))</f>
        <v/>
      </c>
      <c r="F825" s="22" t="str">
        <f>_xlfn.XLOOKUP(E825,menu!$A$2:$A$37,menu!$B$2:$B$37,"")</f>
        <v/>
      </c>
      <c r="G825" t="str">
        <f>_xlfn.XLOOKUP(E825,menu!$A$2:$A$37,menu!$C$2:$C$37,"")</f>
        <v/>
      </c>
      <c r="H825" t="str">
        <f>_xlfn.LET(_xlpm.x,_xlfn.XLOOKUP(_xlfn.XLOOKUP(D825,beans!$A$2:$A$300,beans!$I$2:$I$300),menu!$E$2:$E$20,menu!$F$2:$F$20),IF(_xlpm.x="","",_xlpm.x))</f>
        <v/>
      </c>
      <c r="T825" s="68" t="str">
        <f t="shared" si="92"/>
        <v/>
      </c>
      <c r="U825" t="str">
        <f t="shared" si="88"/>
        <v/>
      </c>
      <c r="V825">
        <f t="shared" si="93"/>
        <v>0</v>
      </c>
      <c r="W825" t="str">
        <f t="shared" si="89"/>
        <v/>
      </c>
      <c r="AB825" s="28" t="str">
        <f t="shared" si="90"/>
        <v xml:space="preserve"> </v>
      </c>
      <c r="AE825" s="61" t="str">
        <f t="shared" si="91"/>
        <v/>
      </c>
      <c r="AF825" s="77" t="str">
        <f>_xlfn.XLOOKUP(AD825,menu!$K$2:$K$9,menu!$J$2:$J$9,"",1)</f>
        <v/>
      </c>
      <c r="AG825" s="80" t="str">
        <f>_xlfn.XLOOKUP(AH825,menu!$O$2:$O$9,menu!$H$2:$H$9,"")</f>
        <v/>
      </c>
      <c r="AI825" t="str">
        <f>_xlfn.LET(_xlpm.x,_xlfn.CONCAT(_xlfn.XLOOKUP(D825,beans!$A$2:$A$300,beans!$J$2:$J$300,"")," / ",_xlfn.XLOOKUP(D825,beans!$A$2:$A$300,beans!$K$2:$K$300,"")," - ",_xlfn.XLOOKUP(D825,beans!$A$2:$A$300,beans!$L$2:$L$300,"")),IF(_xlpm.x=" /  - ","",_xlpm.x))</f>
        <v/>
      </c>
    </row>
    <row r="826" spans="1:35" x14ac:dyDescent="0.3">
      <c r="A826">
        <v>809</v>
      </c>
      <c r="E826" t="str">
        <f>_xlfn.LET(_xlpm.x,_xlfn.XLOOKUP(D826,beans!$A$2:$A$300,beans!$H$2:$H$300,""),IF(_xlpm.x="","",_xlpm.x))</f>
        <v/>
      </c>
      <c r="F826" s="22" t="str">
        <f>_xlfn.XLOOKUP(E826,menu!$A$2:$A$37,menu!$B$2:$B$37,"")</f>
        <v/>
      </c>
      <c r="G826" t="str">
        <f>_xlfn.XLOOKUP(E826,menu!$A$2:$A$37,menu!$C$2:$C$37,"")</f>
        <v/>
      </c>
      <c r="H826" t="str">
        <f>_xlfn.LET(_xlpm.x,_xlfn.XLOOKUP(_xlfn.XLOOKUP(D826,beans!$A$2:$A$300,beans!$I$2:$I$300),menu!$E$2:$E$20,menu!$F$2:$F$20),IF(_xlpm.x="","",_xlpm.x))</f>
        <v/>
      </c>
      <c r="T826" s="68" t="str">
        <f t="shared" si="92"/>
        <v/>
      </c>
      <c r="U826" t="str">
        <f t="shared" si="88"/>
        <v/>
      </c>
      <c r="V826">
        <f t="shared" si="93"/>
        <v>0</v>
      </c>
      <c r="W826" t="str">
        <f t="shared" si="89"/>
        <v/>
      </c>
      <c r="AB826" s="28" t="str">
        <f t="shared" si="90"/>
        <v xml:space="preserve"> </v>
      </c>
      <c r="AE826" s="61" t="str">
        <f t="shared" si="91"/>
        <v/>
      </c>
      <c r="AF826" s="77" t="str">
        <f>_xlfn.XLOOKUP(AD826,menu!$K$2:$K$9,menu!$J$2:$J$9,"",1)</f>
        <v/>
      </c>
      <c r="AG826" s="80" t="str">
        <f>_xlfn.XLOOKUP(AH826,menu!$O$2:$O$9,menu!$H$2:$H$9,"")</f>
        <v/>
      </c>
      <c r="AI826" t="str">
        <f>_xlfn.LET(_xlpm.x,_xlfn.CONCAT(_xlfn.XLOOKUP(D826,beans!$A$2:$A$300,beans!$J$2:$J$300,"")," / ",_xlfn.XLOOKUP(D826,beans!$A$2:$A$300,beans!$K$2:$K$300,"")," - ",_xlfn.XLOOKUP(D826,beans!$A$2:$A$300,beans!$L$2:$L$300,"")),IF(_xlpm.x=" /  - ","",_xlpm.x))</f>
        <v/>
      </c>
    </row>
    <row r="827" spans="1:35" x14ac:dyDescent="0.3">
      <c r="A827">
        <v>810</v>
      </c>
      <c r="E827" t="str">
        <f>_xlfn.LET(_xlpm.x,_xlfn.XLOOKUP(D827,beans!$A$2:$A$300,beans!$H$2:$H$300,""),IF(_xlpm.x="","",_xlpm.x))</f>
        <v/>
      </c>
      <c r="F827" s="22" t="str">
        <f>_xlfn.XLOOKUP(E827,menu!$A$2:$A$37,menu!$B$2:$B$37,"")</f>
        <v/>
      </c>
      <c r="G827" t="str">
        <f>_xlfn.XLOOKUP(E827,menu!$A$2:$A$37,menu!$C$2:$C$37,"")</f>
        <v/>
      </c>
      <c r="H827" t="str">
        <f>_xlfn.LET(_xlpm.x,_xlfn.XLOOKUP(_xlfn.XLOOKUP(D827,beans!$A$2:$A$300,beans!$I$2:$I$300),menu!$E$2:$E$20,menu!$F$2:$F$20),IF(_xlpm.x="","",_xlpm.x))</f>
        <v/>
      </c>
      <c r="T827" s="68" t="str">
        <f t="shared" si="92"/>
        <v/>
      </c>
      <c r="U827" t="str">
        <f t="shared" si="88"/>
        <v/>
      </c>
      <c r="V827">
        <f t="shared" si="93"/>
        <v>0</v>
      </c>
      <c r="W827" t="str">
        <f t="shared" si="89"/>
        <v/>
      </c>
      <c r="AB827" s="28" t="str">
        <f t="shared" si="90"/>
        <v xml:space="preserve"> </v>
      </c>
      <c r="AE827" s="61" t="str">
        <f t="shared" si="91"/>
        <v/>
      </c>
      <c r="AF827" s="77" t="str">
        <f>_xlfn.XLOOKUP(AD827,menu!$K$2:$K$9,menu!$J$2:$J$9,"",1)</f>
        <v/>
      </c>
      <c r="AG827" s="80" t="str">
        <f>_xlfn.XLOOKUP(AH827,menu!$O$2:$O$9,menu!$H$2:$H$9,"")</f>
        <v/>
      </c>
      <c r="AI827" t="str">
        <f>_xlfn.LET(_xlpm.x,_xlfn.CONCAT(_xlfn.XLOOKUP(D827,beans!$A$2:$A$300,beans!$J$2:$J$300,"")," / ",_xlfn.XLOOKUP(D827,beans!$A$2:$A$300,beans!$K$2:$K$300,"")," - ",_xlfn.XLOOKUP(D827,beans!$A$2:$A$300,beans!$L$2:$L$300,"")),IF(_xlpm.x=" /  - ","",_xlpm.x))</f>
        <v/>
      </c>
    </row>
    <row r="828" spans="1:35" x14ac:dyDescent="0.3">
      <c r="A828">
        <v>811</v>
      </c>
      <c r="E828" t="str">
        <f>_xlfn.LET(_xlpm.x,_xlfn.XLOOKUP(D828,beans!$A$2:$A$300,beans!$H$2:$H$300,""),IF(_xlpm.x="","",_xlpm.x))</f>
        <v/>
      </c>
      <c r="F828" s="22" t="str">
        <f>_xlfn.XLOOKUP(E828,menu!$A$2:$A$37,menu!$B$2:$B$37,"")</f>
        <v/>
      </c>
      <c r="G828" t="str">
        <f>_xlfn.XLOOKUP(E828,menu!$A$2:$A$37,menu!$C$2:$C$37,"")</f>
        <v/>
      </c>
      <c r="H828" t="str">
        <f>_xlfn.LET(_xlpm.x,_xlfn.XLOOKUP(_xlfn.XLOOKUP(D828,beans!$A$2:$A$300,beans!$I$2:$I$300),menu!$E$2:$E$20,menu!$F$2:$F$20),IF(_xlpm.x="","",_xlpm.x))</f>
        <v/>
      </c>
      <c r="T828" s="68" t="str">
        <f t="shared" si="92"/>
        <v/>
      </c>
      <c r="U828" t="str">
        <f t="shared" si="88"/>
        <v/>
      </c>
      <c r="V828">
        <f t="shared" si="93"/>
        <v>0</v>
      </c>
      <c r="W828" t="str">
        <f t="shared" si="89"/>
        <v/>
      </c>
      <c r="AB828" s="28" t="str">
        <f t="shared" si="90"/>
        <v xml:space="preserve"> </v>
      </c>
      <c r="AE828" s="61" t="str">
        <f t="shared" si="91"/>
        <v/>
      </c>
      <c r="AF828" s="77" t="str">
        <f>_xlfn.XLOOKUP(AD828,menu!$K$2:$K$9,menu!$J$2:$J$9,"",1)</f>
        <v/>
      </c>
      <c r="AG828" s="80" t="str">
        <f>_xlfn.XLOOKUP(AH828,menu!$O$2:$O$9,menu!$H$2:$H$9,"")</f>
        <v/>
      </c>
      <c r="AI828" t="str">
        <f>_xlfn.LET(_xlpm.x,_xlfn.CONCAT(_xlfn.XLOOKUP(D828,beans!$A$2:$A$300,beans!$J$2:$J$300,"")," / ",_xlfn.XLOOKUP(D828,beans!$A$2:$A$300,beans!$K$2:$K$300,"")," - ",_xlfn.XLOOKUP(D828,beans!$A$2:$A$300,beans!$L$2:$L$300,"")),IF(_xlpm.x=" /  - ","",_xlpm.x))</f>
        <v/>
      </c>
    </row>
    <row r="829" spans="1:35" x14ac:dyDescent="0.3">
      <c r="A829">
        <v>812</v>
      </c>
      <c r="E829" t="str">
        <f>_xlfn.LET(_xlpm.x,_xlfn.XLOOKUP(D829,beans!$A$2:$A$300,beans!$H$2:$H$300,""),IF(_xlpm.x="","",_xlpm.x))</f>
        <v/>
      </c>
      <c r="F829" s="22" t="str">
        <f>_xlfn.XLOOKUP(E829,menu!$A$2:$A$37,menu!$B$2:$B$37,"")</f>
        <v/>
      </c>
      <c r="G829" t="str">
        <f>_xlfn.XLOOKUP(E829,menu!$A$2:$A$37,menu!$C$2:$C$37,"")</f>
        <v/>
      </c>
      <c r="H829" t="str">
        <f>_xlfn.LET(_xlpm.x,_xlfn.XLOOKUP(_xlfn.XLOOKUP(D829,beans!$A$2:$A$300,beans!$I$2:$I$300),menu!$E$2:$E$20,menu!$F$2:$F$20),IF(_xlpm.x="","",_xlpm.x))</f>
        <v/>
      </c>
      <c r="T829" s="68" t="str">
        <f t="shared" si="92"/>
        <v/>
      </c>
      <c r="U829" t="str">
        <f t="shared" si="88"/>
        <v/>
      </c>
      <c r="V829">
        <f t="shared" si="93"/>
        <v>0</v>
      </c>
      <c r="W829" t="str">
        <f t="shared" si="89"/>
        <v/>
      </c>
      <c r="AB829" s="28" t="str">
        <f t="shared" si="90"/>
        <v xml:space="preserve"> </v>
      </c>
      <c r="AE829" s="61" t="str">
        <f t="shared" si="91"/>
        <v/>
      </c>
      <c r="AF829" s="77" t="str">
        <f>_xlfn.XLOOKUP(AD829,menu!$K$2:$K$9,menu!$J$2:$J$9,"",1)</f>
        <v/>
      </c>
      <c r="AG829" s="80" t="str">
        <f>_xlfn.XLOOKUP(AH829,menu!$O$2:$O$9,menu!$H$2:$H$9,"")</f>
        <v/>
      </c>
      <c r="AI829" t="str">
        <f>_xlfn.LET(_xlpm.x,_xlfn.CONCAT(_xlfn.XLOOKUP(D829,beans!$A$2:$A$300,beans!$J$2:$J$300,"")," / ",_xlfn.XLOOKUP(D829,beans!$A$2:$A$300,beans!$K$2:$K$300,"")," - ",_xlfn.XLOOKUP(D829,beans!$A$2:$A$300,beans!$L$2:$L$300,"")),IF(_xlpm.x=" /  - ","",_xlpm.x))</f>
        <v/>
      </c>
    </row>
    <row r="830" spans="1:35" x14ac:dyDescent="0.3">
      <c r="A830">
        <v>813</v>
      </c>
      <c r="E830" t="str">
        <f>_xlfn.LET(_xlpm.x,_xlfn.XLOOKUP(D830,beans!$A$2:$A$300,beans!$H$2:$H$300,""),IF(_xlpm.x="","",_xlpm.x))</f>
        <v/>
      </c>
      <c r="F830" s="22" t="str">
        <f>_xlfn.XLOOKUP(E830,menu!$A$2:$A$37,menu!$B$2:$B$37,"")</f>
        <v/>
      </c>
      <c r="G830" t="str">
        <f>_xlfn.XLOOKUP(E830,menu!$A$2:$A$37,menu!$C$2:$C$37,"")</f>
        <v/>
      </c>
      <c r="H830" t="str">
        <f>_xlfn.LET(_xlpm.x,_xlfn.XLOOKUP(_xlfn.XLOOKUP(D830,beans!$A$2:$A$300,beans!$I$2:$I$300),menu!$E$2:$E$20,menu!$F$2:$F$20),IF(_xlpm.x="","",_xlpm.x))</f>
        <v/>
      </c>
      <c r="T830" s="68" t="str">
        <f t="shared" si="92"/>
        <v/>
      </c>
      <c r="U830" t="str">
        <f t="shared" si="88"/>
        <v/>
      </c>
      <c r="V830">
        <f t="shared" si="93"/>
        <v>0</v>
      </c>
      <c r="W830" t="str">
        <f t="shared" si="89"/>
        <v/>
      </c>
      <c r="AB830" s="28" t="str">
        <f t="shared" si="90"/>
        <v xml:space="preserve"> </v>
      </c>
      <c r="AE830" s="61" t="str">
        <f t="shared" si="91"/>
        <v/>
      </c>
      <c r="AF830" s="77" t="str">
        <f>_xlfn.XLOOKUP(AD830,menu!$K$2:$K$9,menu!$J$2:$J$9,"",1)</f>
        <v/>
      </c>
      <c r="AG830" s="80" t="str">
        <f>_xlfn.XLOOKUP(AH830,menu!$O$2:$O$9,menu!$H$2:$H$9,"")</f>
        <v/>
      </c>
      <c r="AI830" t="str">
        <f>_xlfn.LET(_xlpm.x,_xlfn.CONCAT(_xlfn.XLOOKUP(D830,beans!$A$2:$A$300,beans!$J$2:$J$300,"")," / ",_xlfn.XLOOKUP(D830,beans!$A$2:$A$300,beans!$K$2:$K$300,"")," - ",_xlfn.XLOOKUP(D830,beans!$A$2:$A$300,beans!$L$2:$L$300,"")),IF(_xlpm.x=" /  - ","",_xlpm.x))</f>
        <v/>
      </c>
    </row>
    <row r="831" spans="1:35" x14ac:dyDescent="0.3">
      <c r="A831">
        <v>814</v>
      </c>
      <c r="E831" t="str">
        <f>_xlfn.LET(_xlpm.x,_xlfn.XLOOKUP(D831,beans!$A$2:$A$300,beans!$H$2:$H$300,""),IF(_xlpm.x="","",_xlpm.x))</f>
        <v/>
      </c>
      <c r="F831" s="22" t="str">
        <f>_xlfn.XLOOKUP(E831,menu!$A$2:$A$37,menu!$B$2:$B$37,"")</f>
        <v/>
      </c>
      <c r="G831" t="str">
        <f>_xlfn.XLOOKUP(E831,menu!$A$2:$A$37,menu!$C$2:$C$37,"")</f>
        <v/>
      </c>
      <c r="H831" t="str">
        <f>_xlfn.LET(_xlpm.x,_xlfn.XLOOKUP(_xlfn.XLOOKUP(D831,beans!$A$2:$A$300,beans!$I$2:$I$300),menu!$E$2:$E$20,menu!$F$2:$F$20),IF(_xlpm.x="","",_xlpm.x))</f>
        <v/>
      </c>
      <c r="T831" s="68" t="str">
        <f t="shared" si="92"/>
        <v/>
      </c>
      <c r="U831" t="str">
        <f t="shared" si="88"/>
        <v/>
      </c>
      <c r="V831">
        <f t="shared" si="93"/>
        <v>0</v>
      </c>
      <c r="W831" t="str">
        <f t="shared" si="89"/>
        <v/>
      </c>
      <c r="AB831" s="28" t="str">
        <f t="shared" si="90"/>
        <v xml:space="preserve"> </v>
      </c>
      <c r="AE831" s="61" t="str">
        <f t="shared" si="91"/>
        <v/>
      </c>
      <c r="AF831" s="77" t="str">
        <f>_xlfn.XLOOKUP(AD831,menu!$K$2:$K$9,menu!$J$2:$J$9,"",1)</f>
        <v/>
      </c>
      <c r="AG831" s="80" t="str">
        <f>_xlfn.XLOOKUP(AH831,menu!$O$2:$O$9,menu!$H$2:$H$9,"")</f>
        <v/>
      </c>
      <c r="AI831" t="str">
        <f>_xlfn.LET(_xlpm.x,_xlfn.CONCAT(_xlfn.XLOOKUP(D831,beans!$A$2:$A$300,beans!$J$2:$J$300,"")," / ",_xlfn.XLOOKUP(D831,beans!$A$2:$A$300,beans!$K$2:$K$300,"")," - ",_xlfn.XLOOKUP(D831,beans!$A$2:$A$300,beans!$L$2:$L$300,"")),IF(_xlpm.x=" /  - ","",_xlpm.x))</f>
        <v/>
      </c>
    </row>
    <row r="832" spans="1:35" x14ac:dyDescent="0.3">
      <c r="A832">
        <v>815</v>
      </c>
      <c r="E832" t="str">
        <f>_xlfn.LET(_xlpm.x,_xlfn.XLOOKUP(D832,beans!$A$2:$A$300,beans!$H$2:$H$300,""),IF(_xlpm.x="","",_xlpm.x))</f>
        <v/>
      </c>
      <c r="F832" s="22" t="str">
        <f>_xlfn.XLOOKUP(E832,menu!$A$2:$A$37,menu!$B$2:$B$37,"")</f>
        <v/>
      </c>
      <c r="G832" t="str">
        <f>_xlfn.XLOOKUP(E832,menu!$A$2:$A$37,menu!$C$2:$C$37,"")</f>
        <v/>
      </c>
      <c r="H832" t="str">
        <f>_xlfn.LET(_xlpm.x,_xlfn.XLOOKUP(_xlfn.XLOOKUP(D832,beans!$A$2:$A$300,beans!$I$2:$I$300),menu!$E$2:$E$20,menu!$F$2:$F$20),IF(_xlpm.x="","",_xlpm.x))</f>
        <v/>
      </c>
      <c r="T832" s="68" t="str">
        <f t="shared" si="92"/>
        <v/>
      </c>
      <c r="U832" t="str">
        <f t="shared" si="88"/>
        <v/>
      </c>
      <c r="V832">
        <f t="shared" si="93"/>
        <v>0</v>
      </c>
      <c r="W832" t="str">
        <f t="shared" si="89"/>
        <v/>
      </c>
      <c r="AB832" s="28" t="str">
        <f t="shared" si="90"/>
        <v xml:space="preserve"> </v>
      </c>
      <c r="AE832" s="61" t="str">
        <f t="shared" si="91"/>
        <v/>
      </c>
      <c r="AF832" s="77" t="str">
        <f>_xlfn.XLOOKUP(AD832,menu!$K$2:$K$9,menu!$J$2:$J$9,"",1)</f>
        <v/>
      </c>
      <c r="AG832" s="80" t="str">
        <f>_xlfn.XLOOKUP(AH832,menu!$O$2:$O$9,menu!$H$2:$H$9,"")</f>
        <v/>
      </c>
      <c r="AI832" t="str">
        <f>_xlfn.LET(_xlpm.x,_xlfn.CONCAT(_xlfn.XLOOKUP(D832,beans!$A$2:$A$300,beans!$J$2:$J$300,"")," / ",_xlfn.XLOOKUP(D832,beans!$A$2:$A$300,beans!$K$2:$K$300,"")," - ",_xlfn.XLOOKUP(D832,beans!$A$2:$A$300,beans!$L$2:$L$300,"")),IF(_xlpm.x=" /  - ","",_xlpm.x))</f>
        <v/>
      </c>
    </row>
    <row r="833" spans="1:35" x14ac:dyDescent="0.3">
      <c r="A833">
        <v>816</v>
      </c>
      <c r="E833" t="str">
        <f>_xlfn.LET(_xlpm.x,_xlfn.XLOOKUP(D833,beans!$A$2:$A$300,beans!$H$2:$H$300,""),IF(_xlpm.x="","",_xlpm.x))</f>
        <v/>
      </c>
      <c r="F833" s="22" t="str">
        <f>_xlfn.XLOOKUP(E833,menu!$A$2:$A$37,menu!$B$2:$B$37,"")</f>
        <v/>
      </c>
      <c r="G833" t="str">
        <f>_xlfn.XLOOKUP(E833,menu!$A$2:$A$37,menu!$C$2:$C$37,"")</f>
        <v/>
      </c>
      <c r="H833" t="str">
        <f>_xlfn.LET(_xlpm.x,_xlfn.XLOOKUP(_xlfn.XLOOKUP(D833,beans!$A$2:$A$300,beans!$I$2:$I$300),menu!$E$2:$E$20,menu!$F$2:$F$20),IF(_xlpm.x="","",_xlpm.x))</f>
        <v/>
      </c>
      <c r="T833" s="68" t="str">
        <f t="shared" si="92"/>
        <v/>
      </c>
      <c r="U833" t="str">
        <f t="shared" si="88"/>
        <v/>
      </c>
      <c r="V833">
        <f t="shared" si="93"/>
        <v>0</v>
      </c>
      <c r="W833" t="str">
        <f t="shared" si="89"/>
        <v/>
      </c>
      <c r="AB833" s="28" t="str">
        <f t="shared" si="90"/>
        <v xml:space="preserve"> </v>
      </c>
      <c r="AE833" s="61" t="str">
        <f t="shared" si="91"/>
        <v/>
      </c>
      <c r="AF833" s="77" t="str">
        <f>_xlfn.XLOOKUP(AD833,menu!$K$2:$K$9,menu!$J$2:$J$9,"",1)</f>
        <v/>
      </c>
      <c r="AG833" s="80" t="str">
        <f>_xlfn.XLOOKUP(AH833,menu!$O$2:$O$9,menu!$H$2:$H$9,"")</f>
        <v/>
      </c>
      <c r="AI833" t="str">
        <f>_xlfn.LET(_xlpm.x,_xlfn.CONCAT(_xlfn.XLOOKUP(D833,beans!$A$2:$A$300,beans!$J$2:$J$300,"")," / ",_xlfn.XLOOKUP(D833,beans!$A$2:$A$300,beans!$K$2:$K$300,"")," - ",_xlfn.XLOOKUP(D833,beans!$A$2:$A$300,beans!$L$2:$L$300,"")),IF(_xlpm.x=" /  - ","",_xlpm.x))</f>
        <v/>
      </c>
    </row>
    <row r="834" spans="1:35" x14ac:dyDescent="0.3">
      <c r="A834">
        <v>817</v>
      </c>
      <c r="E834" t="str">
        <f>_xlfn.LET(_xlpm.x,_xlfn.XLOOKUP(D834,beans!$A$2:$A$300,beans!$H$2:$H$300,""),IF(_xlpm.x="","",_xlpm.x))</f>
        <v/>
      </c>
      <c r="F834" s="22" t="str">
        <f>_xlfn.XLOOKUP(E834,menu!$A$2:$A$37,menu!$B$2:$B$37,"")</f>
        <v/>
      </c>
      <c r="G834" t="str">
        <f>_xlfn.XLOOKUP(E834,menu!$A$2:$A$37,menu!$C$2:$C$37,"")</f>
        <v/>
      </c>
      <c r="H834" t="str">
        <f>_xlfn.LET(_xlpm.x,_xlfn.XLOOKUP(_xlfn.XLOOKUP(D834,beans!$A$2:$A$300,beans!$I$2:$I$300),menu!$E$2:$E$20,menu!$F$2:$F$20),IF(_xlpm.x="","",_xlpm.x))</f>
        <v/>
      </c>
      <c r="T834" s="68" t="str">
        <f t="shared" si="92"/>
        <v/>
      </c>
      <c r="U834" t="str">
        <f t="shared" ref="U834:U897" si="94">_xlfn.LET(_xlpm.x,(TIMEVALUE("0:"&amp;SUBSTITUTE(R834,"'",":"))-TIMEVALUE("0:"&amp;SUBSTITUTE(P834,"'",":")))*86400,IF(_xlpm.x=0,"",ROUND(_xlpm.x,2)))</f>
        <v/>
      </c>
      <c r="V834">
        <f t="shared" si="93"/>
        <v>0</v>
      </c>
      <c r="W834" t="str">
        <f t="shared" ref="W834:W897" si="95">_xlfn.LET(_xlpm.x,(TIMEVALUE("0:"&amp;SUBSTITUTE(R834,"'",":"))-TIMEVALUE("0:"&amp;SUBSTITUTE(P834,"'",":")))*86400,IF(_xlpm.x=0,"",ROUND(_xlpm.x/((TIMEVALUE("0:"&amp;SUBSTITUTE(R834,"'",":"))-TIMEVALUE("0:0:0"))*864),2)))</f>
        <v/>
      </c>
      <c r="AB834" s="28" t="str">
        <f t="shared" ref="AB834:AB897" si="96">IF(Y834 &gt; 0,(B834-Y834)/B834," ")</f>
        <v xml:space="preserve"> </v>
      </c>
      <c r="AE834" s="61" t="str">
        <f t="shared" ref="AE834:AE897" si="97">_xlfn.LET(_xlpm.x,AD834-AC834,IF(_xlpm.x=0,"",_xlpm.x))</f>
        <v/>
      </c>
      <c r="AF834" s="77" t="str">
        <f>_xlfn.XLOOKUP(AD834,menu!$K$2:$K$9,menu!$J$2:$J$9,"",1)</f>
        <v/>
      </c>
      <c r="AG834" s="80" t="str">
        <f>_xlfn.XLOOKUP(AH834,menu!$O$2:$O$9,menu!$H$2:$H$9,"")</f>
        <v/>
      </c>
      <c r="AI834" t="str">
        <f>_xlfn.LET(_xlpm.x,_xlfn.CONCAT(_xlfn.XLOOKUP(D834,beans!$A$2:$A$300,beans!$J$2:$J$300,"")," / ",_xlfn.XLOOKUP(D834,beans!$A$2:$A$300,beans!$K$2:$K$300,"")," - ",_xlfn.XLOOKUP(D834,beans!$A$2:$A$300,beans!$L$2:$L$300,"")),IF(_xlpm.x=" /  - ","",_xlpm.x))</f>
        <v/>
      </c>
    </row>
    <row r="835" spans="1:35" x14ac:dyDescent="0.3">
      <c r="A835">
        <v>818</v>
      </c>
      <c r="E835" t="str">
        <f>_xlfn.LET(_xlpm.x,_xlfn.XLOOKUP(D835,beans!$A$2:$A$300,beans!$H$2:$H$300,""),IF(_xlpm.x="","",_xlpm.x))</f>
        <v/>
      </c>
      <c r="F835" s="22" t="str">
        <f>_xlfn.XLOOKUP(E835,menu!$A$2:$A$37,menu!$B$2:$B$37,"")</f>
        <v/>
      </c>
      <c r="G835" t="str">
        <f>_xlfn.XLOOKUP(E835,menu!$A$2:$A$37,menu!$C$2:$C$37,"")</f>
        <v/>
      </c>
      <c r="H835" t="str">
        <f>_xlfn.LET(_xlpm.x,_xlfn.XLOOKUP(_xlfn.XLOOKUP(D835,beans!$A$2:$A$300,beans!$I$2:$I$300),menu!$E$2:$E$20,menu!$F$2:$F$20),IF(_xlpm.x="","",_xlpm.x))</f>
        <v/>
      </c>
      <c r="T835" s="68" t="str">
        <f t="shared" ref="T835:T898" si="98">_xlfn.LET(_xlpm.x,S835-Q835,IF(_xlpm.x=0,"",_xlpm.x))</f>
        <v/>
      </c>
      <c r="U835" t="str">
        <f t="shared" si="94"/>
        <v/>
      </c>
      <c r="V835">
        <f t="shared" ref="V835:V898" si="99">IFERROR(ROUND(T835*60/U835,1), )</f>
        <v>0</v>
      </c>
      <c r="W835" t="str">
        <f t="shared" si="95"/>
        <v/>
      </c>
      <c r="AB835" s="28" t="str">
        <f t="shared" si="96"/>
        <v xml:space="preserve"> </v>
      </c>
      <c r="AE835" s="61" t="str">
        <f t="shared" si="97"/>
        <v/>
      </c>
      <c r="AF835" s="77" t="str">
        <f>_xlfn.XLOOKUP(AD835,menu!$K$2:$K$9,menu!$J$2:$J$9,"",1)</f>
        <v/>
      </c>
      <c r="AG835" s="80" t="str">
        <f>_xlfn.XLOOKUP(AH835,menu!$O$2:$O$9,menu!$H$2:$H$9,"")</f>
        <v/>
      </c>
      <c r="AI835" t="str">
        <f>_xlfn.LET(_xlpm.x,_xlfn.CONCAT(_xlfn.XLOOKUP(D835,beans!$A$2:$A$300,beans!$J$2:$J$300,"")," / ",_xlfn.XLOOKUP(D835,beans!$A$2:$A$300,beans!$K$2:$K$300,"")," - ",_xlfn.XLOOKUP(D835,beans!$A$2:$A$300,beans!$L$2:$L$300,"")),IF(_xlpm.x=" /  - ","",_xlpm.x))</f>
        <v/>
      </c>
    </row>
    <row r="836" spans="1:35" x14ac:dyDescent="0.3">
      <c r="A836">
        <v>819</v>
      </c>
      <c r="E836" t="str">
        <f>_xlfn.LET(_xlpm.x,_xlfn.XLOOKUP(D836,beans!$A$2:$A$300,beans!$H$2:$H$300,""),IF(_xlpm.x="","",_xlpm.x))</f>
        <v/>
      </c>
      <c r="F836" s="22" t="str">
        <f>_xlfn.XLOOKUP(E836,menu!$A$2:$A$37,menu!$B$2:$B$37,"")</f>
        <v/>
      </c>
      <c r="G836" t="str">
        <f>_xlfn.XLOOKUP(E836,menu!$A$2:$A$37,menu!$C$2:$C$37,"")</f>
        <v/>
      </c>
      <c r="H836" t="str">
        <f>_xlfn.LET(_xlpm.x,_xlfn.XLOOKUP(_xlfn.XLOOKUP(D836,beans!$A$2:$A$300,beans!$I$2:$I$300),menu!$E$2:$E$20,menu!$F$2:$F$20),IF(_xlpm.x="","",_xlpm.x))</f>
        <v/>
      </c>
      <c r="T836" s="68" t="str">
        <f t="shared" si="98"/>
        <v/>
      </c>
      <c r="U836" t="str">
        <f t="shared" si="94"/>
        <v/>
      </c>
      <c r="V836">
        <f t="shared" si="99"/>
        <v>0</v>
      </c>
      <c r="W836" t="str">
        <f t="shared" si="95"/>
        <v/>
      </c>
      <c r="AB836" s="28" t="str">
        <f t="shared" si="96"/>
        <v xml:space="preserve"> </v>
      </c>
      <c r="AE836" s="61" t="str">
        <f t="shared" si="97"/>
        <v/>
      </c>
      <c r="AF836" s="77" t="str">
        <f>_xlfn.XLOOKUP(AD836,menu!$K$2:$K$9,menu!$J$2:$J$9,"",1)</f>
        <v/>
      </c>
      <c r="AG836" s="80" t="str">
        <f>_xlfn.XLOOKUP(AH836,menu!$O$2:$O$9,menu!$H$2:$H$9,"")</f>
        <v/>
      </c>
      <c r="AI836" t="str">
        <f>_xlfn.LET(_xlpm.x,_xlfn.CONCAT(_xlfn.XLOOKUP(D836,beans!$A$2:$A$300,beans!$J$2:$J$300,"")," / ",_xlfn.XLOOKUP(D836,beans!$A$2:$A$300,beans!$K$2:$K$300,"")," - ",_xlfn.XLOOKUP(D836,beans!$A$2:$A$300,beans!$L$2:$L$300,"")),IF(_xlpm.x=" /  - ","",_xlpm.x))</f>
        <v/>
      </c>
    </row>
    <row r="837" spans="1:35" x14ac:dyDescent="0.3">
      <c r="A837">
        <v>820</v>
      </c>
      <c r="E837" t="str">
        <f>_xlfn.LET(_xlpm.x,_xlfn.XLOOKUP(D837,beans!$A$2:$A$300,beans!$H$2:$H$300,""),IF(_xlpm.x="","",_xlpm.x))</f>
        <v/>
      </c>
      <c r="F837" s="22" t="str">
        <f>_xlfn.XLOOKUP(E837,menu!$A$2:$A$37,menu!$B$2:$B$37,"")</f>
        <v/>
      </c>
      <c r="G837" t="str">
        <f>_xlfn.XLOOKUP(E837,menu!$A$2:$A$37,menu!$C$2:$C$37,"")</f>
        <v/>
      </c>
      <c r="H837" t="str">
        <f>_xlfn.LET(_xlpm.x,_xlfn.XLOOKUP(_xlfn.XLOOKUP(D837,beans!$A$2:$A$300,beans!$I$2:$I$300),menu!$E$2:$E$20,menu!$F$2:$F$20),IF(_xlpm.x="","",_xlpm.x))</f>
        <v/>
      </c>
      <c r="T837" s="68" t="str">
        <f t="shared" si="98"/>
        <v/>
      </c>
      <c r="U837" t="str">
        <f t="shared" si="94"/>
        <v/>
      </c>
      <c r="V837">
        <f t="shared" si="99"/>
        <v>0</v>
      </c>
      <c r="W837" t="str">
        <f t="shared" si="95"/>
        <v/>
      </c>
      <c r="AB837" s="28" t="str">
        <f t="shared" si="96"/>
        <v xml:space="preserve"> </v>
      </c>
      <c r="AE837" s="61" t="str">
        <f t="shared" si="97"/>
        <v/>
      </c>
      <c r="AF837" s="77" t="str">
        <f>_xlfn.XLOOKUP(AD837,menu!$K$2:$K$9,menu!$J$2:$J$9,"",1)</f>
        <v/>
      </c>
      <c r="AG837" s="80" t="str">
        <f>_xlfn.XLOOKUP(AH837,menu!$O$2:$O$9,menu!$H$2:$H$9,"")</f>
        <v/>
      </c>
      <c r="AI837" t="str">
        <f>_xlfn.LET(_xlpm.x,_xlfn.CONCAT(_xlfn.XLOOKUP(D837,beans!$A$2:$A$300,beans!$J$2:$J$300,"")," / ",_xlfn.XLOOKUP(D837,beans!$A$2:$A$300,beans!$K$2:$K$300,"")," - ",_xlfn.XLOOKUP(D837,beans!$A$2:$A$300,beans!$L$2:$L$300,"")),IF(_xlpm.x=" /  - ","",_xlpm.x))</f>
        <v/>
      </c>
    </row>
    <row r="838" spans="1:35" x14ac:dyDescent="0.3">
      <c r="A838">
        <v>821</v>
      </c>
      <c r="E838" t="str">
        <f>_xlfn.LET(_xlpm.x,_xlfn.XLOOKUP(D838,beans!$A$2:$A$300,beans!$H$2:$H$300,""),IF(_xlpm.x="","",_xlpm.x))</f>
        <v/>
      </c>
      <c r="F838" s="22" t="str">
        <f>_xlfn.XLOOKUP(E838,menu!$A$2:$A$37,menu!$B$2:$B$37,"")</f>
        <v/>
      </c>
      <c r="G838" t="str">
        <f>_xlfn.XLOOKUP(E838,menu!$A$2:$A$37,menu!$C$2:$C$37,"")</f>
        <v/>
      </c>
      <c r="H838" t="str">
        <f>_xlfn.LET(_xlpm.x,_xlfn.XLOOKUP(_xlfn.XLOOKUP(D838,beans!$A$2:$A$300,beans!$I$2:$I$300),menu!$E$2:$E$20,menu!$F$2:$F$20),IF(_xlpm.x="","",_xlpm.x))</f>
        <v/>
      </c>
      <c r="T838" s="68" t="str">
        <f t="shared" si="98"/>
        <v/>
      </c>
      <c r="U838" t="str">
        <f t="shared" si="94"/>
        <v/>
      </c>
      <c r="V838">
        <f t="shared" si="99"/>
        <v>0</v>
      </c>
      <c r="W838" t="str">
        <f t="shared" si="95"/>
        <v/>
      </c>
      <c r="AB838" s="28" t="str">
        <f t="shared" si="96"/>
        <v xml:space="preserve"> </v>
      </c>
      <c r="AE838" s="61" t="str">
        <f t="shared" si="97"/>
        <v/>
      </c>
      <c r="AF838" s="77" t="str">
        <f>_xlfn.XLOOKUP(AD838,menu!$K$2:$K$9,menu!$J$2:$J$9,"",1)</f>
        <v/>
      </c>
      <c r="AG838" s="80" t="str">
        <f>_xlfn.XLOOKUP(AH838,menu!$O$2:$O$9,menu!$H$2:$H$9,"")</f>
        <v/>
      </c>
      <c r="AI838" t="str">
        <f>_xlfn.LET(_xlpm.x,_xlfn.CONCAT(_xlfn.XLOOKUP(D838,beans!$A$2:$A$300,beans!$J$2:$J$300,"")," / ",_xlfn.XLOOKUP(D838,beans!$A$2:$A$300,beans!$K$2:$K$300,"")," - ",_xlfn.XLOOKUP(D838,beans!$A$2:$A$300,beans!$L$2:$L$300,"")),IF(_xlpm.x=" /  - ","",_xlpm.x))</f>
        <v/>
      </c>
    </row>
    <row r="839" spans="1:35" x14ac:dyDescent="0.3">
      <c r="A839">
        <v>822</v>
      </c>
      <c r="E839" t="str">
        <f>_xlfn.LET(_xlpm.x,_xlfn.XLOOKUP(D839,beans!$A$2:$A$300,beans!$H$2:$H$300,""),IF(_xlpm.x="","",_xlpm.x))</f>
        <v/>
      </c>
      <c r="F839" s="22" t="str">
        <f>_xlfn.XLOOKUP(E839,menu!$A$2:$A$37,menu!$B$2:$B$37,"")</f>
        <v/>
      </c>
      <c r="G839" t="str">
        <f>_xlfn.XLOOKUP(E839,menu!$A$2:$A$37,menu!$C$2:$C$37,"")</f>
        <v/>
      </c>
      <c r="H839" t="str">
        <f>_xlfn.LET(_xlpm.x,_xlfn.XLOOKUP(_xlfn.XLOOKUP(D839,beans!$A$2:$A$300,beans!$I$2:$I$300),menu!$E$2:$E$20,menu!$F$2:$F$20),IF(_xlpm.x="","",_xlpm.x))</f>
        <v/>
      </c>
      <c r="T839" s="68" t="str">
        <f t="shared" si="98"/>
        <v/>
      </c>
      <c r="U839" t="str">
        <f t="shared" si="94"/>
        <v/>
      </c>
      <c r="V839">
        <f t="shared" si="99"/>
        <v>0</v>
      </c>
      <c r="W839" t="str">
        <f t="shared" si="95"/>
        <v/>
      </c>
      <c r="AB839" s="28" t="str">
        <f t="shared" si="96"/>
        <v xml:space="preserve"> </v>
      </c>
      <c r="AE839" s="61" t="str">
        <f t="shared" si="97"/>
        <v/>
      </c>
      <c r="AF839" s="77" t="str">
        <f>_xlfn.XLOOKUP(AD839,menu!$K$2:$K$9,menu!$J$2:$J$9,"",1)</f>
        <v/>
      </c>
      <c r="AG839" s="80" t="str">
        <f>_xlfn.XLOOKUP(AH839,menu!$O$2:$O$9,menu!$H$2:$H$9,"")</f>
        <v/>
      </c>
      <c r="AI839" t="str">
        <f>_xlfn.LET(_xlpm.x,_xlfn.CONCAT(_xlfn.XLOOKUP(D839,beans!$A$2:$A$300,beans!$J$2:$J$300,"")," / ",_xlfn.XLOOKUP(D839,beans!$A$2:$A$300,beans!$K$2:$K$300,"")," - ",_xlfn.XLOOKUP(D839,beans!$A$2:$A$300,beans!$L$2:$L$300,"")),IF(_xlpm.x=" /  - ","",_xlpm.x))</f>
        <v/>
      </c>
    </row>
    <row r="840" spans="1:35" x14ac:dyDescent="0.3">
      <c r="A840">
        <v>823</v>
      </c>
      <c r="E840" t="str">
        <f>_xlfn.LET(_xlpm.x,_xlfn.XLOOKUP(D840,beans!$A$2:$A$300,beans!$H$2:$H$300,""),IF(_xlpm.x="","",_xlpm.x))</f>
        <v/>
      </c>
      <c r="F840" s="22" t="str">
        <f>_xlfn.XLOOKUP(E840,menu!$A$2:$A$37,menu!$B$2:$B$37,"")</f>
        <v/>
      </c>
      <c r="G840" t="str">
        <f>_xlfn.XLOOKUP(E840,menu!$A$2:$A$37,menu!$C$2:$C$37,"")</f>
        <v/>
      </c>
      <c r="H840" t="str">
        <f>_xlfn.LET(_xlpm.x,_xlfn.XLOOKUP(_xlfn.XLOOKUP(D840,beans!$A$2:$A$300,beans!$I$2:$I$300),menu!$E$2:$E$20,menu!$F$2:$F$20),IF(_xlpm.x="","",_xlpm.x))</f>
        <v/>
      </c>
      <c r="T840" s="68" t="str">
        <f t="shared" si="98"/>
        <v/>
      </c>
      <c r="U840" t="str">
        <f t="shared" si="94"/>
        <v/>
      </c>
      <c r="V840">
        <f t="shared" si="99"/>
        <v>0</v>
      </c>
      <c r="W840" t="str">
        <f t="shared" si="95"/>
        <v/>
      </c>
      <c r="AB840" s="28" t="str">
        <f t="shared" si="96"/>
        <v xml:space="preserve"> </v>
      </c>
      <c r="AE840" s="61" t="str">
        <f t="shared" si="97"/>
        <v/>
      </c>
      <c r="AF840" s="77" t="str">
        <f>_xlfn.XLOOKUP(AD840,menu!$K$2:$K$9,menu!$J$2:$J$9,"",1)</f>
        <v/>
      </c>
      <c r="AG840" s="80" t="str">
        <f>_xlfn.XLOOKUP(AH840,menu!$O$2:$O$9,menu!$H$2:$H$9,"")</f>
        <v/>
      </c>
      <c r="AI840" t="str">
        <f>_xlfn.LET(_xlpm.x,_xlfn.CONCAT(_xlfn.XLOOKUP(D840,beans!$A$2:$A$300,beans!$J$2:$J$300,"")," / ",_xlfn.XLOOKUP(D840,beans!$A$2:$A$300,beans!$K$2:$K$300,"")," - ",_xlfn.XLOOKUP(D840,beans!$A$2:$A$300,beans!$L$2:$L$300,"")),IF(_xlpm.x=" /  - ","",_xlpm.x))</f>
        <v/>
      </c>
    </row>
    <row r="841" spans="1:35" x14ac:dyDescent="0.3">
      <c r="A841">
        <v>824</v>
      </c>
      <c r="E841" t="str">
        <f>_xlfn.LET(_xlpm.x,_xlfn.XLOOKUP(D841,beans!$A$2:$A$300,beans!$H$2:$H$300,""),IF(_xlpm.x="","",_xlpm.x))</f>
        <v/>
      </c>
      <c r="F841" s="22" t="str">
        <f>_xlfn.XLOOKUP(E841,menu!$A$2:$A$37,menu!$B$2:$B$37,"")</f>
        <v/>
      </c>
      <c r="G841" t="str">
        <f>_xlfn.XLOOKUP(E841,menu!$A$2:$A$37,menu!$C$2:$C$37,"")</f>
        <v/>
      </c>
      <c r="H841" t="str">
        <f>_xlfn.LET(_xlpm.x,_xlfn.XLOOKUP(_xlfn.XLOOKUP(D841,beans!$A$2:$A$300,beans!$I$2:$I$300),menu!$E$2:$E$20,menu!$F$2:$F$20),IF(_xlpm.x="","",_xlpm.x))</f>
        <v/>
      </c>
      <c r="T841" s="68" t="str">
        <f t="shared" si="98"/>
        <v/>
      </c>
      <c r="U841" t="str">
        <f t="shared" si="94"/>
        <v/>
      </c>
      <c r="V841">
        <f t="shared" si="99"/>
        <v>0</v>
      </c>
      <c r="W841" t="str">
        <f t="shared" si="95"/>
        <v/>
      </c>
      <c r="AB841" s="28" t="str">
        <f t="shared" si="96"/>
        <v xml:space="preserve"> </v>
      </c>
      <c r="AE841" s="61" t="str">
        <f t="shared" si="97"/>
        <v/>
      </c>
      <c r="AF841" s="77" t="str">
        <f>_xlfn.XLOOKUP(AD841,menu!$K$2:$K$9,menu!$J$2:$J$9,"",1)</f>
        <v/>
      </c>
      <c r="AG841" s="80" t="str">
        <f>_xlfn.XLOOKUP(AH841,menu!$O$2:$O$9,menu!$H$2:$H$9,"")</f>
        <v/>
      </c>
      <c r="AI841" t="str">
        <f>_xlfn.LET(_xlpm.x,_xlfn.CONCAT(_xlfn.XLOOKUP(D841,beans!$A$2:$A$300,beans!$J$2:$J$300,"")," / ",_xlfn.XLOOKUP(D841,beans!$A$2:$A$300,beans!$K$2:$K$300,"")," - ",_xlfn.XLOOKUP(D841,beans!$A$2:$A$300,beans!$L$2:$L$300,"")),IF(_xlpm.x=" /  - ","",_xlpm.x))</f>
        <v/>
      </c>
    </row>
    <row r="842" spans="1:35" x14ac:dyDescent="0.3">
      <c r="A842">
        <v>825</v>
      </c>
      <c r="E842" t="str">
        <f>_xlfn.LET(_xlpm.x,_xlfn.XLOOKUP(D842,beans!$A$2:$A$300,beans!$H$2:$H$300,""),IF(_xlpm.x="","",_xlpm.x))</f>
        <v/>
      </c>
      <c r="F842" s="22" t="str">
        <f>_xlfn.XLOOKUP(E842,menu!$A$2:$A$37,menu!$B$2:$B$37,"")</f>
        <v/>
      </c>
      <c r="G842" t="str">
        <f>_xlfn.XLOOKUP(E842,menu!$A$2:$A$37,menu!$C$2:$C$37,"")</f>
        <v/>
      </c>
      <c r="H842" t="str">
        <f>_xlfn.LET(_xlpm.x,_xlfn.XLOOKUP(_xlfn.XLOOKUP(D842,beans!$A$2:$A$300,beans!$I$2:$I$300),menu!$E$2:$E$20,menu!$F$2:$F$20),IF(_xlpm.x="","",_xlpm.x))</f>
        <v/>
      </c>
      <c r="T842" s="68" t="str">
        <f t="shared" si="98"/>
        <v/>
      </c>
      <c r="U842" t="str">
        <f t="shared" si="94"/>
        <v/>
      </c>
      <c r="V842">
        <f t="shared" si="99"/>
        <v>0</v>
      </c>
      <c r="W842" t="str">
        <f t="shared" si="95"/>
        <v/>
      </c>
      <c r="AB842" s="28" t="str">
        <f t="shared" si="96"/>
        <v xml:space="preserve"> </v>
      </c>
      <c r="AE842" s="61" t="str">
        <f t="shared" si="97"/>
        <v/>
      </c>
      <c r="AF842" s="77" t="str">
        <f>_xlfn.XLOOKUP(AD842,menu!$K$2:$K$9,menu!$J$2:$J$9,"",1)</f>
        <v/>
      </c>
      <c r="AG842" s="80" t="str">
        <f>_xlfn.XLOOKUP(AH842,menu!$O$2:$O$9,menu!$H$2:$H$9,"")</f>
        <v/>
      </c>
      <c r="AI842" t="str">
        <f>_xlfn.LET(_xlpm.x,_xlfn.CONCAT(_xlfn.XLOOKUP(D842,beans!$A$2:$A$300,beans!$J$2:$J$300,"")," / ",_xlfn.XLOOKUP(D842,beans!$A$2:$A$300,beans!$K$2:$K$300,"")," - ",_xlfn.XLOOKUP(D842,beans!$A$2:$A$300,beans!$L$2:$L$300,"")),IF(_xlpm.x=" /  - ","",_xlpm.x))</f>
        <v/>
      </c>
    </row>
    <row r="843" spans="1:35" x14ac:dyDescent="0.3">
      <c r="A843">
        <v>826</v>
      </c>
      <c r="E843" t="str">
        <f>_xlfn.LET(_xlpm.x,_xlfn.XLOOKUP(D843,beans!$A$2:$A$300,beans!$H$2:$H$300,""),IF(_xlpm.x="","",_xlpm.x))</f>
        <v/>
      </c>
      <c r="F843" s="22" t="str">
        <f>_xlfn.XLOOKUP(E843,menu!$A$2:$A$37,menu!$B$2:$B$37,"")</f>
        <v/>
      </c>
      <c r="G843" t="str">
        <f>_xlfn.XLOOKUP(E843,menu!$A$2:$A$37,menu!$C$2:$C$37,"")</f>
        <v/>
      </c>
      <c r="H843" t="str">
        <f>_xlfn.LET(_xlpm.x,_xlfn.XLOOKUP(_xlfn.XLOOKUP(D843,beans!$A$2:$A$300,beans!$I$2:$I$300),menu!$E$2:$E$20,menu!$F$2:$F$20),IF(_xlpm.x="","",_xlpm.x))</f>
        <v/>
      </c>
      <c r="T843" s="68" t="str">
        <f t="shared" si="98"/>
        <v/>
      </c>
      <c r="U843" t="str">
        <f t="shared" si="94"/>
        <v/>
      </c>
      <c r="V843">
        <f t="shared" si="99"/>
        <v>0</v>
      </c>
      <c r="W843" t="str">
        <f t="shared" si="95"/>
        <v/>
      </c>
      <c r="AB843" s="28" t="str">
        <f t="shared" si="96"/>
        <v xml:space="preserve"> </v>
      </c>
      <c r="AE843" s="61" t="str">
        <f t="shared" si="97"/>
        <v/>
      </c>
      <c r="AF843" s="77" t="str">
        <f>_xlfn.XLOOKUP(AD843,menu!$K$2:$K$9,menu!$J$2:$J$9,"",1)</f>
        <v/>
      </c>
      <c r="AG843" s="80" t="str">
        <f>_xlfn.XLOOKUP(AH843,menu!$O$2:$O$9,menu!$H$2:$H$9,"")</f>
        <v/>
      </c>
      <c r="AI843" t="str">
        <f>_xlfn.LET(_xlpm.x,_xlfn.CONCAT(_xlfn.XLOOKUP(D843,beans!$A$2:$A$300,beans!$J$2:$J$300,"")," / ",_xlfn.XLOOKUP(D843,beans!$A$2:$A$300,beans!$K$2:$K$300,"")," - ",_xlfn.XLOOKUP(D843,beans!$A$2:$A$300,beans!$L$2:$L$300,"")),IF(_xlpm.x=" /  - ","",_xlpm.x))</f>
        <v/>
      </c>
    </row>
    <row r="844" spans="1:35" x14ac:dyDescent="0.3">
      <c r="A844">
        <v>827</v>
      </c>
      <c r="E844" t="str">
        <f>_xlfn.LET(_xlpm.x,_xlfn.XLOOKUP(D844,beans!$A$2:$A$300,beans!$H$2:$H$300,""),IF(_xlpm.x="","",_xlpm.x))</f>
        <v/>
      </c>
      <c r="F844" s="22" t="str">
        <f>_xlfn.XLOOKUP(E844,menu!$A$2:$A$37,menu!$B$2:$B$37,"")</f>
        <v/>
      </c>
      <c r="G844" t="str">
        <f>_xlfn.XLOOKUP(E844,menu!$A$2:$A$37,menu!$C$2:$C$37,"")</f>
        <v/>
      </c>
      <c r="H844" t="str">
        <f>_xlfn.LET(_xlpm.x,_xlfn.XLOOKUP(_xlfn.XLOOKUP(D844,beans!$A$2:$A$300,beans!$I$2:$I$300),menu!$E$2:$E$20,menu!$F$2:$F$20),IF(_xlpm.x="","",_xlpm.x))</f>
        <v/>
      </c>
      <c r="T844" s="68" t="str">
        <f t="shared" si="98"/>
        <v/>
      </c>
      <c r="U844" t="str">
        <f t="shared" si="94"/>
        <v/>
      </c>
      <c r="V844">
        <f t="shared" si="99"/>
        <v>0</v>
      </c>
      <c r="W844" t="str">
        <f t="shared" si="95"/>
        <v/>
      </c>
      <c r="AB844" s="28" t="str">
        <f t="shared" si="96"/>
        <v xml:space="preserve"> </v>
      </c>
      <c r="AE844" s="61" t="str">
        <f t="shared" si="97"/>
        <v/>
      </c>
      <c r="AF844" s="77" t="str">
        <f>_xlfn.XLOOKUP(AD844,menu!$K$2:$K$9,menu!$J$2:$J$9,"",1)</f>
        <v/>
      </c>
      <c r="AG844" s="80" t="str">
        <f>_xlfn.XLOOKUP(AH844,menu!$O$2:$O$9,menu!$H$2:$H$9,"")</f>
        <v/>
      </c>
      <c r="AI844" t="str">
        <f>_xlfn.LET(_xlpm.x,_xlfn.CONCAT(_xlfn.XLOOKUP(D844,beans!$A$2:$A$300,beans!$J$2:$J$300,"")," / ",_xlfn.XLOOKUP(D844,beans!$A$2:$A$300,beans!$K$2:$K$300,"")," - ",_xlfn.XLOOKUP(D844,beans!$A$2:$A$300,beans!$L$2:$L$300,"")),IF(_xlpm.x=" /  - ","",_xlpm.x))</f>
        <v/>
      </c>
    </row>
    <row r="845" spans="1:35" x14ac:dyDescent="0.3">
      <c r="A845">
        <v>828</v>
      </c>
      <c r="E845" t="str">
        <f>_xlfn.LET(_xlpm.x,_xlfn.XLOOKUP(D845,beans!$A$2:$A$300,beans!$H$2:$H$300,""),IF(_xlpm.x="","",_xlpm.x))</f>
        <v/>
      </c>
      <c r="F845" s="22" t="str">
        <f>_xlfn.XLOOKUP(E845,menu!$A$2:$A$37,menu!$B$2:$B$37,"")</f>
        <v/>
      </c>
      <c r="G845" t="str">
        <f>_xlfn.XLOOKUP(E845,menu!$A$2:$A$37,menu!$C$2:$C$37,"")</f>
        <v/>
      </c>
      <c r="H845" t="str">
        <f>_xlfn.LET(_xlpm.x,_xlfn.XLOOKUP(_xlfn.XLOOKUP(D845,beans!$A$2:$A$300,beans!$I$2:$I$300),menu!$E$2:$E$20,menu!$F$2:$F$20),IF(_xlpm.x="","",_xlpm.x))</f>
        <v/>
      </c>
      <c r="T845" s="68" t="str">
        <f t="shared" si="98"/>
        <v/>
      </c>
      <c r="U845" t="str">
        <f t="shared" si="94"/>
        <v/>
      </c>
      <c r="V845">
        <f t="shared" si="99"/>
        <v>0</v>
      </c>
      <c r="W845" t="str">
        <f t="shared" si="95"/>
        <v/>
      </c>
      <c r="AB845" s="28" t="str">
        <f t="shared" si="96"/>
        <v xml:space="preserve"> </v>
      </c>
      <c r="AE845" s="61" t="str">
        <f t="shared" si="97"/>
        <v/>
      </c>
      <c r="AF845" s="77" t="str">
        <f>_xlfn.XLOOKUP(AD845,menu!$K$2:$K$9,menu!$J$2:$J$9,"",1)</f>
        <v/>
      </c>
      <c r="AG845" s="80" t="str">
        <f>_xlfn.XLOOKUP(AH845,menu!$O$2:$O$9,menu!$H$2:$H$9,"")</f>
        <v/>
      </c>
      <c r="AI845" t="str">
        <f>_xlfn.LET(_xlpm.x,_xlfn.CONCAT(_xlfn.XLOOKUP(D845,beans!$A$2:$A$300,beans!$J$2:$J$300,"")," / ",_xlfn.XLOOKUP(D845,beans!$A$2:$A$300,beans!$K$2:$K$300,"")," - ",_xlfn.XLOOKUP(D845,beans!$A$2:$A$300,beans!$L$2:$L$300,"")),IF(_xlpm.x=" /  - ","",_xlpm.x))</f>
        <v/>
      </c>
    </row>
    <row r="846" spans="1:35" x14ac:dyDescent="0.3">
      <c r="A846">
        <v>829</v>
      </c>
      <c r="E846" t="str">
        <f>_xlfn.LET(_xlpm.x,_xlfn.XLOOKUP(D846,beans!$A$2:$A$300,beans!$H$2:$H$300,""),IF(_xlpm.x="","",_xlpm.x))</f>
        <v/>
      </c>
      <c r="F846" s="22" t="str">
        <f>_xlfn.XLOOKUP(E846,menu!$A$2:$A$37,menu!$B$2:$B$37,"")</f>
        <v/>
      </c>
      <c r="G846" t="str">
        <f>_xlfn.XLOOKUP(E846,menu!$A$2:$A$37,menu!$C$2:$C$37,"")</f>
        <v/>
      </c>
      <c r="H846" t="str">
        <f>_xlfn.LET(_xlpm.x,_xlfn.XLOOKUP(_xlfn.XLOOKUP(D846,beans!$A$2:$A$300,beans!$I$2:$I$300),menu!$E$2:$E$20,menu!$F$2:$F$20),IF(_xlpm.x="","",_xlpm.x))</f>
        <v/>
      </c>
      <c r="T846" s="68" t="str">
        <f t="shared" si="98"/>
        <v/>
      </c>
      <c r="U846" t="str">
        <f t="shared" si="94"/>
        <v/>
      </c>
      <c r="V846">
        <f t="shared" si="99"/>
        <v>0</v>
      </c>
      <c r="W846" t="str">
        <f t="shared" si="95"/>
        <v/>
      </c>
      <c r="AB846" s="28" t="str">
        <f t="shared" si="96"/>
        <v xml:space="preserve"> </v>
      </c>
      <c r="AE846" s="61" t="str">
        <f t="shared" si="97"/>
        <v/>
      </c>
      <c r="AF846" s="77" t="str">
        <f>_xlfn.XLOOKUP(AD846,menu!$K$2:$K$9,menu!$J$2:$J$9,"",1)</f>
        <v/>
      </c>
      <c r="AG846" s="80" t="str">
        <f>_xlfn.XLOOKUP(AH846,menu!$O$2:$O$9,menu!$H$2:$H$9,"")</f>
        <v/>
      </c>
      <c r="AI846" t="str">
        <f>_xlfn.LET(_xlpm.x,_xlfn.CONCAT(_xlfn.XLOOKUP(D846,beans!$A$2:$A$300,beans!$J$2:$J$300,"")," / ",_xlfn.XLOOKUP(D846,beans!$A$2:$A$300,beans!$K$2:$K$300,"")," - ",_xlfn.XLOOKUP(D846,beans!$A$2:$A$300,beans!$L$2:$L$300,"")),IF(_xlpm.x=" /  - ","",_xlpm.x))</f>
        <v/>
      </c>
    </row>
    <row r="847" spans="1:35" x14ac:dyDescent="0.3">
      <c r="A847">
        <v>830</v>
      </c>
      <c r="E847" t="str">
        <f>_xlfn.LET(_xlpm.x,_xlfn.XLOOKUP(D847,beans!$A$2:$A$300,beans!$H$2:$H$300,""),IF(_xlpm.x="","",_xlpm.x))</f>
        <v/>
      </c>
      <c r="F847" s="22" t="str">
        <f>_xlfn.XLOOKUP(E847,menu!$A$2:$A$37,menu!$B$2:$B$37,"")</f>
        <v/>
      </c>
      <c r="G847" t="str">
        <f>_xlfn.XLOOKUP(E847,menu!$A$2:$A$37,menu!$C$2:$C$37,"")</f>
        <v/>
      </c>
      <c r="H847" t="str">
        <f>_xlfn.LET(_xlpm.x,_xlfn.XLOOKUP(_xlfn.XLOOKUP(D847,beans!$A$2:$A$300,beans!$I$2:$I$300),menu!$E$2:$E$20,menu!$F$2:$F$20),IF(_xlpm.x="","",_xlpm.x))</f>
        <v/>
      </c>
      <c r="T847" s="68" t="str">
        <f t="shared" si="98"/>
        <v/>
      </c>
      <c r="U847" t="str">
        <f t="shared" si="94"/>
        <v/>
      </c>
      <c r="V847">
        <f t="shared" si="99"/>
        <v>0</v>
      </c>
      <c r="W847" t="str">
        <f t="shared" si="95"/>
        <v/>
      </c>
      <c r="AB847" s="28" t="str">
        <f t="shared" si="96"/>
        <v xml:space="preserve"> </v>
      </c>
      <c r="AE847" s="61" t="str">
        <f t="shared" si="97"/>
        <v/>
      </c>
      <c r="AF847" s="77" t="str">
        <f>_xlfn.XLOOKUP(AD847,menu!$K$2:$K$9,menu!$J$2:$J$9,"",1)</f>
        <v/>
      </c>
      <c r="AG847" s="80" t="str">
        <f>_xlfn.XLOOKUP(AH847,menu!$O$2:$O$9,menu!$H$2:$H$9,"")</f>
        <v/>
      </c>
      <c r="AI847" t="str">
        <f>_xlfn.LET(_xlpm.x,_xlfn.CONCAT(_xlfn.XLOOKUP(D847,beans!$A$2:$A$300,beans!$J$2:$J$300,"")," / ",_xlfn.XLOOKUP(D847,beans!$A$2:$A$300,beans!$K$2:$K$300,"")," - ",_xlfn.XLOOKUP(D847,beans!$A$2:$A$300,beans!$L$2:$L$300,"")),IF(_xlpm.x=" /  - ","",_xlpm.x))</f>
        <v/>
      </c>
    </row>
    <row r="848" spans="1:35" x14ac:dyDescent="0.3">
      <c r="A848">
        <v>831</v>
      </c>
      <c r="E848" t="str">
        <f>_xlfn.LET(_xlpm.x,_xlfn.XLOOKUP(D848,beans!$A$2:$A$300,beans!$H$2:$H$300,""),IF(_xlpm.x="","",_xlpm.x))</f>
        <v/>
      </c>
      <c r="F848" s="22" t="str">
        <f>_xlfn.XLOOKUP(E848,menu!$A$2:$A$37,menu!$B$2:$B$37,"")</f>
        <v/>
      </c>
      <c r="G848" t="str">
        <f>_xlfn.XLOOKUP(E848,menu!$A$2:$A$37,menu!$C$2:$C$37,"")</f>
        <v/>
      </c>
      <c r="H848" t="str">
        <f>_xlfn.LET(_xlpm.x,_xlfn.XLOOKUP(_xlfn.XLOOKUP(D848,beans!$A$2:$A$300,beans!$I$2:$I$300),menu!$E$2:$E$20,menu!$F$2:$F$20),IF(_xlpm.x="","",_xlpm.x))</f>
        <v/>
      </c>
      <c r="T848" s="68" t="str">
        <f t="shared" si="98"/>
        <v/>
      </c>
      <c r="U848" t="str">
        <f t="shared" si="94"/>
        <v/>
      </c>
      <c r="V848">
        <f t="shared" si="99"/>
        <v>0</v>
      </c>
      <c r="W848" t="str">
        <f t="shared" si="95"/>
        <v/>
      </c>
      <c r="AB848" s="28" t="str">
        <f t="shared" si="96"/>
        <v xml:space="preserve"> </v>
      </c>
      <c r="AE848" s="61" t="str">
        <f t="shared" si="97"/>
        <v/>
      </c>
      <c r="AF848" s="77" t="str">
        <f>_xlfn.XLOOKUP(AD848,menu!$K$2:$K$9,menu!$J$2:$J$9,"",1)</f>
        <v/>
      </c>
      <c r="AG848" s="80" t="str">
        <f>_xlfn.XLOOKUP(AH848,menu!$O$2:$O$9,menu!$H$2:$H$9,"")</f>
        <v/>
      </c>
      <c r="AI848" t="str">
        <f>_xlfn.LET(_xlpm.x,_xlfn.CONCAT(_xlfn.XLOOKUP(D848,beans!$A$2:$A$300,beans!$J$2:$J$300,"")," / ",_xlfn.XLOOKUP(D848,beans!$A$2:$A$300,beans!$K$2:$K$300,"")," - ",_xlfn.XLOOKUP(D848,beans!$A$2:$A$300,beans!$L$2:$L$300,"")),IF(_xlpm.x=" /  - ","",_xlpm.x))</f>
        <v/>
      </c>
    </row>
    <row r="849" spans="1:35" x14ac:dyDescent="0.3">
      <c r="A849">
        <v>832</v>
      </c>
      <c r="E849" t="str">
        <f>_xlfn.LET(_xlpm.x,_xlfn.XLOOKUP(D849,beans!$A$2:$A$300,beans!$H$2:$H$300,""),IF(_xlpm.x="","",_xlpm.x))</f>
        <v/>
      </c>
      <c r="F849" s="22" t="str">
        <f>_xlfn.XLOOKUP(E849,menu!$A$2:$A$37,menu!$B$2:$B$37,"")</f>
        <v/>
      </c>
      <c r="G849" t="str">
        <f>_xlfn.XLOOKUP(E849,menu!$A$2:$A$37,menu!$C$2:$C$37,"")</f>
        <v/>
      </c>
      <c r="H849" t="str">
        <f>_xlfn.LET(_xlpm.x,_xlfn.XLOOKUP(_xlfn.XLOOKUP(D849,beans!$A$2:$A$300,beans!$I$2:$I$300),menu!$E$2:$E$20,menu!$F$2:$F$20),IF(_xlpm.x="","",_xlpm.x))</f>
        <v/>
      </c>
      <c r="T849" s="68" t="str">
        <f t="shared" si="98"/>
        <v/>
      </c>
      <c r="U849" t="str">
        <f t="shared" si="94"/>
        <v/>
      </c>
      <c r="V849">
        <f t="shared" si="99"/>
        <v>0</v>
      </c>
      <c r="W849" t="str">
        <f t="shared" si="95"/>
        <v/>
      </c>
      <c r="AB849" s="28" t="str">
        <f t="shared" si="96"/>
        <v xml:space="preserve"> </v>
      </c>
      <c r="AE849" s="61" t="str">
        <f t="shared" si="97"/>
        <v/>
      </c>
      <c r="AF849" s="77" t="str">
        <f>_xlfn.XLOOKUP(AD849,menu!$K$2:$K$9,menu!$J$2:$J$9,"",1)</f>
        <v/>
      </c>
      <c r="AG849" s="80" t="str">
        <f>_xlfn.XLOOKUP(AH849,menu!$O$2:$O$9,menu!$H$2:$H$9,"")</f>
        <v/>
      </c>
      <c r="AI849" t="str">
        <f>_xlfn.LET(_xlpm.x,_xlfn.CONCAT(_xlfn.XLOOKUP(D849,beans!$A$2:$A$300,beans!$J$2:$J$300,"")," / ",_xlfn.XLOOKUP(D849,beans!$A$2:$A$300,beans!$K$2:$K$300,"")," - ",_xlfn.XLOOKUP(D849,beans!$A$2:$A$300,beans!$L$2:$L$300,"")),IF(_xlpm.x=" /  - ","",_xlpm.x))</f>
        <v/>
      </c>
    </row>
    <row r="850" spans="1:35" x14ac:dyDescent="0.3">
      <c r="A850">
        <v>833</v>
      </c>
      <c r="E850" t="str">
        <f>_xlfn.LET(_xlpm.x,_xlfn.XLOOKUP(D850,beans!$A$2:$A$300,beans!$H$2:$H$300,""),IF(_xlpm.x="","",_xlpm.x))</f>
        <v/>
      </c>
      <c r="F850" s="22" t="str">
        <f>_xlfn.XLOOKUP(E850,menu!$A$2:$A$37,menu!$B$2:$B$37,"")</f>
        <v/>
      </c>
      <c r="G850" t="str">
        <f>_xlfn.XLOOKUP(E850,menu!$A$2:$A$37,menu!$C$2:$C$37,"")</f>
        <v/>
      </c>
      <c r="H850" t="str">
        <f>_xlfn.LET(_xlpm.x,_xlfn.XLOOKUP(_xlfn.XLOOKUP(D850,beans!$A$2:$A$300,beans!$I$2:$I$300),menu!$E$2:$E$20,menu!$F$2:$F$20),IF(_xlpm.x="","",_xlpm.x))</f>
        <v/>
      </c>
      <c r="T850" s="68" t="str">
        <f t="shared" si="98"/>
        <v/>
      </c>
      <c r="U850" t="str">
        <f t="shared" si="94"/>
        <v/>
      </c>
      <c r="V850">
        <f t="shared" si="99"/>
        <v>0</v>
      </c>
      <c r="W850" t="str">
        <f t="shared" si="95"/>
        <v/>
      </c>
      <c r="AB850" s="28" t="str">
        <f t="shared" si="96"/>
        <v xml:space="preserve"> </v>
      </c>
      <c r="AE850" s="61" t="str">
        <f t="shared" si="97"/>
        <v/>
      </c>
      <c r="AF850" s="77" t="str">
        <f>_xlfn.XLOOKUP(AD850,menu!$K$2:$K$9,menu!$J$2:$J$9,"",1)</f>
        <v/>
      </c>
      <c r="AG850" s="80" t="str">
        <f>_xlfn.XLOOKUP(AH850,menu!$O$2:$O$9,menu!$H$2:$H$9,"")</f>
        <v/>
      </c>
      <c r="AI850" t="str">
        <f>_xlfn.LET(_xlpm.x,_xlfn.CONCAT(_xlfn.XLOOKUP(D850,beans!$A$2:$A$300,beans!$J$2:$J$300,"")," / ",_xlfn.XLOOKUP(D850,beans!$A$2:$A$300,beans!$K$2:$K$300,"")," - ",_xlfn.XLOOKUP(D850,beans!$A$2:$A$300,beans!$L$2:$L$300,"")),IF(_xlpm.x=" /  - ","",_xlpm.x))</f>
        <v/>
      </c>
    </row>
    <row r="851" spans="1:35" x14ac:dyDescent="0.3">
      <c r="A851">
        <v>834</v>
      </c>
      <c r="E851" t="str">
        <f>_xlfn.LET(_xlpm.x,_xlfn.XLOOKUP(D851,beans!$A$2:$A$300,beans!$H$2:$H$300,""),IF(_xlpm.x="","",_xlpm.x))</f>
        <v/>
      </c>
      <c r="F851" s="22" t="str">
        <f>_xlfn.XLOOKUP(E851,menu!$A$2:$A$37,menu!$B$2:$B$37,"")</f>
        <v/>
      </c>
      <c r="G851" t="str">
        <f>_xlfn.XLOOKUP(E851,menu!$A$2:$A$37,menu!$C$2:$C$37,"")</f>
        <v/>
      </c>
      <c r="H851" t="str">
        <f>_xlfn.LET(_xlpm.x,_xlfn.XLOOKUP(_xlfn.XLOOKUP(D851,beans!$A$2:$A$300,beans!$I$2:$I$300),menu!$E$2:$E$20,menu!$F$2:$F$20),IF(_xlpm.x="","",_xlpm.x))</f>
        <v/>
      </c>
      <c r="T851" s="68" t="str">
        <f t="shared" si="98"/>
        <v/>
      </c>
      <c r="U851" t="str">
        <f t="shared" si="94"/>
        <v/>
      </c>
      <c r="V851">
        <f t="shared" si="99"/>
        <v>0</v>
      </c>
      <c r="W851" t="str">
        <f t="shared" si="95"/>
        <v/>
      </c>
      <c r="AB851" s="28" t="str">
        <f t="shared" si="96"/>
        <v xml:space="preserve"> </v>
      </c>
      <c r="AE851" s="61" t="str">
        <f t="shared" si="97"/>
        <v/>
      </c>
      <c r="AF851" s="77" t="str">
        <f>_xlfn.XLOOKUP(AD851,menu!$K$2:$K$9,menu!$J$2:$J$9,"",1)</f>
        <v/>
      </c>
      <c r="AG851" s="80" t="str">
        <f>_xlfn.XLOOKUP(AH851,menu!$O$2:$O$9,menu!$H$2:$H$9,"")</f>
        <v/>
      </c>
      <c r="AI851" t="str">
        <f>_xlfn.LET(_xlpm.x,_xlfn.CONCAT(_xlfn.XLOOKUP(D851,beans!$A$2:$A$300,beans!$J$2:$J$300,"")," / ",_xlfn.XLOOKUP(D851,beans!$A$2:$A$300,beans!$K$2:$K$300,"")," - ",_xlfn.XLOOKUP(D851,beans!$A$2:$A$300,beans!$L$2:$L$300,"")),IF(_xlpm.x=" /  - ","",_xlpm.x))</f>
        <v/>
      </c>
    </row>
    <row r="852" spans="1:35" x14ac:dyDescent="0.3">
      <c r="A852">
        <v>835</v>
      </c>
      <c r="E852" t="str">
        <f>_xlfn.LET(_xlpm.x,_xlfn.XLOOKUP(D852,beans!$A$2:$A$300,beans!$H$2:$H$300,""),IF(_xlpm.x="","",_xlpm.x))</f>
        <v/>
      </c>
      <c r="F852" s="22" t="str">
        <f>_xlfn.XLOOKUP(E852,menu!$A$2:$A$37,menu!$B$2:$B$37,"")</f>
        <v/>
      </c>
      <c r="G852" t="str">
        <f>_xlfn.XLOOKUP(E852,menu!$A$2:$A$37,menu!$C$2:$C$37,"")</f>
        <v/>
      </c>
      <c r="H852" t="str">
        <f>_xlfn.LET(_xlpm.x,_xlfn.XLOOKUP(_xlfn.XLOOKUP(D852,beans!$A$2:$A$300,beans!$I$2:$I$300),menu!$E$2:$E$20,menu!$F$2:$F$20),IF(_xlpm.x="","",_xlpm.x))</f>
        <v/>
      </c>
      <c r="T852" s="68" t="str">
        <f t="shared" si="98"/>
        <v/>
      </c>
      <c r="U852" t="str">
        <f t="shared" si="94"/>
        <v/>
      </c>
      <c r="V852">
        <f t="shared" si="99"/>
        <v>0</v>
      </c>
      <c r="W852" t="str">
        <f t="shared" si="95"/>
        <v/>
      </c>
      <c r="AB852" s="28" t="str">
        <f t="shared" si="96"/>
        <v xml:space="preserve"> </v>
      </c>
      <c r="AE852" s="61" t="str">
        <f t="shared" si="97"/>
        <v/>
      </c>
      <c r="AF852" s="77" t="str">
        <f>_xlfn.XLOOKUP(AD852,menu!$K$2:$K$9,menu!$J$2:$J$9,"",1)</f>
        <v/>
      </c>
      <c r="AG852" s="80" t="str">
        <f>_xlfn.XLOOKUP(AH852,menu!$O$2:$O$9,menu!$H$2:$H$9,"")</f>
        <v/>
      </c>
      <c r="AI852" t="str">
        <f>_xlfn.LET(_xlpm.x,_xlfn.CONCAT(_xlfn.XLOOKUP(D852,beans!$A$2:$A$300,beans!$J$2:$J$300,"")," / ",_xlfn.XLOOKUP(D852,beans!$A$2:$A$300,beans!$K$2:$K$300,"")," - ",_xlfn.XLOOKUP(D852,beans!$A$2:$A$300,beans!$L$2:$L$300,"")),IF(_xlpm.x=" /  - ","",_xlpm.x))</f>
        <v/>
      </c>
    </row>
    <row r="853" spans="1:35" x14ac:dyDescent="0.3">
      <c r="A853">
        <v>836</v>
      </c>
      <c r="E853" t="str">
        <f>_xlfn.LET(_xlpm.x,_xlfn.XLOOKUP(D853,beans!$A$2:$A$300,beans!$H$2:$H$300,""),IF(_xlpm.x="","",_xlpm.x))</f>
        <v/>
      </c>
      <c r="F853" s="22" t="str">
        <f>_xlfn.XLOOKUP(E853,menu!$A$2:$A$37,menu!$B$2:$B$37,"")</f>
        <v/>
      </c>
      <c r="G853" t="str">
        <f>_xlfn.XLOOKUP(E853,menu!$A$2:$A$37,menu!$C$2:$C$37,"")</f>
        <v/>
      </c>
      <c r="H853" t="str">
        <f>_xlfn.LET(_xlpm.x,_xlfn.XLOOKUP(_xlfn.XLOOKUP(D853,beans!$A$2:$A$300,beans!$I$2:$I$300),menu!$E$2:$E$20,menu!$F$2:$F$20),IF(_xlpm.x="","",_xlpm.x))</f>
        <v/>
      </c>
      <c r="T853" s="68" t="str">
        <f t="shared" si="98"/>
        <v/>
      </c>
      <c r="U853" t="str">
        <f t="shared" si="94"/>
        <v/>
      </c>
      <c r="V853">
        <f t="shared" si="99"/>
        <v>0</v>
      </c>
      <c r="W853" t="str">
        <f t="shared" si="95"/>
        <v/>
      </c>
      <c r="AB853" s="28" t="str">
        <f t="shared" si="96"/>
        <v xml:space="preserve"> </v>
      </c>
      <c r="AE853" s="61" t="str">
        <f t="shared" si="97"/>
        <v/>
      </c>
      <c r="AF853" s="77" t="str">
        <f>_xlfn.XLOOKUP(AD853,menu!$K$2:$K$9,menu!$J$2:$J$9,"",1)</f>
        <v/>
      </c>
      <c r="AG853" s="80" t="str">
        <f>_xlfn.XLOOKUP(AH853,menu!$O$2:$O$9,menu!$H$2:$H$9,"")</f>
        <v/>
      </c>
      <c r="AI853" t="str">
        <f>_xlfn.LET(_xlpm.x,_xlfn.CONCAT(_xlfn.XLOOKUP(D853,beans!$A$2:$A$300,beans!$J$2:$J$300,"")," / ",_xlfn.XLOOKUP(D853,beans!$A$2:$A$300,beans!$K$2:$K$300,"")," - ",_xlfn.XLOOKUP(D853,beans!$A$2:$A$300,beans!$L$2:$L$300,"")),IF(_xlpm.x=" /  - ","",_xlpm.x))</f>
        <v/>
      </c>
    </row>
    <row r="854" spans="1:35" x14ac:dyDescent="0.3">
      <c r="A854">
        <v>837</v>
      </c>
      <c r="E854" t="str">
        <f>_xlfn.LET(_xlpm.x,_xlfn.XLOOKUP(D854,beans!$A$2:$A$300,beans!$H$2:$H$300,""),IF(_xlpm.x="","",_xlpm.x))</f>
        <v/>
      </c>
      <c r="F854" s="22" t="str">
        <f>_xlfn.XLOOKUP(E854,menu!$A$2:$A$37,menu!$B$2:$B$37,"")</f>
        <v/>
      </c>
      <c r="G854" t="str">
        <f>_xlfn.XLOOKUP(E854,menu!$A$2:$A$37,menu!$C$2:$C$37,"")</f>
        <v/>
      </c>
      <c r="H854" t="str">
        <f>_xlfn.LET(_xlpm.x,_xlfn.XLOOKUP(_xlfn.XLOOKUP(D854,beans!$A$2:$A$300,beans!$I$2:$I$300),menu!$E$2:$E$20,menu!$F$2:$F$20),IF(_xlpm.x="","",_xlpm.x))</f>
        <v/>
      </c>
      <c r="T854" s="68" t="str">
        <f t="shared" si="98"/>
        <v/>
      </c>
      <c r="U854" t="str">
        <f t="shared" si="94"/>
        <v/>
      </c>
      <c r="V854">
        <f t="shared" si="99"/>
        <v>0</v>
      </c>
      <c r="W854" t="str">
        <f t="shared" si="95"/>
        <v/>
      </c>
      <c r="AB854" s="28" t="str">
        <f t="shared" si="96"/>
        <v xml:space="preserve"> </v>
      </c>
      <c r="AE854" s="61" t="str">
        <f t="shared" si="97"/>
        <v/>
      </c>
      <c r="AF854" s="77" t="str">
        <f>_xlfn.XLOOKUP(AD854,menu!$K$2:$K$9,menu!$J$2:$J$9,"",1)</f>
        <v/>
      </c>
      <c r="AG854" s="80" t="str">
        <f>_xlfn.XLOOKUP(AH854,menu!$O$2:$O$9,menu!$H$2:$H$9,"")</f>
        <v/>
      </c>
      <c r="AI854" t="str">
        <f>_xlfn.LET(_xlpm.x,_xlfn.CONCAT(_xlfn.XLOOKUP(D854,beans!$A$2:$A$300,beans!$J$2:$J$300,"")," / ",_xlfn.XLOOKUP(D854,beans!$A$2:$A$300,beans!$K$2:$K$300,"")," - ",_xlfn.XLOOKUP(D854,beans!$A$2:$A$300,beans!$L$2:$L$300,"")),IF(_xlpm.x=" /  - ","",_xlpm.x))</f>
        <v/>
      </c>
    </row>
    <row r="855" spans="1:35" x14ac:dyDescent="0.3">
      <c r="A855">
        <v>838</v>
      </c>
      <c r="E855" t="str">
        <f>_xlfn.LET(_xlpm.x,_xlfn.XLOOKUP(D855,beans!$A$2:$A$300,beans!$H$2:$H$300,""),IF(_xlpm.x="","",_xlpm.x))</f>
        <v/>
      </c>
      <c r="F855" s="22" t="str">
        <f>_xlfn.XLOOKUP(E855,menu!$A$2:$A$37,menu!$B$2:$B$37,"")</f>
        <v/>
      </c>
      <c r="G855" t="str">
        <f>_xlfn.XLOOKUP(E855,menu!$A$2:$A$37,menu!$C$2:$C$37,"")</f>
        <v/>
      </c>
      <c r="H855" t="str">
        <f>_xlfn.LET(_xlpm.x,_xlfn.XLOOKUP(_xlfn.XLOOKUP(D855,beans!$A$2:$A$300,beans!$I$2:$I$300),menu!$E$2:$E$20,menu!$F$2:$F$20),IF(_xlpm.x="","",_xlpm.x))</f>
        <v/>
      </c>
      <c r="T855" s="68" t="str">
        <f t="shared" si="98"/>
        <v/>
      </c>
      <c r="U855" t="str">
        <f t="shared" si="94"/>
        <v/>
      </c>
      <c r="V855">
        <f t="shared" si="99"/>
        <v>0</v>
      </c>
      <c r="W855" t="str">
        <f t="shared" si="95"/>
        <v/>
      </c>
      <c r="AB855" s="28" t="str">
        <f t="shared" si="96"/>
        <v xml:space="preserve"> </v>
      </c>
      <c r="AE855" s="61" t="str">
        <f t="shared" si="97"/>
        <v/>
      </c>
      <c r="AF855" s="77" t="str">
        <f>_xlfn.XLOOKUP(AD855,menu!$K$2:$K$9,menu!$J$2:$J$9,"",1)</f>
        <v/>
      </c>
      <c r="AG855" s="80" t="str">
        <f>_xlfn.XLOOKUP(AH855,menu!$O$2:$O$9,menu!$H$2:$H$9,"")</f>
        <v/>
      </c>
      <c r="AI855" t="str">
        <f>_xlfn.LET(_xlpm.x,_xlfn.CONCAT(_xlfn.XLOOKUP(D855,beans!$A$2:$A$300,beans!$J$2:$J$300,"")," / ",_xlfn.XLOOKUP(D855,beans!$A$2:$A$300,beans!$K$2:$K$300,"")," - ",_xlfn.XLOOKUP(D855,beans!$A$2:$A$300,beans!$L$2:$L$300,"")),IF(_xlpm.x=" /  - ","",_xlpm.x))</f>
        <v/>
      </c>
    </row>
    <row r="856" spans="1:35" x14ac:dyDescent="0.3">
      <c r="A856">
        <v>839</v>
      </c>
      <c r="E856" t="str">
        <f>_xlfn.LET(_xlpm.x,_xlfn.XLOOKUP(D856,beans!$A$2:$A$300,beans!$H$2:$H$300,""),IF(_xlpm.x="","",_xlpm.x))</f>
        <v/>
      </c>
      <c r="F856" s="22" t="str">
        <f>_xlfn.XLOOKUP(E856,menu!$A$2:$A$37,menu!$B$2:$B$37,"")</f>
        <v/>
      </c>
      <c r="G856" t="str">
        <f>_xlfn.XLOOKUP(E856,menu!$A$2:$A$37,menu!$C$2:$C$37,"")</f>
        <v/>
      </c>
      <c r="H856" t="str">
        <f>_xlfn.LET(_xlpm.x,_xlfn.XLOOKUP(_xlfn.XLOOKUP(D856,beans!$A$2:$A$300,beans!$I$2:$I$300),menu!$E$2:$E$20,menu!$F$2:$F$20),IF(_xlpm.x="","",_xlpm.x))</f>
        <v/>
      </c>
      <c r="T856" s="68" t="str">
        <f t="shared" si="98"/>
        <v/>
      </c>
      <c r="U856" t="str">
        <f t="shared" si="94"/>
        <v/>
      </c>
      <c r="V856">
        <f t="shared" si="99"/>
        <v>0</v>
      </c>
      <c r="W856" t="str">
        <f t="shared" si="95"/>
        <v/>
      </c>
      <c r="AB856" s="28" t="str">
        <f t="shared" si="96"/>
        <v xml:space="preserve"> </v>
      </c>
      <c r="AE856" s="61" t="str">
        <f t="shared" si="97"/>
        <v/>
      </c>
      <c r="AF856" s="77" t="str">
        <f>_xlfn.XLOOKUP(AD856,menu!$K$2:$K$9,menu!$J$2:$J$9,"",1)</f>
        <v/>
      </c>
      <c r="AG856" s="80" t="str">
        <f>_xlfn.XLOOKUP(AH856,menu!$O$2:$O$9,menu!$H$2:$H$9,"")</f>
        <v/>
      </c>
      <c r="AI856" t="str">
        <f>_xlfn.LET(_xlpm.x,_xlfn.CONCAT(_xlfn.XLOOKUP(D856,beans!$A$2:$A$300,beans!$J$2:$J$300,"")," / ",_xlfn.XLOOKUP(D856,beans!$A$2:$A$300,beans!$K$2:$K$300,"")," - ",_xlfn.XLOOKUP(D856,beans!$A$2:$A$300,beans!$L$2:$L$300,"")),IF(_xlpm.x=" /  - ","",_xlpm.x))</f>
        <v/>
      </c>
    </row>
    <row r="857" spans="1:35" x14ac:dyDescent="0.3">
      <c r="A857">
        <v>840</v>
      </c>
      <c r="E857" t="str">
        <f>_xlfn.LET(_xlpm.x,_xlfn.XLOOKUP(D857,beans!$A$2:$A$300,beans!$H$2:$H$300,""),IF(_xlpm.x="","",_xlpm.x))</f>
        <v/>
      </c>
      <c r="F857" s="22" t="str">
        <f>_xlfn.XLOOKUP(E857,menu!$A$2:$A$37,menu!$B$2:$B$37,"")</f>
        <v/>
      </c>
      <c r="G857" t="str">
        <f>_xlfn.XLOOKUP(E857,menu!$A$2:$A$37,menu!$C$2:$C$37,"")</f>
        <v/>
      </c>
      <c r="H857" t="str">
        <f>_xlfn.LET(_xlpm.x,_xlfn.XLOOKUP(_xlfn.XLOOKUP(D857,beans!$A$2:$A$300,beans!$I$2:$I$300),menu!$E$2:$E$20,menu!$F$2:$F$20),IF(_xlpm.x="","",_xlpm.x))</f>
        <v/>
      </c>
      <c r="T857" s="68" t="str">
        <f t="shared" si="98"/>
        <v/>
      </c>
      <c r="U857" t="str">
        <f t="shared" si="94"/>
        <v/>
      </c>
      <c r="V857">
        <f t="shared" si="99"/>
        <v>0</v>
      </c>
      <c r="W857" t="str">
        <f t="shared" si="95"/>
        <v/>
      </c>
      <c r="AB857" s="28" t="str">
        <f t="shared" si="96"/>
        <v xml:space="preserve"> </v>
      </c>
      <c r="AE857" s="61" t="str">
        <f t="shared" si="97"/>
        <v/>
      </c>
      <c r="AF857" s="77" t="str">
        <f>_xlfn.XLOOKUP(AD857,menu!$K$2:$K$9,menu!$J$2:$J$9,"",1)</f>
        <v/>
      </c>
      <c r="AG857" s="80" t="str">
        <f>_xlfn.XLOOKUP(AH857,menu!$O$2:$O$9,menu!$H$2:$H$9,"")</f>
        <v/>
      </c>
      <c r="AI857" t="str">
        <f>_xlfn.LET(_xlpm.x,_xlfn.CONCAT(_xlfn.XLOOKUP(D857,beans!$A$2:$A$300,beans!$J$2:$J$300,"")," / ",_xlfn.XLOOKUP(D857,beans!$A$2:$A$300,beans!$K$2:$K$300,"")," - ",_xlfn.XLOOKUP(D857,beans!$A$2:$A$300,beans!$L$2:$L$300,"")),IF(_xlpm.x=" /  - ","",_xlpm.x))</f>
        <v/>
      </c>
    </row>
    <row r="858" spans="1:35" x14ac:dyDescent="0.3">
      <c r="A858">
        <v>841</v>
      </c>
      <c r="E858" t="str">
        <f>_xlfn.LET(_xlpm.x,_xlfn.XLOOKUP(D858,beans!$A$2:$A$300,beans!$H$2:$H$300,""),IF(_xlpm.x="","",_xlpm.x))</f>
        <v/>
      </c>
      <c r="F858" s="22" t="str">
        <f>_xlfn.XLOOKUP(E858,menu!$A$2:$A$37,menu!$B$2:$B$37,"")</f>
        <v/>
      </c>
      <c r="G858" t="str">
        <f>_xlfn.XLOOKUP(E858,menu!$A$2:$A$37,menu!$C$2:$C$37,"")</f>
        <v/>
      </c>
      <c r="H858" t="str">
        <f>_xlfn.LET(_xlpm.x,_xlfn.XLOOKUP(_xlfn.XLOOKUP(D858,beans!$A$2:$A$300,beans!$I$2:$I$300),menu!$E$2:$E$20,menu!$F$2:$F$20),IF(_xlpm.x="","",_xlpm.x))</f>
        <v/>
      </c>
      <c r="T858" s="68" t="str">
        <f t="shared" si="98"/>
        <v/>
      </c>
      <c r="U858" t="str">
        <f t="shared" si="94"/>
        <v/>
      </c>
      <c r="V858">
        <f t="shared" si="99"/>
        <v>0</v>
      </c>
      <c r="W858" t="str">
        <f t="shared" si="95"/>
        <v/>
      </c>
      <c r="AB858" s="28" t="str">
        <f t="shared" si="96"/>
        <v xml:space="preserve"> </v>
      </c>
      <c r="AE858" s="61" t="str">
        <f t="shared" si="97"/>
        <v/>
      </c>
      <c r="AF858" s="77" t="str">
        <f>_xlfn.XLOOKUP(AD858,menu!$K$2:$K$9,menu!$J$2:$J$9,"",1)</f>
        <v/>
      </c>
      <c r="AG858" s="80" t="str">
        <f>_xlfn.XLOOKUP(AH858,menu!$O$2:$O$9,menu!$H$2:$H$9,"")</f>
        <v/>
      </c>
      <c r="AI858" t="str">
        <f>_xlfn.LET(_xlpm.x,_xlfn.CONCAT(_xlfn.XLOOKUP(D858,beans!$A$2:$A$300,beans!$J$2:$J$300,"")," / ",_xlfn.XLOOKUP(D858,beans!$A$2:$A$300,beans!$K$2:$K$300,"")," - ",_xlfn.XLOOKUP(D858,beans!$A$2:$A$300,beans!$L$2:$L$300,"")),IF(_xlpm.x=" /  - ","",_xlpm.x))</f>
        <v/>
      </c>
    </row>
    <row r="859" spans="1:35" x14ac:dyDescent="0.3">
      <c r="A859">
        <v>842</v>
      </c>
      <c r="E859" t="str">
        <f>_xlfn.LET(_xlpm.x,_xlfn.XLOOKUP(D859,beans!$A$2:$A$300,beans!$H$2:$H$300,""),IF(_xlpm.x="","",_xlpm.x))</f>
        <v/>
      </c>
      <c r="F859" s="22" t="str">
        <f>_xlfn.XLOOKUP(E859,menu!$A$2:$A$37,menu!$B$2:$B$37,"")</f>
        <v/>
      </c>
      <c r="G859" t="str">
        <f>_xlfn.XLOOKUP(E859,menu!$A$2:$A$37,menu!$C$2:$C$37,"")</f>
        <v/>
      </c>
      <c r="H859" t="str">
        <f>_xlfn.LET(_xlpm.x,_xlfn.XLOOKUP(_xlfn.XLOOKUP(D859,beans!$A$2:$A$300,beans!$I$2:$I$300),menu!$E$2:$E$20,menu!$F$2:$F$20),IF(_xlpm.x="","",_xlpm.x))</f>
        <v/>
      </c>
      <c r="T859" s="68" t="str">
        <f t="shared" si="98"/>
        <v/>
      </c>
      <c r="U859" t="str">
        <f t="shared" si="94"/>
        <v/>
      </c>
      <c r="V859">
        <f t="shared" si="99"/>
        <v>0</v>
      </c>
      <c r="W859" t="str">
        <f t="shared" si="95"/>
        <v/>
      </c>
      <c r="AB859" s="28" t="str">
        <f t="shared" si="96"/>
        <v xml:space="preserve"> </v>
      </c>
      <c r="AE859" s="61" t="str">
        <f t="shared" si="97"/>
        <v/>
      </c>
      <c r="AF859" s="77" t="str">
        <f>_xlfn.XLOOKUP(AD859,menu!$K$2:$K$9,menu!$J$2:$J$9,"",1)</f>
        <v/>
      </c>
      <c r="AG859" s="80" t="str">
        <f>_xlfn.XLOOKUP(AH859,menu!$O$2:$O$9,menu!$H$2:$H$9,"")</f>
        <v/>
      </c>
      <c r="AI859" t="str">
        <f>_xlfn.LET(_xlpm.x,_xlfn.CONCAT(_xlfn.XLOOKUP(D859,beans!$A$2:$A$300,beans!$J$2:$J$300,"")," / ",_xlfn.XLOOKUP(D859,beans!$A$2:$A$300,beans!$K$2:$K$300,"")," - ",_xlfn.XLOOKUP(D859,beans!$A$2:$A$300,beans!$L$2:$L$300,"")),IF(_xlpm.x=" /  - ","",_xlpm.x))</f>
        <v/>
      </c>
    </row>
    <row r="860" spans="1:35" x14ac:dyDescent="0.3">
      <c r="A860">
        <v>843</v>
      </c>
      <c r="E860" t="str">
        <f>_xlfn.LET(_xlpm.x,_xlfn.XLOOKUP(D860,beans!$A$2:$A$300,beans!$H$2:$H$300,""),IF(_xlpm.x="","",_xlpm.x))</f>
        <v/>
      </c>
      <c r="F860" s="22" t="str">
        <f>_xlfn.XLOOKUP(E860,menu!$A$2:$A$37,menu!$B$2:$B$37,"")</f>
        <v/>
      </c>
      <c r="G860" t="str">
        <f>_xlfn.XLOOKUP(E860,menu!$A$2:$A$37,menu!$C$2:$C$37,"")</f>
        <v/>
      </c>
      <c r="H860" t="str">
        <f>_xlfn.LET(_xlpm.x,_xlfn.XLOOKUP(_xlfn.XLOOKUP(D860,beans!$A$2:$A$300,beans!$I$2:$I$300),menu!$E$2:$E$20,menu!$F$2:$F$20),IF(_xlpm.x="","",_xlpm.x))</f>
        <v/>
      </c>
      <c r="T860" s="68" t="str">
        <f t="shared" si="98"/>
        <v/>
      </c>
      <c r="U860" t="str">
        <f t="shared" si="94"/>
        <v/>
      </c>
      <c r="V860">
        <f t="shared" si="99"/>
        <v>0</v>
      </c>
      <c r="W860" t="str">
        <f t="shared" si="95"/>
        <v/>
      </c>
      <c r="AB860" s="28" t="str">
        <f t="shared" si="96"/>
        <v xml:space="preserve"> </v>
      </c>
      <c r="AE860" s="61" t="str">
        <f t="shared" si="97"/>
        <v/>
      </c>
      <c r="AF860" s="77" t="str">
        <f>_xlfn.XLOOKUP(AD860,menu!$K$2:$K$9,menu!$J$2:$J$9,"",1)</f>
        <v/>
      </c>
      <c r="AG860" s="80" t="str">
        <f>_xlfn.XLOOKUP(AH860,menu!$O$2:$O$9,menu!$H$2:$H$9,"")</f>
        <v/>
      </c>
      <c r="AI860" t="str">
        <f>_xlfn.LET(_xlpm.x,_xlfn.CONCAT(_xlfn.XLOOKUP(D860,beans!$A$2:$A$300,beans!$J$2:$J$300,"")," / ",_xlfn.XLOOKUP(D860,beans!$A$2:$A$300,beans!$K$2:$K$300,"")," - ",_xlfn.XLOOKUP(D860,beans!$A$2:$A$300,beans!$L$2:$L$300,"")),IF(_xlpm.x=" /  - ","",_xlpm.x))</f>
        <v/>
      </c>
    </row>
    <row r="861" spans="1:35" x14ac:dyDescent="0.3">
      <c r="A861">
        <v>844</v>
      </c>
      <c r="E861" t="str">
        <f>_xlfn.LET(_xlpm.x,_xlfn.XLOOKUP(D861,beans!$A$2:$A$300,beans!$H$2:$H$300,""),IF(_xlpm.x="","",_xlpm.x))</f>
        <v/>
      </c>
      <c r="F861" s="22" t="str">
        <f>_xlfn.XLOOKUP(E861,menu!$A$2:$A$37,menu!$B$2:$B$37,"")</f>
        <v/>
      </c>
      <c r="G861" t="str">
        <f>_xlfn.XLOOKUP(E861,menu!$A$2:$A$37,menu!$C$2:$C$37,"")</f>
        <v/>
      </c>
      <c r="H861" t="str">
        <f>_xlfn.LET(_xlpm.x,_xlfn.XLOOKUP(_xlfn.XLOOKUP(D861,beans!$A$2:$A$300,beans!$I$2:$I$300),menu!$E$2:$E$20,menu!$F$2:$F$20),IF(_xlpm.x="","",_xlpm.x))</f>
        <v/>
      </c>
      <c r="T861" s="68" t="str">
        <f t="shared" si="98"/>
        <v/>
      </c>
      <c r="U861" t="str">
        <f t="shared" si="94"/>
        <v/>
      </c>
      <c r="V861">
        <f t="shared" si="99"/>
        <v>0</v>
      </c>
      <c r="W861" t="str">
        <f t="shared" si="95"/>
        <v/>
      </c>
      <c r="AB861" s="28" t="str">
        <f t="shared" si="96"/>
        <v xml:space="preserve"> </v>
      </c>
      <c r="AE861" s="61" t="str">
        <f t="shared" si="97"/>
        <v/>
      </c>
      <c r="AF861" s="77" t="str">
        <f>_xlfn.XLOOKUP(AD861,menu!$K$2:$K$9,menu!$J$2:$J$9,"",1)</f>
        <v/>
      </c>
      <c r="AG861" s="80" t="str">
        <f>_xlfn.XLOOKUP(AH861,menu!$O$2:$O$9,menu!$H$2:$H$9,"")</f>
        <v/>
      </c>
      <c r="AI861" t="str">
        <f>_xlfn.LET(_xlpm.x,_xlfn.CONCAT(_xlfn.XLOOKUP(D861,beans!$A$2:$A$300,beans!$J$2:$J$300,"")," / ",_xlfn.XLOOKUP(D861,beans!$A$2:$A$300,beans!$K$2:$K$300,"")," - ",_xlfn.XLOOKUP(D861,beans!$A$2:$A$300,beans!$L$2:$L$300,"")),IF(_xlpm.x=" /  - ","",_xlpm.x))</f>
        <v/>
      </c>
    </row>
    <row r="862" spans="1:35" x14ac:dyDescent="0.3">
      <c r="A862">
        <v>845</v>
      </c>
      <c r="E862" t="str">
        <f>_xlfn.LET(_xlpm.x,_xlfn.XLOOKUP(D862,beans!$A$2:$A$300,beans!$H$2:$H$300,""),IF(_xlpm.x="","",_xlpm.x))</f>
        <v/>
      </c>
      <c r="F862" s="22" t="str">
        <f>_xlfn.XLOOKUP(E862,menu!$A$2:$A$37,menu!$B$2:$B$37,"")</f>
        <v/>
      </c>
      <c r="G862" t="str">
        <f>_xlfn.XLOOKUP(E862,menu!$A$2:$A$37,menu!$C$2:$C$37,"")</f>
        <v/>
      </c>
      <c r="H862" t="str">
        <f>_xlfn.LET(_xlpm.x,_xlfn.XLOOKUP(_xlfn.XLOOKUP(D862,beans!$A$2:$A$300,beans!$I$2:$I$300),menu!$E$2:$E$20,menu!$F$2:$F$20),IF(_xlpm.x="","",_xlpm.x))</f>
        <v/>
      </c>
      <c r="T862" s="68" t="str">
        <f t="shared" si="98"/>
        <v/>
      </c>
      <c r="U862" t="str">
        <f t="shared" si="94"/>
        <v/>
      </c>
      <c r="V862">
        <f t="shared" si="99"/>
        <v>0</v>
      </c>
      <c r="W862" t="str">
        <f t="shared" si="95"/>
        <v/>
      </c>
      <c r="AB862" s="28" t="str">
        <f t="shared" si="96"/>
        <v xml:space="preserve"> </v>
      </c>
      <c r="AE862" s="61" t="str">
        <f t="shared" si="97"/>
        <v/>
      </c>
      <c r="AF862" s="77" t="str">
        <f>_xlfn.XLOOKUP(AD862,menu!$K$2:$K$9,menu!$J$2:$J$9,"",1)</f>
        <v/>
      </c>
      <c r="AG862" s="80" t="str">
        <f>_xlfn.XLOOKUP(AH862,menu!$O$2:$O$9,menu!$H$2:$H$9,"")</f>
        <v/>
      </c>
      <c r="AI862" t="str">
        <f>_xlfn.LET(_xlpm.x,_xlfn.CONCAT(_xlfn.XLOOKUP(D862,beans!$A$2:$A$300,beans!$J$2:$J$300,"")," / ",_xlfn.XLOOKUP(D862,beans!$A$2:$A$300,beans!$K$2:$K$300,"")," - ",_xlfn.XLOOKUP(D862,beans!$A$2:$A$300,beans!$L$2:$L$300,"")),IF(_xlpm.x=" /  - ","",_xlpm.x))</f>
        <v/>
      </c>
    </row>
    <row r="863" spans="1:35" x14ac:dyDescent="0.3">
      <c r="A863">
        <v>846</v>
      </c>
      <c r="E863" t="str">
        <f>_xlfn.LET(_xlpm.x,_xlfn.XLOOKUP(D863,beans!$A$2:$A$300,beans!$H$2:$H$300,""),IF(_xlpm.x="","",_xlpm.x))</f>
        <v/>
      </c>
      <c r="F863" s="22" t="str">
        <f>_xlfn.XLOOKUP(E863,menu!$A$2:$A$37,menu!$B$2:$B$37,"")</f>
        <v/>
      </c>
      <c r="G863" t="str">
        <f>_xlfn.XLOOKUP(E863,menu!$A$2:$A$37,menu!$C$2:$C$37,"")</f>
        <v/>
      </c>
      <c r="H863" t="str">
        <f>_xlfn.LET(_xlpm.x,_xlfn.XLOOKUP(_xlfn.XLOOKUP(D863,beans!$A$2:$A$300,beans!$I$2:$I$300),menu!$E$2:$E$20,menu!$F$2:$F$20),IF(_xlpm.x="","",_xlpm.x))</f>
        <v/>
      </c>
      <c r="T863" s="68" t="str">
        <f t="shared" si="98"/>
        <v/>
      </c>
      <c r="U863" t="str">
        <f t="shared" si="94"/>
        <v/>
      </c>
      <c r="V863">
        <f t="shared" si="99"/>
        <v>0</v>
      </c>
      <c r="W863" t="str">
        <f t="shared" si="95"/>
        <v/>
      </c>
      <c r="AB863" s="28" t="str">
        <f t="shared" si="96"/>
        <v xml:space="preserve"> </v>
      </c>
      <c r="AE863" s="61" t="str">
        <f t="shared" si="97"/>
        <v/>
      </c>
      <c r="AF863" s="77" t="str">
        <f>_xlfn.XLOOKUP(AD863,menu!$K$2:$K$9,menu!$J$2:$J$9,"",1)</f>
        <v/>
      </c>
      <c r="AG863" s="80" t="str">
        <f>_xlfn.XLOOKUP(AH863,menu!$O$2:$O$9,menu!$H$2:$H$9,"")</f>
        <v/>
      </c>
      <c r="AI863" t="str">
        <f>_xlfn.LET(_xlpm.x,_xlfn.CONCAT(_xlfn.XLOOKUP(D863,beans!$A$2:$A$300,beans!$J$2:$J$300,"")," / ",_xlfn.XLOOKUP(D863,beans!$A$2:$A$300,beans!$K$2:$K$300,"")," - ",_xlfn.XLOOKUP(D863,beans!$A$2:$A$300,beans!$L$2:$L$300,"")),IF(_xlpm.x=" /  - ","",_xlpm.x))</f>
        <v/>
      </c>
    </row>
    <row r="864" spans="1:35" x14ac:dyDescent="0.3">
      <c r="A864">
        <v>847</v>
      </c>
      <c r="E864" t="str">
        <f>_xlfn.LET(_xlpm.x,_xlfn.XLOOKUP(D864,beans!$A$2:$A$300,beans!$H$2:$H$300,""),IF(_xlpm.x="","",_xlpm.x))</f>
        <v/>
      </c>
      <c r="F864" s="22" t="str">
        <f>_xlfn.XLOOKUP(E864,menu!$A$2:$A$37,menu!$B$2:$B$37,"")</f>
        <v/>
      </c>
      <c r="G864" t="str">
        <f>_xlfn.XLOOKUP(E864,menu!$A$2:$A$37,menu!$C$2:$C$37,"")</f>
        <v/>
      </c>
      <c r="H864" t="str">
        <f>_xlfn.LET(_xlpm.x,_xlfn.XLOOKUP(_xlfn.XLOOKUP(D864,beans!$A$2:$A$300,beans!$I$2:$I$300),menu!$E$2:$E$20,menu!$F$2:$F$20),IF(_xlpm.x="","",_xlpm.x))</f>
        <v/>
      </c>
      <c r="T864" s="68" t="str">
        <f t="shared" si="98"/>
        <v/>
      </c>
      <c r="U864" t="str">
        <f t="shared" si="94"/>
        <v/>
      </c>
      <c r="V864">
        <f t="shared" si="99"/>
        <v>0</v>
      </c>
      <c r="W864" t="str">
        <f t="shared" si="95"/>
        <v/>
      </c>
      <c r="AB864" s="28" t="str">
        <f t="shared" si="96"/>
        <v xml:space="preserve"> </v>
      </c>
      <c r="AE864" s="61" t="str">
        <f t="shared" si="97"/>
        <v/>
      </c>
      <c r="AF864" s="77" t="str">
        <f>_xlfn.XLOOKUP(AD864,menu!$K$2:$K$9,menu!$J$2:$J$9,"",1)</f>
        <v/>
      </c>
      <c r="AG864" s="80" t="str">
        <f>_xlfn.XLOOKUP(AH864,menu!$O$2:$O$9,menu!$H$2:$H$9,"")</f>
        <v/>
      </c>
      <c r="AI864" t="str">
        <f>_xlfn.LET(_xlpm.x,_xlfn.CONCAT(_xlfn.XLOOKUP(D864,beans!$A$2:$A$300,beans!$J$2:$J$300,"")," / ",_xlfn.XLOOKUP(D864,beans!$A$2:$A$300,beans!$K$2:$K$300,"")," - ",_xlfn.XLOOKUP(D864,beans!$A$2:$A$300,beans!$L$2:$L$300,"")),IF(_xlpm.x=" /  - ","",_xlpm.x))</f>
        <v/>
      </c>
    </row>
    <row r="865" spans="1:35" x14ac:dyDescent="0.3">
      <c r="A865">
        <v>848</v>
      </c>
      <c r="E865" t="str">
        <f>_xlfn.LET(_xlpm.x,_xlfn.XLOOKUP(D865,beans!$A$2:$A$300,beans!$H$2:$H$300,""),IF(_xlpm.x="","",_xlpm.x))</f>
        <v/>
      </c>
      <c r="F865" s="22" t="str">
        <f>_xlfn.XLOOKUP(E865,menu!$A$2:$A$37,menu!$B$2:$B$37,"")</f>
        <v/>
      </c>
      <c r="G865" t="str">
        <f>_xlfn.XLOOKUP(E865,menu!$A$2:$A$37,menu!$C$2:$C$37,"")</f>
        <v/>
      </c>
      <c r="H865" t="str">
        <f>_xlfn.LET(_xlpm.x,_xlfn.XLOOKUP(_xlfn.XLOOKUP(D865,beans!$A$2:$A$300,beans!$I$2:$I$300),menu!$E$2:$E$20,menu!$F$2:$F$20),IF(_xlpm.x="","",_xlpm.x))</f>
        <v/>
      </c>
      <c r="T865" s="68" t="str">
        <f t="shared" si="98"/>
        <v/>
      </c>
      <c r="U865" t="str">
        <f t="shared" si="94"/>
        <v/>
      </c>
      <c r="V865">
        <f t="shared" si="99"/>
        <v>0</v>
      </c>
      <c r="W865" t="str">
        <f t="shared" si="95"/>
        <v/>
      </c>
      <c r="AB865" s="28" t="str">
        <f t="shared" si="96"/>
        <v xml:space="preserve"> </v>
      </c>
      <c r="AE865" s="61" t="str">
        <f t="shared" si="97"/>
        <v/>
      </c>
      <c r="AF865" s="77" t="str">
        <f>_xlfn.XLOOKUP(AD865,menu!$K$2:$K$9,menu!$J$2:$J$9,"",1)</f>
        <v/>
      </c>
      <c r="AG865" s="80" t="str">
        <f>_xlfn.XLOOKUP(AH865,menu!$O$2:$O$9,menu!$H$2:$H$9,"")</f>
        <v/>
      </c>
      <c r="AI865" t="str">
        <f>_xlfn.LET(_xlpm.x,_xlfn.CONCAT(_xlfn.XLOOKUP(D865,beans!$A$2:$A$300,beans!$J$2:$J$300,"")," / ",_xlfn.XLOOKUP(D865,beans!$A$2:$A$300,beans!$K$2:$K$300,"")," - ",_xlfn.XLOOKUP(D865,beans!$A$2:$A$300,beans!$L$2:$L$300,"")),IF(_xlpm.x=" /  - ","",_xlpm.x))</f>
        <v/>
      </c>
    </row>
    <row r="866" spans="1:35" x14ac:dyDescent="0.3">
      <c r="A866">
        <v>849</v>
      </c>
      <c r="E866" t="str">
        <f>_xlfn.LET(_xlpm.x,_xlfn.XLOOKUP(D866,beans!$A$2:$A$300,beans!$H$2:$H$300,""),IF(_xlpm.x="","",_xlpm.x))</f>
        <v/>
      </c>
      <c r="F866" s="22" t="str">
        <f>_xlfn.XLOOKUP(E866,menu!$A$2:$A$37,menu!$B$2:$B$37,"")</f>
        <v/>
      </c>
      <c r="G866" t="str">
        <f>_xlfn.XLOOKUP(E866,menu!$A$2:$A$37,menu!$C$2:$C$37,"")</f>
        <v/>
      </c>
      <c r="H866" t="str">
        <f>_xlfn.LET(_xlpm.x,_xlfn.XLOOKUP(_xlfn.XLOOKUP(D866,beans!$A$2:$A$300,beans!$I$2:$I$300),menu!$E$2:$E$20,menu!$F$2:$F$20),IF(_xlpm.x="","",_xlpm.x))</f>
        <v/>
      </c>
      <c r="T866" s="68" t="str">
        <f t="shared" si="98"/>
        <v/>
      </c>
      <c r="U866" t="str">
        <f t="shared" si="94"/>
        <v/>
      </c>
      <c r="V866">
        <f t="shared" si="99"/>
        <v>0</v>
      </c>
      <c r="W866" t="str">
        <f t="shared" si="95"/>
        <v/>
      </c>
      <c r="AB866" s="28" t="str">
        <f t="shared" si="96"/>
        <v xml:space="preserve"> </v>
      </c>
      <c r="AE866" s="61" t="str">
        <f t="shared" si="97"/>
        <v/>
      </c>
      <c r="AF866" s="77" t="str">
        <f>_xlfn.XLOOKUP(AD866,menu!$K$2:$K$9,menu!$J$2:$J$9,"",1)</f>
        <v/>
      </c>
      <c r="AG866" s="80" t="str">
        <f>_xlfn.XLOOKUP(AH866,menu!$O$2:$O$9,menu!$H$2:$H$9,"")</f>
        <v/>
      </c>
      <c r="AI866" t="str">
        <f>_xlfn.LET(_xlpm.x,_xlfn.CONCAT(_xlfn.XLOOKUP(D866,beans!$A$2:$A$300,beans!$J$2:$J$300,"")," / ",_xlfn.XLOOKUP(D866,beans!$A$2:$A$300,beans!$K$2:$K$300,"")," - ",_xlfn.XLOOKUP(D866,beans!$A$2:$A$300,beans!$L$2:$L$300,"")),IF(_xlpm.x=" /  - ","",_xlpm.x))</f>
        <v/>
      </c>
    </row>
    <row r="867" spans="1:35" x14ac:dyDescent="0.3">
      <c r="A867">
        <v>850</v>
      </c>
      <c r="E867" t="str">
        <f>_xlfn.LET(_xlpm.x,_xlfn.XLOOKUP(D867,beans!$A$2:$A$300,beans!$H$2:$H$300,""),IF(_xlpm.x="","",_xlpm.x))</f>
        <v/>
      </c>
      <c r="F867" s="22" t="str">
        <f>_xlfn.XLOOKUP(E867,menu!$A$2:$A$37,menu!$B$2:$B$37,"")</f>
        <v/>
      </c>
      <c r="G867" t="str">
        <f>_xlfn.XLOOKUP(E867,menu!$A$2:$A$37,menu!$C$2:$C$37,"")</f>
        <v/>
      </c>
      <c r="H867" t="str">
        <f>_xlfn.LET(_xlpm.x,_xlfn.XLOOKUP(_xlfn.XLOOKUP(D867,beans!$A$2:$A$300,beans!$I$2:$I$300),menu!$E$2:$E$20,menu!$F$2:$F$20),IF(_xlpm.x="","",_xlpm.x))</f>
        <v/>
      </c>
      <c r="T867" s="68" t="str">
        <f t="shared" si="98"/>
        <v/>
      </c>
      <c r="U867" t="str">
        <f t="shared" si="94"/>
        <v/>
      </c>
      <c r="V867">
        <f t="shared" si="99"/>
        <v>0</v>
      </c>
      <c r="W867" t="str">
        <f t="shared" si="95"/>
        <v/>
      </c>
      <c r="AB867" s="28" t="str">
        <f t="shared" si="96"/>
        <v xml:space="preserve"> </v>
      </c>
      <c r="AE867" s="61" t="str">
        <f t="shared" si="97"/>
        <v/>
      </c>
      <c r="AF867" s="77" t="str">
        <f>_xlfn.XLOOKUP(AD867,menu!$K$2:$K$9,menu!$J$2:$J$9,"",1)</f>
        <v/>
      </c>
      <c r="AG867" s="80" t="str">
        <f>_xlfn.XLOOKUP(AH867,menu!$O$2:$O$9,menu!$H$2:$H$9,"")</f>
        <v/>
      </c>
      <c r="AI867" t="str">
        <f>_xlfn.LET(_xlpm.x,_xlfn.CONCAT(_xlfn.XLOOKUP(D867,beans!$A$2:$A$300,beans!$J$2:$J$300,"")," / ",_xlfn.XLOOKUP(D867,beans!$A$2:$A$300,beans!$K$2:$K$300,"")," - ",_xlfn.XLOOKUP(D867,beans!$A$2:$A$300,beans!$L$2:$L$300,"")),IF(_xlpm.x=" /  - ","",_xlpm.x))</f>
        <v/>
      </c>
    </row>
    <row r="868" spans="1:35" x14ac:dyDescent="0.3">
      <c r="A868">
        <v>851</v>
      </c>
      <c r="E868" t="str">
        <f>_xlfn.LET(_xlpm.x,_xlfn.XLOOKUP(D868,beans!$A$2:$A$300,beans!$H$2:$H$300,""),IF(_xlpm.x="","",_xlpm.x))</f>
        <v/>
      </c>
      <c r="F868" s="22" t="str">
        <f>_xlfn.XLOOKUP(E868,menu!$A$2:$A$37,menu!$B$2:$B$37,"")</f>
        <v/>
      </c>
      <c r="G868" t="str">
        <f>_xlfn.XLOOKUP(E868,menu!$A$2:$A$37,menu!$C$2:$C$37,"")</f>
        <v/>
      </c>
      <c r="H868" t="str">
        <f>_xlfn.LET(_xlpm.x,_xlfn.XLOOKUP(_xlfn.XLOOKUP(D868,beans!$A$2:$A$300,beans!$I$2:$I$300),menu!$E$2:$E$20,menu!$F$2:$F$20),IF(_xlpm.x="","",_xlpm.x))</f>
        <v/>
      </c>
      <c r="T868" s="68" t="str">
        <f t="shared" si="98"/>
        <v/>
      </c>
      <c r="U868" t="str">
        <f t="shared" si="94"/>
        <v/>
      </c>
      <c r="V868">
        <f t="shared" si="99"/>
        <v>0</v>
      </c>
      <c r="W868" t="str">
        <f t="shared" si="95"/>
        <v/>
      </c>
      <c r="AB868" s="28" t="str">
        <f t="shared" si="96"/>
        <v xml:space="preserve"> </v>
      </c>
      <c r="AE868" s="61" t="str">
        <f t="shared" si="97"/>
        <v/>
      </c>
      <c r="AF868" s="77" t="str">
        <f>_xlfn.XLOOKUP(AD868,menu!$K$2:$K$9,menu!$J$2:$J$9,"",1)</f>
        <v/>
      </c>
      <c r="AG868" s="80" t="str">
        <f>_xlfn.XLOOKUP(AH868,menu!$O$2:$O$9,menu!$H$2:$H$9,"")</f>
        <v/>
      </c>
      <c r="AI868" t="str">
        <f>_xlfn.LET(_xlpm.x,_xlfn.CONCAT(_xlfn.XLOOKUP(D868,beans!$A$2:$A$300,beans!$J$2:$J$300,"")," / ",_xlfn.XLOOKUP(D868,beans!$A$2:$A$300,beans!$K$2:$K$300,"")," - ",_xlfn.XLOOKUP(D868,beans!$A$2:$A$300,beans!$L$2:$L$300,"")),IF(_xlpm.x=" /  - ","",_xlpm.x))</f>
        <v/>
      </c>
    </row>
    <row r="869" spans="1:35" x14ac:dyDescent="0.3">
      <c r="A869">
        <v>852</v>
      </c>
      <c r="E869" t="str">
        <f>_xlfn.LET(_xlpm.x,_xlfn.XLOOKUP(D869,beans!$A$2:$A$300,beans!$H$2:$H$300,""),IF(_xlpm.x="","",_xlpm.x))</f>
        <v/>
      </c>
      <c r="F869" s="22" t="str">
        <f>_xlfn.XLOOKUP(E869,menu!$A$2:$A$37,menu!$B$2:$B$37,"")</f>
        <v/>
      </c>
      <c r="G869" t="str">
        <f>_xlfn.XLOOKUP(E869,menu!$A$2:$A$37,menu!$C$2:$C$37,"")</f>
        <v/>
      </c>
      <c r="H869" t="str">
        <f>_xlfn.LET(_xlpm.x,_xlfn.XLOOKUP(_xlfn.XLOOKUP(D869,beans!$A$2:$A$300,beans!$I$2:$I$300),menu!$E$2:$E$20,menu!$F$2:$F$20),IF(_xlpm.x="","",_xlpm.x))</f>
        <v/>
      </c>
      <c r="T869" s="68" t="str">
        <f t="shared" si="98"/>
        <v/>
      </c>
      <c r="U869" t="str">
        <f t="shared" si="94"/>
        <v/>
      </c>
      <c r="V869">
        <f t="shared" si="99"/>
        <v>0</v>
      </c>
      <c r="W869" t="str">
        <f t="shared" si="95"/>
        <v/>
      </c>
      <c r="AB869" s="28" t="str">
        <f t="shared" si="96"/>
        <v xml:space="preserve"> </v>
      </c>
      <c r="AE869" s="61" t="str">
        <f t="shared" si="97"/>
        <v/>
      </c>
      <c r="AF869" s="77" t="str">
        <f>_xlfn.XLOOKUP(AD869,menu!$K$2:$K$9,menu!$J$2:$J$9,"",1)</f>
        <v/>
      </c>
      <c r="AG869" s="80" t="str">
        <f>_xlfn.XLOOKUP(AH869,menu!$O$2:$O$9,menu!$H$2:$H$9,"")</f>
        <v/>
      </c>
      <c r="AI869" t="str">
        <f>_xlfn.LET(_xlpm.x,_xlfn.CONCAT(_xlfn.XLOOKUP(D869,beans!$A$2:$A$300,beans!$J$2:$J$300,"")," / ",_xlfn.XLOOKUP(D869,beans!$A$2:$A$300,beans!$K$2:$K$300,"")," - ",_xlfn.XLOOKUP(D869,beans!$A$2:$A$300,beans!$L$2:$L$300,"")),IF(_xlpm.x=" /  - ","",_xlpm.x))</f>
        <v/>
      </c>
    </row>
    <row r="870" spans="1:35" x14ac:dyDescent="0.3">
      <c r="A870">
        <v>853</v>
      </c>
      <c r="E870" t="str">
        <f>_xlfn.LET(_xlpm.x,_xlfn.XLOOKUP(D870,beans!$A$2:$A$300,beans!$H$2:$H$300,""),IF(_xlpm.x="","",_xlpm.x))</f>
        <v/>
      </c>
      <c r="F870" s="22" t="str">
        <f>_xlfn.XLOOKUP(E870,menu!$A$2:$A$37,menu!$B$2:$B$37,"")</f>
        <v/>
      </c>
      <c r="G870" t="str">
        <f>_xlfn.XLOOKUP(E870,menu!$A$2:$A$37,menu!$C$2:$C$37,"")</f>
        <v/>
      </c>
      <c r="H870" t="str">
        <f>_xlfn.LET(_xlpm.x,_xlfn.XLOOKUP(_xlfn.XLOOKUP(D870,beans!$A$2:$A$300,beans!$I$2:$I$300),menu!$E$2:$E$20,menu!$F$2:$F$20),IF(_xlpm.x="","",_xlpm.x))</f>
        <v/>
      </c>
      <c r="T870" s="68" t="str">
        <f t="shared" si="98"/>
        <v/>
      </c>
      <c r="U870" t="str">
        <f t="shared" si="94"/>
        <v/>
      </c>
      <c r="V870">
        <f t="shared" si="99"/>
        <v>0</v>
      </c>
      <c r="W870" t="str">
        <f t="shared" si="95"/>
        <v/>
      </c>
      <c r="AB870" s="28" t="str">
        <f t="shared" si="96"/>
        <v xml:space="preserve"> </v>
      </c>
      <c r="AE870" s="61" t="str">
        <f t="shared" si="97"/>
        <v/>
      </c>
      <c r="AF870" s="77" t="str">
        <f>_xlfn.XLOOKUP(AD870,menu!$K$2:$K$9,menu!$J$2:$J$9,"",1)</f>
        <v/>
      </c>
      <c r="AG870" s="80" t="str">
        <f>_xlfn.XLOOKUP(AH870,menu!$O$2:$O$9,menu!$H$2:$H$9,"")</f>
        <v/>
      </c>
      <c r="AI870" t="str">
        <f>_xlfn.LET(_xlpm.x,_xlfn.CONCAT(_xlfn.XLOOKUP(D870,beans!$A$2:$A$300,beans!$J$2:$J$300,"")," / ",_xlfn.XLOOKUP(D870,beans!$A$2:$A$300,beans!$K$2:$K$300,"")," - ",_xlfn.XLOOKUP(D870,beans!$A$2:$A$300,beans!$L$2:$L$300,"")),IF(_xlpm.x=" /  - ","",_xlpm.x))</f>
        <v/>
      </c>
    </row>
    <row r="871" spans="1:35" x14ac:dyDescent="0.3">
      <c r="A871">
        <v>854</v>
      </c>
      <c r="E871" t="str">
        <f>_xlfn.LET(_xlpm.x,_xlfn.XLOOKUP(D871,beans!$A$2:$A$300,beans!$H$2:$H$300,""),IF(_xlpm.x="","",_xlpm.x))</f>
        <v/>
      </c>
      <c r="F871" s="22" t="str">
        <f>_xlfn.XLOOKUP(E871,menu!$A$2:$A$37,menu!$B$2:$B$37,"")</f>
        <v/>
      </c>
      <c r="G871" t="str">
        <f>_xlfn.XLOOKUP(E871,menu!$A$2:$A$37,menu!$C$2:$C$37,"")</f>
        <v/>
      </c>
      <c r="H871" t="str">
        <f>_xlfn.LET(_xlpm.x,_xlfn.XLOOKUP(_xlfn.XLOOKUP(D871,beans!$A$2:$A$300,beans!$I$2:$I$300),menu!$E$2:$E$20,menu!$F$2:$F$20),IF(_xlpm.x="","",_xlpm.x))</f>
        <v/>
      </c>
      <c r="T871" s="68" t="str">
        <f t="shared" si="98"/>
        <v/>
      </c>
      <c r="U871" t="str">
        <f t="shared" si="94"/>
        <v/>
      </c>
      <c r="V871">
        <f t="shared" si="99"/>
        <v>0</v>
      </c>
      <c r="W871" t="str">
        <f t="shared" si="95"/>
        <v/>
      </c>
      <c r="AB871" s="28" t="str">
        <f t="shared" si="96"/>
        <v xml:space="preserve"> </v>
      </c>
      <c r="AE871" s="61" t="str">
        <f t="shared" si="97"/>
        <v/>
      </c>
      <c r="AF871" s="77" t="str">
        <f>_xlfn.XLOOKUP(AD871,menu!$K$2:$K$9,menu!$J$2:$J$9,"",1)</f>
        <v/>
      </c>
      <c r="AG871" s="80" t="str">
        <f>_xlfn.XLOOKUP(AH871,menu!$O$2:$O$9,menu!$H$2:$H$9,"")</f>
        <v/>
      </c>
      <c r="AI871" t="str">
        <f>_xlfn.LET(_xlpm.x,_xlfn.CONCAT(_xlfn.XLOOKUP(D871,beans!$A$2:$A$300,beans!$J$2:$J$300,"")," / ",_xlfn.XLOOKUP(D871,beans!$A$2:$A$300,beans!$K$2:$K$300,"")," - ",_xlfn.XLOOKUP(D871,beans!$A$2:$A$300,beans!$L$2:$L$300,"")),IF(_xlpm.x=" /  - ","",_xlpm.x))</f>
        <v/>
      </c>
    </row>
    <row r="872" spans="1:35" x14ac:dyDescent="0.3">
      <c r="A872">
        <v>855</v>
      </c>
      <c r="E872" t="str">
        <f>_xlfn.LET(_xlpm.x,_xlfn.XLOOKUP(D872,beans!$A$2:$A$300,beans!$H$2:$H$300,""),IF(_xlpm.x="","",_xlpm.x))</f>
        <v/>
      </c>
      <c r="F872" s="22" t="str">
        <f>_xlfn.XLOOKUP(E872,menu!$A$2:$A$37,menu!$B$2:$B$37,"")</f>
        <v/>
      </c>
      <c r="G872" t="str">
        <f>_xlfn.XLOOKUP(E872,menu!$A$2:$A$37,menu!$C$2:$C$37,"")</f>
        <v/>
      </c>
      <c r="H872" t="str">
        <f>_xlfn.LET(_xlpm.x,_xlfn.XLOOKUP(_xlfn.XLOOKUP(D872,beans!$A$2:$A$300,beans!$I$2:$I$300),menu!$E$2:$E$20,menu!$F$2:$F$20),IF(_xlpm.x="","",_xlpm.x))</f>
        <v/>
      </c>
      <c r="T872" s="68" t="str">
        <f t="shared" si="98"/>
        <v/>
      </c>
      <c r="U872" t="str">
        <f t="shared" si="94"/>
        <v/>
      </c>
      <c r="V872">
        <f t="shared" si="99"/>
        <v>0</v>
      </c>
      <c r="W872" t="str">
        <f t="shared" si="95"/>
        <v/>
      </c>
      <c r="AB872" s="28" t="str">
        <f t="shared" si="96"/>
        <v xml:space="preserve"> </v>
      </c>
      <c r="AE872" s="61" t="str">
        <f t="shared" si="97"/>
        <v/>
      </c>
      <c r="AF872" s="77" t="str">
        <f>_xlfn.XLOOKUP(AD872,menu!$K$2:$K$9,menu!$J$2:$J$9,"",1)</f>
        <v/>
      </c>
      <c r="AG872" s="80" t="str">
        <f>_xlfn.XLOOKUP(AH872,menu!$O$2:$O$9,menu!$H$2:$H$9,"")</f>
        <v/>
      </c>
      <c r="AI872" t="str">
        <f>_xlfn.LET(_xlpm.x,_xlfn.CONCAT(_xlfn.XLOOKUP(D872,beans!$A$2:$A$300,beans!$J$2:$J$300,"")," / ",_xlfn.XLOOKUP(D872,beans!$A$2:$A$300,beans!$K$2:$K$300,"")," - ",_xlfn.XLOOKUP(D872,beans!$A$2:$A$300,beans!$L$2:$L$300,"")),IF(_xlpm.x=" /  - ","",_xlpm.x))</f>
        <v/>
      </c>
    </row>
    <row r="873" spans="1:35" x14ac:dyDescent="0.3">
      <c r="A873">
        <v>856</v>
      </c>
      <c r="E873" t="str">
        <f>_xlfn.LET(_xlpm.x,_xlfn.XLOOKUP(D873,beans!$A$2:$A$300,beans!$H$2:$H$300,""),IF(_xlpm.x="","",_xlpm.x))</f>
        <v/>
      </c>
      <c r="F873" s="22" t="str">
        <f>_xlfn.XLOOKUP(E873,menu!$A$2:$A$37,menu!$B$2:$B$37,"")</f>
        <v/>
      </c>
      <c r="G873" t="str">
        <f>_xlfn.XLOOKUP(E873,menu!$A$2:$A$37,menu!$C$2:$C$37,"")</f>
        <v/>
      </c>
      <c r="H873" t="str">
        <f>_xlfn.LET(_xlpm.x,_xlfn.XLOOKUP(_xlfn.XLOOKUP(D873,beans!$A$2:$A$300,beans!$I$2:$I$300),menu!$E$2:$E$20,menu!$F$2:$F$20),IF(_xlpm.x="","",_xlpm.x))</f>
        <v/>
      </c>
      <c r="T873" s="68" t="str">
        <f t="shared" si="98"/>
        <v/>
      </c>
      <c r="U873" t="str">
        <f t="shared" si="94"/>
        <v/>
      </c>
      <c r="V873">
        <f t="shared" si="99"/>
        <v>0</v>
      </c>
      <c r="W873" t="str">
        <f t="shared" si="95"/>
        <v/>
      </c>
      <c r="AB873" s="28" t="str">
        <f t="shared" si="96"/>
        <v xml:space="preserve"> </v>
      </c>
      <c r="AE873" s="61" t="str">
        <f t="shared" si="97"/>
        <v/>
      </c>
      <c r="AF873" s="77" t="str">
        <f>_xlfn.XLOOKUP(AD873,menu!$K$2:$K$9,menu!$J$2:$J$9,"",1)</f>
        <v/>
      </c>
      <c r="AG873" s="80" t="str">
        <f>_xlfn.XLOOKUP(AH873,menu!$O$2:$O$9,menu!$H$2:$H$9,"")</f>
        <v/>
      </c>
      <c r="AI873" t="str">
        <f>_xlfn.LET(_xlpm.x,_xlfn.CONCAT(_xlfn.XLOOKUP(D873,beans!$A$2:$A$300,beans!$J$2:$J$300,"")," / ",_xlfn.XLOOKUP(D873,beans!$A$2:$A$300,beans!$K$2:$K$300,"")," - ",_xlfn.XLOOKUP(D873,beans!$A$2:$A$300,beans!$L$2:$L$300,"")),IF(_xlpm.x=" /  - ","",_xlpm.x))</f>
        <v/>
      </c>
    </row>
    <row r="874" spans="1:35" x14ac:dyDescent="0.3">
      <c r="A874">
        <v>857</v>
      </c>
      <c r="E874" t="str">
        <f>_xlfn.LET(_xlpm.x,_xlfn.XLOOKUP(D874,beans!$A$2:$A$300,beans!$H$2:$H$300,""),IF(_xlpm.x="","",_xlpm.x))</f>
        <v/>
      </c>
      <c r="F874" s="22" t="str">
        <f>_xlfn.XLOOKUP(E874,menu!$A$2:$A$37,menu!$B$2:$B$37,"")</f>
        <v/>
      </c>
      <c r="G874" t="str">
        <f>_xlfn.XLOOKUP(E874,menu!$A$2:$A$37,menu!$C$2:$C$37,"")</f>
        <v/>
      </c>
      <c r="H874" t="str">
        <f>_xlfn.LET(_xlpm.x,_xlfn.XLOOKUP(_xlfn.XLOOKUP(D874,beans!$A$2:$A$300,beans!$I$2:$I$300),menu!$E$2:$E$20,menu!$F$2:$F$20),IF(_xlpm.x="","",_xlpm.x))</f>
        <v/>
      </c>
      <c r="T874" s="68" t="str">
        <f t="shared" si="98"/>
        <v/>
      </c>
      <c r="U874" t="str">
        <f t="shared" si="94"/>
        <v/>
      </c>
      <c r="V874">
        <f t="shared" si="99"/>
        <v>0</v>
      </c>
      <c r="W874" t="str">
        <f t="shared" si="95"/>
        <v/>
      </c>
      <c r="AB874" s="28" t="str">
        <f t="shared" si="96"/>
        <v xml:space="preserve"> </v>
      </c>
      <c r="AE874" s="61" t="str">
        <f t="shared" si="97"/>
        <v/>
      </c>
      <c r="AF874" s="77" t="str">
        <f>_xlfn.XLOOKUP(AD874,menu!$K$2:$K$9,menu!$J$2:$J$9,"",1)</f>
        <v/>
      </c>
      <c r="AG874" s="80" t="str">
        <f>_xlfn.XLOOKUP(AH874,menu!$O$2:$O$9,menu!$H$2:$H$9,"")</f>
        <v/>
      </c>
      <c r="AI874" t="str">
        <f>_xlfn.LET(_xlpm.x,_xlfn.CONCAT(_xlfn.XLOOKUP(D874,beans!$A$2:$A$300,beans!$J$2:$J$300,"")," / ",_xlfn.XLOOKUP(D874,beans!$A$2:$A$300,beans!$K$2:$K$300,"")," - ",_xlfn.XLOOKUP(D874,beans!$A$2:$A$300,beans!$L$2:$L$300,"")),IF(_xlpm.x=" /  - ","",_xlpm.x))</f>
        <v/>
      </c>
    </row>
    <row r="875" spans="1:35" x14ac:dyDescent="0.3">
      <c r="A875">
        <v>858</v>
      </c>
      <c r="E875" t="str">
        <f>_xlfn.LET(_xlpm.x,_xlfn.XLOOKUP(D875,beans!$A$2:$A$300,beans!$H$2:$H$300,""),IF(_xlpm.x="","",_xlpm.x))</f>
        <v/>
      </c>
      <c r="F875" s="22" t="str">
        <f>_xlfn.XLOOKUP(E875,menu!$A$2:$A$37,menu!$B$2:$B$37,"")</f>
        <v/>
      </c>
      <c r="G875" t="str">
        <f>_xlfn.XLOOKUP(E875,menu!$A$2:$A$37,menu!$C$2:$C$37,"")</f>
        <v/>
      </c>
      <c r="H875" t="str">
        <f>_xlfn.LET(_xlpm.x,_xlfn.XLOOKUP(_xlfn.XLOOKUP(D875,beans!$A$2:$A$300,beans!$I$2:$I$300),menu!$E$2:$E$20,menu!$F$2:$F$20),IF(_xlpm.x="","",_xlpm.x))</f>
        <v/>
      </c>
      <c r="T875" s="68" t="str">
        <f t="shared" si="98"/>
        <v/>
      </c>
      <c r="U875" t="str">
        <f t="shared" si="94"/>
        <v/>
      </c>
      <c r="V875">
        <f t="shared" si="99"/>
        <v>0</v>
      </c>
      <c r="W875" t="str">
        <f t="shared" si="95"/>
        <v/>
      </c>
      <c r="AB875" s="28" t="str">
        <f t="shared" si="96"/>
        <v xml:space="preserve"> </v>
      </c>
      <c r="AE875" s="61" t="str">
        <f t="shared" si="97"/>
        <v/>
      </c>
      <c r="AF875" s="77" t="str">
        <f>_xlfn.XLOOKUP(AD875,menu!$K$2:$K$9,menu!$J$2:$J$9,"",1)</f>
        <v/>
      </c>
      <c r="AG875" s="80" t="str">
        <f>_xlfn.XLOOKUP(AH875,menu!$O$2:$O$9,menu!$H$2:$H$9,"")</f>
        <v/>
      </c>
      <c r="AI875" t="str">
        <f>_xlfn.LET(_xlpm.x,_xlfn.CONCAT(_xlfn.XLOOKUP(D875,beans!$A$2:$A$300,beans!$J$2:$J$300,"")," / ",_xlfn.XLOOKUP(D875,beans!$A$2:$A$300,beans!$K$2:$K$300,"")," - ",_xlfn.XLOOKUP(D875,beans!$A$2:$A$300,beans!$L$2:$L$300,"")),IF(_xlpm.x=" /  - ","",_xlpm.x))</f>
        <v/>
      </c>
    </row>
    <row r="876" spans="1:35" x14ac:dyDescent="0.3">
      <c r="A876">
        <v>859</v>
      </c>
      <c r="E876" t="str">
        <f>_xlfn.LET(_xlpm.x,_xlfn.XLOOKUP(D876,beans!$A$2:$A$300,beans!$H$2:$H$300,""),IF(_xlpm.x="","",_xlpm.x))</f>
        <v/>
      </c>
      <c r="F876" s="22" t="str">
        <f>_xlfn.XLOOKUP(E876,menu!$A$2:$A$37,menu!$B$2:$B$37,"")</f>
        <v/>
      </c>
      <c r="G876" t="str">
        <f>_xlfn.XLOOKUP(E876,menu!$A$2:$A$37,menu!$C$2:$C$37,"")</f>
        <v/>
      </c>
      <c r="H876" t="str">
        <f>_xlfn.LET(_xlpm.x,_xlfn.XLOOKUP(_xlfn.XLOOKUP(D876,beans!$A$2:$A$300,beans!$I$2:$I$300),menu!$E$2:$E$20,menu!$F$2:$F$20),IF(_xlpm.x="","",_xlpm.x))</f>
        <v/>
      </c>
      <c r="T876" s="68" t="str">
        <f t="shared" si="98"/>
        <v/>
      </c>
      <c r="U876" t="str">
        <f t="shared" si="94"/>
        <v/>
      </c>
      <c r="V876">
        <f t="shared" si="99"/>
        <v>0</v>
      </c>
      <c r="W876" t="str">
        <f t="shared" si="95"/>
        <v/>
      </c>
      <c r="AB876" s="28" t="str">
        <f t="shared" si="96"/>
        <v xml:space="preserve"> </v>
      </c>
      <c r="AE876" s="61" t="str">
        <f t="shared" si="97"/>
        <v/>
      </c>
      <c r="AF876" s="77" t="str">
        <f>_xlfn.XLOOKUP(AD876,menu!$K$2:$K$9,menu!$J$2:$J$9,"",1)</f>
        <v/>
      </c>
      <c r="AG876" s="80" t="str">
        <f>_xlfn.XLOOKUP(AH876,menu!$O$2:$O$9,menu!$H$2:$H$9,"")</f>
        <v/>
      </c>
      <c r="AI876" t="str">
        <f>_xlfn.LET(_xlpm.x,_xlfn.CONCAT(_xlfn.XLOOKUP(D876,beans!$A$2:$A$300,beans!$J$2:$J$300,"")," / ",_xlfn.XLOOKUP(D876,beans!$A$2:$A$300,beans!$K$2:$K$300,"")," - ",_xlfn.XLOOKUP(D876,beans!$A$2:$A$300,beans!$L$2:$L$300,"")),IF(_xlpm.x=" /  - ","",_xlpm.x))</f>
        <v/>
      </c>
    </row>
    <row r="877" spans="1:35" x14ac:dyDescent="0.3">
      <c r="A877">
        <v>860</v>
      </c>
      <c r="E877" t="str">
        <f>_xlfn.LET(_xlpm.x,_xlfn.XLOOKUP(D877,beans!$A$2:$A$300,beans!$H$2:$H$300,""),IF(_xlpm.x="","",_xlpm.x))</f>
        <v/>
      </c>
      <c r="F877" s="22" t="str">
        <f>_xlfn.XLOOKUP(E877,menu!$A$2:$A$37,menu!$B$2:$B$37,"")</f>
        <v/>
      </c>
      <c r="G877" t="str">
        <f>_xlfn.XLOOKUP(E877,menu!$A$2:$A$37,menu!$C$2:$C$37,"")</f>
        <v/>
      </c>
      <c r="H877" t="str">
        <f>_xlfn.LET(_xlpm.x,_xlfn.XLOOKUP(_xlfn.XLOOKUP(D877,beans!$A$2:$A$300,beans!$I$2:$I$300),menu!$E$2:$E$20,menu!$F$2:$F$20),IF(_xlpm.x="","",_xlpm.x))</f>
        <v/>
      </c>
      <c r="T877" s="68" t="str">
        <f t="shared" si="98"/>
        <v/>
      </c>
      <c r="U877" t="str">
        <f t="shared" si="94"/>
        <v/>
      </c>
      <c r="V877">
        <f t="shared" si="99"/>
        <v>0</v>
      </c>
      <c r="W877" t="str">
        <f t="shared" si="95"/>
        <v/>
      </c>
      <c r="AB877" s="28" t="str">
        <f t="shared" si="96"/>
        <v xml:space="preserve"> </v>
      </c>
      <c r="AE877" s="61" t="str">
        <f t="shared" si="97"/>
        <v/>
      </c>
      <c r="AF877" s="77" t="str">
        <f>_xlfn.XLOOKUP(AD877,menu!$K$2:$K$9,menu!$J$2:$J$9,"",1)</f>
        <v/>
      </c>
      <c r="AG877" s="80" t="str">
        <f>_xlfn.XLOOKUP(AH877,menu!$O$2:$O$9,menu!$H$2:$H$9,"")</f>
        <v/>
      </c>
      <c r="AI877" t="str">
        <f>_xlfn.LET(_xlpm.x,_xlfn.CONCAT(_xlfn.XLOOKUP(D877,beans!$A$2:$A$300,beans!$J$2:$J$300,"")," / ",_xlfn.XLOOKUP(D877,beans!$A$2:$A$300,beans!$K$2:$K$300,"")," - ",_xlfn.XLOOKUP(D877,beans!$A$2:$A$300,beans!$L$2:$L$300,"")),IF(_xlpm.x=" /  - ","",_xlpm.x))</f>
        <v/>
      </c>
    </row>
    <row r="878" spans="1:35" x14ac:dyDescent="0.3">
      <c r="A878">
        <v>861</v>
      </c>
      <c r="E878" t="str">
        <f>_xlfn.LET(_xlpm.x,_xlfn.XLOOKUP(D878,beans!$A$2:$A$300,beans!$H$2:$H$300,""),IF(_xlpm.x="","",_xlpm.x))</f>
        <v/>
      </c>
      <c r="F878" s="22" t="str">
        <f>_xlfn.XLOOKUP(E878,menu!$A$2:$A$37,menu!$B$2:$B$37,"")</f>
        <v/>
      </c>
      <c r="G878" t="str">
        <f>_xlfn.XLOOKUP(E878,menu!$A$2:$A$37,menu!$C$2:$C$37,"")</f>
        <v/>
      </c>
      <c r="H878" t="str">
        <f>_xlfn.LET(_xlpm.x,_xlfn.XLOOKUP(_xlfn.XLOOKUP(D878,beans!$A$2:$A$300,beans!$I$2:$I$300),menu!$E$2:$E$20,menu!$F$2:$F$20),IF(_xlpm.x="","",_xlpm.x))</f>
        <v/>
      </c>
      <c r="T878" s="68" t="str">
        <f t="shared" si="98"/>
        <v/>
      </c>
      <c r="U878" t="str">
        <f t="shared" si="94"/>
        <v/>
      </c>
      <c r="V878">
        <f t="shared" si="99"/>
        <v>0</v>
      </c>
      <c r="W878" t="str">
        <f t="shared" si="95"/>
        <v/>
      </c>
      <c r="AB878" s="28" t="str">
        <f t="shared" si="96"/>
        <v xml:space="preserve"> </v>
      </c>
      <c r="AE878" s="61" t="str">
        <f t="shared" si="97"/>
        <v/>
      </c>
      <c r="AF878" s="77" t="str">
        <f>_xlfn.XLOOKUP(AD878,menu!$K$2:$K$9,menu!$J$2:$J$9,"",1)</f>
        <v/>
      </c>
      <c r="AG878" s="80" t="str">
        <f>_xlfn.XLOOKUP(AH878,menu!$O$2:$O$9,menu!$H$2:$H$9,"")</f>
        <v/>
      </c>
      <c r="AI878" t="str">
        <f>_xlfn.LET(_xlpm.x,_xlfn.CONCAT(_xlfn.XLOOKUP(D878,beans!$A$2:$A$300,beans!$J$2:$J$300,"")," / ",_xlfn.XLOOKUP(D878,beans!$A$2:$A$300,beans!$K$2:$K$300,"")," - ",_xlfn.XLOOKUP(D878,beans!$A$2:$A$300,beans!$L$2:$L$300,"")),IF(_xlpm.x=" /  - ","",_xlpm.x))</f>
        <v/>
      </c>
    </row>
    <row r="879" spans="1:35" x14ac:dyDescent="0.3">
      <c r="A879">
        <v>862</v>
      </c>
      <c r="E879" t="str">
        <f>_xlfn.LET(_xlpm.x,_xlfn.XLOOKUP(D879,beans!$A$2:$A$300,beans!$H$2:$H$300,""),IF(_xlpm.x="","",_xlpm.x))</f>
        <v/>
      </c>
      <c r="F879" s="22" t="str">
        <f>_xlfn.XLOOKUP(E879,menu!$A$2:$A$37,menu!$B$2:$B$37,"")</f>
        <v/>
      </c>
      <c r="G879" t="str">
        <f>_xlfn.XLOOKUP(E879,menu!$A$2:$A$37,menu!$C$2:$C$37,"")</f>
        <v/>
      </c>
      <c r="H879" t="str">
        <f>_xlfn.LET(_xlpm.x,_xlfn.XLOOKUP(_xlfn.XLOOKUP(D879,beans!$A$2:$A$300,beans!$I$2:$I$300),menu!$E$2:$E$20,menu!$F$2:$F$20),IF(_xlpm.x="","",_xlpm.x))</f>
        <v/>
      </c>
      <c r="T879" s="68" t="str">
        <f t="shared" si="98"/>
        <v/>
      </c>
      <c r="U879" t="str">
        <f t="shared" si="94"/>
        <v/>
      </c>
      <c r="V879">
        <f t="shared" si="99"/>
        <v>0</v>
      </c>
      <c r="W879" t="str">
        <f t="shared" si="95"/>
        <v/>
      </c>
      <c r="AB879" s="28" t="str">
        <f t="shared" si="96"/>
        <v xml:space="preserve"> </v>
      </c>
      <c r="AE879" s="61" t="str">
        <f t="shared" si="97"/>
        <v/>
      </c>
      <c r="AF879" s="77" t="str">
        <f>_xlfn.XLOOKUP(AD879,menu!$K$2:$K$9,menu!$J$2:$J$9,"",1)</f>
        <v/>
      </c>
      <c r="AG879" s="80" t="str">
        <f>_xlfn.XLOOKUP(AH879,menu!$O$2:$O$9,menu!$H$2:$H$9,"")</f>
        <v/>
      </c>
      <c r="AI879" t="str">
        <f>_xlfn.LET(_xlpm.x,_xlfn.CONCAT(_xlfn.XLOOKUP(D879,beans!$A$2:$A$300,beans!$J$2:$J$300,"")," / ",_xlfn.XLOOKUP(D879,beans!$A$2:$A$300,beans!$K$2:$K$300,"")," - ",_xlfn.XLOOKUP(D879,beans!$A$2:$A$300,beans!$L$2:$L$300,"")),IF(_xlpm.x=" /  - ","",_xlpm.x))</f>
        <v/>
      </c>
    </row>
    <row r="880" spans="1:35" x14ac:dyDescent="0.3">
      <c r="A880">
        <v>863</v>
      </c>
      <c r="E880" t="str">
        <f>_xlfn.LET(_xlpm.x,_xlfn.XLOOKUP(D880,beans!$A$2:$A$300,beans!$H$2:$H$300,""),IF(_xlpm.x="","",_xlpm.x))</f>
        <v/>
      </c>
      <c r="F880" s="22" t="str">
        <f>_xlfn.XLOOKUP(E880,menu!$A$2:$A$37,menu!$B$2:$B$37,"")</f>
        <v/>
      </c>
      <c r="G880" t="str">
        <f>_xlfn.XLOOKUP(E880,menu!$A$2:$A$37,menu!$C$2:$C$37,"")</f>
        <v/>
      </c>
      <c r="H880" t="str">
        <f>_xlfn.LET(_xlpm.x,_xlfn.XLOOKUP(_xlfn.XLOOKUP(D880,beans!$A$2:$A$300,beans!$I$2:$I$300),menu!$E$2:$E$20,menu!$F$2:$F$20),IF(_xlpm.x="","",_xlpm.x))</f>
        <v/>
      </c>
      <c r="T880" s="68" t="str">
        <f t="shared" si="98"/>
        <v/>
      </c>
      <c r="U880" t="str">
        <f t="shared" si="94"/>
        <v/>
      </c>
      <c r="V880">
        <f t="shared" si="99"/>
        <v>0</v>
      </c>
      <c r="W880" t="str">
        <f t="shared" si="95"/>
        <v/>
      </c>
      <c r="AB880" s="28" t="str">
        <f t="shared" si="96"/>
        <v xml:space="preserve"> </v>
      </c>
      <c r="AE880" s="61" t="str">
        <f t="shared" si="97"/>
        <v/>
      </c>
      <c r="AF880" s="77" t="str">
        <f>_xlfn.XLOOKUP(AD880,menu!$K$2:$K$9,menu!$J$2:$J$9,"",1)</f>
        <v/>
      </c>
      <c r="AG880" s="80" t="str">
        <f>_xlfn.XLOOKUP(AH880,menu!$O$2:$O$9,menu!$H$2:$H$9,"")</f>
        <v/>
      </c>
      <c r="AI880" t="str">
        <f>_xlfn.LET(_xlpm.x,_xlfn.CONCAT(_xlfn.XLOOKUP(D880,beans!$A$2:$A$300,beans!$J$2:$J$300,"")," / ",_xlfn.XLOOKUP(D880,beans!$A$2:$A$300,beans!$K$2:$K$300,"")," - ",_xlfn.XLOOKUP(D880,beans!$A$2:$A$300,beans!$L$2:$L$300,"")),IF(_xlpm.x=" /  - ","",_xlpm.x))</f>
        <v/>
      </c>
    </row>
    <row r="881" spans="1:35" x14ac:dyDescent="0.3">
      <c r="A881">
        <v>864</v>
      </c>
      <c r="E881" t="str">
        <f>_xlfn.LET(_xlpm.x,_xlfn.XLOOKUP(D881,beans!$A$2:$A$300,beans!$H$2:$H$300,""),IF(_xlpm.x="","",_xlpm.x))</f>
        <v/>
      </c>
      <c r="F881" s="22" t="str">
        <f>_xlfn.XLOOKUP(E881,menu!$A$2:$A$37,menu!$B$2:$B$37,"")</f>
        <v/>
      </c>
      <c r="G881" t="str">
        <f>_xlfn.XLOOKUP(E881,menu!$A$2:$A$37,menu!$C$2:$C$37,"")</f>
        <v/>
      </c>
      <c r="H881" t="str">
        <f>_xlfn.LET(_xlpm.x,_xlfn.XLOOKUP(_xlfn.XLOOKUP(D881,beans!$A$2:$A$300,beans!$I$2:$I$300),menu!$E$2:$E$20,menu!$F$2:$F$20),IF(_xlpm.x="","",_xlpm.x))</f>
        <v/>
      </c>
      <c r="T881" s="68" t="str">
        <f t="shared" si="98"/>
        <v/>
      </c>
      <c r="U881" t="str">
        <f t="shared" si="94"/>
        <v/>
      </c>
      <c r="V881">
        <f t="shared" si="99"/>
        <v>0</v>
      </c>
      <c r="W881" t="str">
        <f t="shared" si="95"/>
        <v/>
      </c>
      <c r="AB881" s="28" t="str">
        <f t="shared" si="96"/>
        <v xml:space="preserve"> </v>
      </c>
      <c r="AE881" s="61" t="str">
        <f t="shared" si="97"/>
        <v/>
      </c>
      <c r="AF881" s="77" t="str">
        <f>_xlfn.XLOOKUP(AD881,menu!$K$2:$K$9,menu!$J$2:$J$9,"",1)</f>
        <v/>
      </c>
      <c r="AG881" s="80" t="str">
        <f>_xlfn.XLOOKUP(AH881,menu!$O$2:$O$9,menu!$H$2:$H$9,"")</f>
        <v/>
      </c>
      <c r="AI881" t="str">
        <f>_xlfn.LET(_xlpm.x,_xlfn.CONCAT(_xlfn.XLOOKUP(D881,beans!$A$2:$A$300,beans!$J$2:$J$300,"")," / ",_xlfn.XLOOKUP(D881,beans!$A$2:$A$300,beans!$K$2:$K$300,"")," - ",_xlfn.XLOOKUP(D881,beans!$A$2:$A$300,beans!$L$2:$L$300,"")),IF(_xlpm.x=" /  - ","",_xlpm.x))</f>
        <v/>
      </c>
    </row>
    <row r="882" spans="1:35" x14ac:dyDescent="0.3">
      <c r="A882">
        <v>865</v>
      </c>
      <c r="E882" t="str">
        <f>_xlfn.LET(_xlpm.x,_xlfn.XLOOKUP(D882,beans!$A$2:$A$300,beans!$H$2:$H$300,""),IF(_xlpm.x="","",_xlpm.x))</f>
        <v/>
      </c>
      <c r="F882" s="22" t="str">
        <f>_xlfn.XLOOKUP(E882,menu!$A$2:$A$37,menu!$B$2:$B$37,"")</f>
        <v/>
      </c>
      <c r="G882" t="str">
        <f>_xlfn.XLOOKUP(E882,menu!$A$2:$A$37,menu!$C$2:$C$37,"")</f>
        <v/>
      </c>
      <c r="H882" t="str">
        <f>_xlfn.LET(_xlpm.x,_xlfn.XLOOKUP(_xlfn.XLOOKUP(D882,beans!$A$2:$A$300,beans!$I$2:$I$300),menu!$E$2:$E$20,menu!$F$2:$F$20),IF(_xlpm.x="","",_xlpm.x))</f>
        <v/>
      </c>
      <c r="T882" s="68" t="str">
        <f t="shared" si="98"/>
        <v/>
      </c>
      <c r="U882" t="str">
        <f t="shared" si="94"/>
        <v/>
      </c>
      <c r="V882">
        <f t="shared" si="99"/>
        <v>0</v>
      </c>
      <c r="W882" t="str">
        <f t="shared" si="95"/>
        <v/>
      </c>
      <c r="AB882" s="28" t="str">
        <f t="shared" si="96"/>
        <v xml:space="preserve"> </v>
      </c>
      <c r="AE882" s="61" t="str">
        <f t="shared" si="97"/>
        <v/>
      </c>
      <c r="AF882" s="77" t="str">
        <f>_xlfn.XLOOKUP(AD882,menu!$K$2:$K$9,menu!$J$2:$J$9,"",1)</f>
        <v/>
      </c>
      <c r="AG882" s="80" t="str">
        <f>_xlfn.XLOOKUP(AH882,menu!$O$2:$O$9,menu!$H$2:$H$9,"")</f>
        <v/>
      </c>
      <c r="AI882" t="str">
        <f>_xlfn.LET(_xlpm.x,_xlfn.CONCAT(_xlfn.XLOOKUP(D882,beans!$A$2:$A$300,beans!$J$2:$J$300,"")," / ",_xlfn.XLOOKUP(D882,beans!$A$2:$A$300,beans!$K$2:$K$300,"")," - ",_xlfn.XLOOKUP(D882,beans!$A$2:$A$300,beans!$L$2:$L$300,"")),IF(_xlpm.x=" /  - ","",_xlpm.x))</f>
        <v/>
      </c>
    </row>
    <row r="883" spans="1:35" x14ac:dyDescent="0.3">
      <c r="A883">
        <v>866</v>
      </c>
      <c r="E883" t="str">
        <f>_xlfn.LET(_xlpm.x,_xlfn.XLOOKUP(D883,beans!$A$2:$A$300,beans!$H$2:$H$300,""),IF(_xlpm.x="","",_xlpm.x))</f>
        <v/>
      </c>
      <c r="F883" s="22" t="str">
        <f>_xlfn.XLOOKUP(E883,menu!$A$2:$A$37,menu!$B$2:$B$37,"")</f>
        <v/>
      </c>
      <c r="G883" t="str">
        <f>_xlfn.XLOOKUP(E883,menu!$A$2:$A$37,menu!$C$2:$C$37,"")</f>
        <v/>
      </c>
      <c r="H883" t="str">
        <f>_xlfn.LET(_xlpm.x,_xlfn.XLOOKUP(_xlfn.XLOOKUP(D883,beans!$A$2:$A$300,beans!$I$2:$I$300),menu!$E$2:$E$20,menu!$F$2:$F$20),IF(_xlpm.x="","",_xlpm.x))</f>
        <v/>
      </c>
      <c r="T883" s="68" t="str">
        <f t="shared" si="98"/>
        <v/>
      </c>
      <c r="U883" t="str">
        <f t="shared" si="94"/>
        <v/>
      </c>
      <c r="V883">
        <f t="shared" si="99"/>
        <v>0</v>
      </c>
      <c r="W883" t="str">
        <f t="shared" si="95"/>
        <v/>
      </c>
      <c r="AB883" s="28" t="str">
        <f t="shared" si="96"/>
        <v xml:space="preserve"> </v>
      </c>
      <c r="AE883" s="61" t="str">
        <f t="shared" si="97"/>
        <v/>
      </c>
      <c r="AF883" s="77" t="str">
        <f>_xlfn.XLOOKUP(AD883,menu!$K$2:$K$9,menu!$J$2:$J$9,"",1)</f>
        <v/>
      </c>
      <c r="AG883" s="80" t="str">
        <f>_xlfn.XLOOKUP(AH883,menu!$O$2:$O$9,menu!$H$2:$H$9,"")</f>
        <v/>
      </c>
      <c r="AI883" t="str">
        <f>_xlfn.LET(_xlpm.x,_xlfn.CONCAT(_xlfn.XLOOKUP(D883,beans!$A$2:$A$300,beans!$J$2:$J$300,"")," / ",_xlfn.XLOOKUP(D883,beans!$A$2:$A$300,beans!$K$2:$K$300,"")," - ",_xlfn.XLOOKUP(D883,beans!$A$2:$A$300,beans!$L$2:$L$300,"")),IF(_xlpm.x=" /  - ","",_xlpm.x))</f>
        <v/>
      </c>
    </row>
    <row r="884" spans="1:35" x14ac:dyDescent="0.3">
      <c r="A884">
        <v>867</v>
      </c>
      <c r="E884" t="str">
        <f>_xlfn.LET(_xlpm.x,_xlfn.XLOOKUP(D884,beans!$A$2:$A$300,beans!$H$2:$H$300,""),IF(_xlpm.x="","",_xlpm.x))</f>
        <v/>
      </c>
      <c r="F884" s="22" t="str">
        <f>_xlfn.XLOOKUP(E884,menu!$A$2:$A$37,menu!$B$2:$B$37,"")</f>
        <v/>
      </c>
      <c r="G884" t="str">
        <f>_xlfn.XLOOKUP(E884,menu!$A$2:$A$37,menu!$C$2:$C$37,"")</f>
        <v/>
      </c>
      <c r="H884" t="str">
        <f>_xlfn.LET(_xlpm.x,_xlfn.XLOOKUP(_xlfn.XLOOKUP(D884,beans!$A$2:$A$300,beans!$I$2:$I$300),menu!$E$2:$E$20,menu!$F$2:$F$20),IF(_xlpm.x="","",_xlpm.x))</f>
        <v/>
      </c>
      <c r="T884" s="68" t="str">
        <f t="shared" si="98"/>
        <v/>
      </c>
      <c r="U884" t="str">
        <f t="shared" si="94"/>
        <v/>
      </c>
      <c r="V884">
        <f t="shared" si="99"/>
        <v>0</v>
      </c>
      <c r="W884" t="str">
        <f t="shared" si="95"/>
        <v/>
      </c>
      <c r="AB884" s="28" t="str">
        <f t="shared" si="96"/>
        <v xml:space="preserve"> </v>
      </c>
      <c r="AE884" s="61" t="str">
        <f t="shared" si="97"/>
        <v/>
      </c>
      <c r="AF884" s="77" t="str">
        <f>_xlfn.XLOOKUP(AD884,menu!$K$2:$K$9,menu!$J$2:$J$9,"",1)</f>
        <v/>
      </c>
      <c r="AG884" s="80" t="str">
        <f>_xlfn.XLOOKUP(AH884,menu!$O$2:$O$9,menu!$H$2:$H$9,"")</f>
        <v/>
      </c>
      <c r="AI884" t="str">
        <f>_xlfn.LET(_xlpm.x,_xlfn.CONCAT(_xlfn.XLOOKUP(D884,beans!$A$2:$A$300,beans!$J$2:$J$300,"")," / ",_xlfn.XLOOKUP(D884,beans!$A$2:$A$300,beans!$K$2:$K$300,"")," - ",_xlfn.XLOOKUP(D884,beans!$A$2:$A$300,beans!$L$2:$L$300,"")),IF(_xlpm.x=" /  - ","",_xlpm.x))</f>
        <v/>
      </c>
    </row>
    <row r="885" spans="1:35" x14ac:dyDescent="0.3">
      <c r="A885">
        <v>868</v>
      </c>
      <c r="E885" t="str">
        <f>_xlfn.LET(_xlpm.x,_xlfn.XLOOKUP(D885,beans!$A$2:$A$300,beans!$H$2:$H$300,""),IF(_xlpm.x="","",_xlpm.x))</f>
        <v/>
      </c>
      <c r="F885" s="22" t="str">
        <f>_xlfn.XLOOKUP(E885,menu!$A$2:$A$37,menu!$B$2:$B$37,"")</f>
        <v/>
      </c>
      <c r="G885" t="str">
        <f>_xlfn.XLOOKUP(E885,menu!$A$2:$A$37,menu!$C$2:$C$37,"")</f>
        <v/>
      </c>
      <c r="H885" t="str">
        <f>_xlfn.LET(_xlpm.x,_xlfn.XLOOKUP(_xlfn.XLOOKUP(D885,beans!$A$2:$A$300,beans!$I$2:$I$300),menu!$E$2:$E$20,menu!$F$2:$F$20),IF(_xlpm.x="","",_xlpm.x))</f>
        <v/>
      </c>
      <c r="T885" s="68" t="str">
        <f t="shared" si="98"/>
        <v/>
      </c>
      <c r="U885" t="str">
        <f t="shared" si="94"/>
        <v/>
      </c>
      <c r="V885">
        <f t="shared" si="99"/>
        <v>0</v>
      </c>
      <c r="W885" t="str">
        <f t="shared" si="95"/>
        <v/>
      </c>
      <c r="AB885" s="28" t="str">
        <f t="shared" si="96"/>
        <v xml:space="preserve"> </v>
      </c>
      <c r="AE885" s="61" t="str">
        <f t="shared" si="97"/>
        <v/>
      </c>
      <c r="AF885" s="77" t="str">
        <f>_xlfn.XLOOKUP(AD885,menu!$K$2:$K$9,menu!$J$2:$J$9,"",1)</f>
        <v/>
      </c>
      <c r="AG885" s="80" t="str">
        <f>_xlfn.XLOOKUP(AH885,menu!$O$2:$O$9,menu!$H$2:$H$9,"")</f>
        <v/>
      </c>
      <c r="AI885" t="str">
        <f>_xlfn.LET(_xlpm.x,_xlfn.CONCAT(_xlfn.XLOOKUP(D885,beans!$A$2:$A$300,beans!$J$2:$J$300,"")," / ",_xlfn.XLOOKUP(D885,beans!$A$2:$A$300,beans!$K$2:$K$300,"")," - ",_xlfn.XLOOKUP(D885,beans!$A$2:$A$300,beans!$L$2:$L$300,"")),IF(_xlpm.x=" /  - ","",_xlpm.x))</f>
        <v/>
      </c>
    </row>
    <row r="886" spans="1:35" x14ac:dyDescent="0.3">
      <c r="A886">
        <v>869</v>
      </c>
      <c r="E886" t="str">
        <f>_xlfn.LET(_xlpm.x,_xlfn.XLOOKUP(D886,beans!$A$2:$A$300,beans!$H$2:$H$300,""),IF(_xlpm.x="","",_xlpm.x))</f>
        <v/>
      </c>
      <c r="F886" s="22" t="str">
        <f>_xlfn.XLOOKUP(E886,menu!$A$2:$A$37,menu!$B$2:$B$37,"")</f>
        <v/>
      </c>
      <c r="G886" t="str">
        <f>_xlfn.XLOOKUP(E886,menu!$A$2:$A$37,menu!$C$2:$C$37,"")</f>
        <v/>
      </c>
      <c r="H886" t="str">
        <f>_xlfn.LET(_xlpm.x,_xlfn.XLOOKUP(_xlfn.XLOOKUP(D886,beans!$A$2:$A$300,beans!$I$2:$I$300),menu!$E$2:$E$20,menu!$F$2:$F$20),IF(_xlpm.x="","",_xlpm.x))</f>
        <v/>
      </c>
      <c r="T886" s="68" t="str">
        <f t="shared" si="98"/>
        <v/>
      </c>
      <c r="U886" t="str">
        <f t="shared" si="94"/>
        <v/>
      </c>
      <c r="V886">
        <f t="shared" si="99"/>
        <v>0</v>
      </c>
      <c r="W886" t="str">
        <f t="shared" si="95"/>
        <v/>
      </c>
      <c r="AB886" s="28" t="str">
        <f t="shared" si="96"/>
        <v xml:space="preserve"> </v>
      </c>
      <c r="AE886" s="61" t="str">
        <f t="shared" si="97"/>
        <v/>
      </c>
      <c r="AF886" s="77" t="str">
        <f>_xlfn.XLOOKUP(AD886,menu!$K$2:$K$9,menu!$J$2:$J$9,"",1)</f>
        <v/>
      </c>
      <c r="AG886" s="80" t="str">
        <f>_xlfn.XLOOKUP(AH886,menu!$O$2:$O$9,menu!$H$2:$H$9,"")</f>
        <v/>
      </c>
      <c r="AI886" t="str">
        <f>_xlfn.LET(_xlpm.x,_xlfn.CONCAT(_xlfn.XLOOKUP(D886,beans!$A$2:$A$300,beans!$J$2:$J$300,"")," / ",_xlfn.XLOOKUP(D886,beans!$A$2:$A$300,beans!$K$2:$K$300,"")," - ",_xlfn.XLOOKUP(D886,beans!$A$2:$A$300,beans!$L$2:$L$300,"")),IF(_xlpm.x=" /  - ","",_xlpm.x))</f>
        <v/>
      </c>
    </row>
    <row r="887" spans="1:35" x14ac:dyDescent="0.3">
      <c r="A887">
        <v>870</v>
      </c>
      <c r="E887" t="str">
        <f>_xlfn.LET(_xlpm.x,_xlfn.XLOOKUP(D887,beans!$A$2:$A$300,beans!$H$2:$H$300,""),IF(_xlpm.x="","",_xlpm.x))</f>
        <v/>
      </c>
      <c r="F887" s="22" t="str">
        <f>_xlfn.XLOOKUP(E887,menu!$A$2:$A$37,menu!$B$2:$B$37,"")</f>
        <v/>
      </c>
      <c r="G887" t="str">
        <f>_xlfn.XLOOKUP(E887,menu!$A$2:$A$37,menu!$C$2:$C$37,"")</f>
        <v/>
      </c>
      <c r="H887" t="str">
        <f>_xlfn.LET(_xlpm.x,_xlfn.XLOOKUP(_xlfn.XLOOKUP(D887,beans!$A$2:$A$300,beans!$I$2:$I$300),menu!$E$2:$E$20,menu!$F$2:$F$20),IF(_xlpm.x="","",_xlpm.x))</f>
        <v/>
      </c>
      <c r="T887" s="68" t="str">
        <f t="shared" si="98"/>
        <v/>
      </c>
      <c r="U887" t="str">
        <f t="shared" si="94"/>
        <v/>
      </c>
      <c r="V887">
        <f t="shared" si="99"/>
        <v>0</v>
      </c>
      <c r="W887" t="str">
        <f t="shared" si="95"/>
        <v/>
      </c>
      <c r="AB887" s="28" t="str">
        <f t="shared" si="96"/>
        <v xml:space="preserve"> </v>
      </c>
      <c r="AE887" s="61" t="str">
        <f t="shared" si="97"/>
        <v/>
      </c>
      <c r="AF887" s="77" t="str">
        <f>_xlfn.XLOOKUP(AD887,menu!$K$2:$K$9,menu!$J$2:$J$9,"",1)</f>
        <v/>
      </c>
      <c r="AG887" s="80" t="str">
        <f>_xlfn.XLOOKUP(AH887,menu!$O$2:$O$9,menu!$H$2:$H$9,"")</f>
        <v/>
      </c>
      <c r="AI887" t="str">
        <f>_xlfn.LET(_xlpm.x,_xlfn.CONCAT(_xlfn.XLOOKUP(D887,beans!$A$2:$A$300,beans!$J$2:$J$300,"")," / ",_xlfn.XLOOKUP(D887,beans!$A$2:$A$300,beans!$K$2:$K$300,"")," - ",_xlfn.XLOOKUP(D887,beans!$A$2:$A$300,beans!$L$2:$L$300,"")),IF(_xlpm.x=" /  - ","",_xlpm.x))</f>
        <v/>
      </c>
    </row>
    <row r="888" spans="1:35" x14ac:dyDescent="0.3">
      <c r="A888">
        <v>871</v>
      </c>
      <c r="E888" t="str">
        <f>_xlfn.LET(_xlpm.x,_xlfn.XLOOKUP(D888,beans!$A$2:$A$300,beans!$H$2:$H$300,""),IF(_xlpm.x="","",_xlpm.x))</f>
        <v/>
      </c>
      <c r="F888" s="22" t="str">
        <f>_xlfn.XLOOKUP(E888,menu!$A$2:$A$37,menu!$B$2:$B$37,"")</f>
        <v/>
      </c>
      <c r="G888" t="str">
        <f>_xlfn.XLOOKUP(E888,menu!$A$2:$A$37,menu!$C$2:$C$37,"")</f>
        <v/>
      </c>
      <c r="H888" t="str">
        <f>_xlfn.LET(_xlpm.x,_xlfn.XLOOKUP(_xlfn.XLOOKUP(D888,beans!$A$2:$A$300,beans!$I$2:$I$300),menu!$E$2:$E$20,menu!$F$2:$F$20),IF(_xlpm.x="","",_xlpm.x))</f>
        <v/>
      </c>
      <c r="T888" s="68" t="str">
        <f t="shared" si="98"/>
        <v/>
      </c>
      <c r="U888" t="str">
        <f t="shared" si="94"/>
        <v/>
      </c>
      <c r="V888">
        <f t="shared" si="99"/>
        <v>0</v>
      </c>
      <c r="W888" t="str">
        <f t="shared" si="95"/>
        <v/>
      </c>
      <c r="AB888" s="28" t="str">
        <f t="shared" si="96"/>
        <v xml:space="preserve"> </v>
      </c>
      <c r="AE888" s="61" t="str">
        <f t="shared" si="97"/>
        <v/>
      </c>
      <c r="AF888" s="77" t="str">
        <f>_xlfn.XLOOKUP(AD888,menu!$K$2:$K$9,menu!$J$2:$J$9,"",1)</f>
        <v/>
      </c>
      <c r="AG888" s="80" t="str">
        <f>_xlfn.XLOOKUP(AH888,menu!$O$2:$O$9,menu!$H$2:$H$9,"")</f>
        <v/>
      </c>
      <c r="AI888" t="str">
        <f>_xlfn.LET(_xlpm.x,_xlfn.CONCAT(_xlfn.XLOOKUP(D888,beans!$A$2:$A$300,beans!$J$2:$J$300,"")," / ",_xlfn.XLOOKUP(D888,beans!$A$2:$A$300,beans!$K$2:$K$300,"")," - ",_xlfn.XLOOKUP(D888,beans!$A$2:$A$300,beans!$L$2:$L$300,"")),IF(_xlpm.x=" /  - ","",_xlpm.x))</f>
        <v/>
      </c>
    </row>
    <row r="889" spans="1:35" x14ac:dyDescent="0.3">
      <c r="A889">
        <v>872</v>
      </c>
      <c r="E889" t="str">
        <f>_xlfn.LET(_xlpm.x,_xlfn.XLOOKUP(D889,beans!$A$2:$A$300,beans!$H$2:$H$300,""),IF(_xlpm.x="","",_xlpm.x))</f>
        <v/>
      </c>
      <c r="F889" s="22" t="str">
        <f>_xlfn.XLOOKUP(E889,menu!$A$2:$A$37,menu!$B$2:$B$37,"")</f>
        <v/>
      </c>
      <c r="G889" t="str">
        <f>_xlfn.XLOOKUP(E889,menu!$A$2:$A$37,menu!$C$2:$C$37,"")</f>
        <v/>
      </c>
      <c r="H889" t="str">
        <f>_xlfn.LET(_xlpm.x,_xlfn.XLOOKUP(_xlfn.XLOOKUP(D889,beans!$A$2:$A$300,beans!$I$2:$I$300),menu!$E$2:$E$20,menu!$F$2:$F$20),IF(_xlpm.x="","",_xlpm.x))</f>
        <v/>
      </c>
      <c r="T889" s="68" t="str">
        <f t="shared" si="98"/>
        <v/>
      </c>
      <c r="U889" t="str">
        <f t="shared" si="94"/>
        <v/>
      </c>
      <c r="V889">
        <f t="shared" si="99"/>
        <v>0</v>
      </c>
      <c r="W889" t="str">
        <f t="shared" si="95"/>
        <v/>
      </c>
      <c r="AB889" s="28" t="str">
        <f t="shared" si="96"/>
        <v xml:space="preserve"> </v>
      </c>
      <c r="AE889" s="61" t="str">
        <f t="shared" si="97"/>
        <v/>
      </c>
      <c r="AF889" s="77" t="str">
        <f>_xlfn.XLOOKUP(AD889,menu!$K$2:$K$9,menu!$J$2:$J$9,"",1)</f>
        <v/>
      </c>
      <c r="AG889" s="80" t="str">
        <f>_xlfn.XLOOKUP(AH889,menu!$O$2:$O$9,menu!$H$2:$H$9,"")</f>
        <v/>
      </c>
      <c r="AI889" t="str">
        <f>_xlfn.LET(_xlpm.x,_xlfn.CONCAT(_xlfn.XLOOKUP(D889,beans!$A$2:$A$300,beans!$J$2:$J$300,"")," / ",_xlfn.XLOOKUP(D889,beans!$A$2:$A$300,beans!$K$2:$K$300,"")," - ",_xlfn.XLOOKUP(D889,beans!$A$2:$A$300,beans!$L$2:$L$300,"")),IF(_xlpm.x=" /  - ","",_xlpm.x))</f>
        <v/>
      </c>
    </row>
    <row r="890" spans="1:35" x14ac:dyDescent="0.3">
      <c r="A890">
        <v>873</v>
      </c>
      <c r="E890" t="str">
        <f>_xlfn.LET(_xlpm.x,_xlfn.XLOOKUP(D890,beans!$A$2:$A$300,beans!$H$2:$H$300,""),IF(_xlpm.x="","",_xlpm.x))</f>
        <v/>
      </c>
      <c r="F890" s="22" t="str">
        <f>_xlfn.XLOOKUP(E890,menu!$A$2:$A$37,menu!$B$2:$B$37,"")</f>
        <v/>
      </c>
      <c r="G890" t="str">
        <f>_xlfn.XLOOKUP(E890,menu!$A$2:$A$37,menu!$C$2:$C$37,"")</f>
        <v/>
      </c>
      <c r="H890" t="str">
        <f>_xlfn.LET(_xlpm.x,_xlfn.XLOOKUP(_xlfn.XLOOKUP(D890,beans!$A$2:$A$300,beans!$I$2:$I$300),menu!$E$2:$E$20,menu!$F$2:$F$20),IF(_xlpm.x="","",_xlpm.x))</f>
        <v/>
      </c>
      <c r="T890" s="68" t="str">
        <f t="shared" si="98"/>
        <v/>
      </c>
      <c r="U890" t="str">
        <f t="shared" si="94"/>
        <v/>
      </c>
      <c r="V890">
        <f t="shared" si="99"/>
        <v>0</v>
      </c>
      <c r="W890" t="str">
        <f t="shared" si="95"/>
        <v/>
      </c>
      <c r="AB890" s="28" t="str">
        <f t="shared" si="96"/>
        <v xml:space="preserve"> </v>
      </c>
      <c r="AE890" s="61" t="str">
        <f t="shared" si="97"/>
        <v/>
      </c>
      <c r="AF890" s="77" t="str">
        <f>_xlfn.XLOOKUP(AD890,menu!$K$2:$K$9,menu!$J$2:$J$9,"",1)</f>
        <v/>
      </c>
      <c r="AG890" s="80" t="str">
        <f>_xlfn.XLOOKUP(AH890,menu!$O$2:$O$9,menu!$H$2:$H$9,"")</f>
        <v/>
      </c>
      <c r="AI890" t="str">
        <f>_xlfn.LET(_xlpm.x,_xlfn.CONCAT(_xlfn.XLOOKUP(D890,beans!$A$2:$A$300,beans!$J$2:$J$300,"")," / ",_xlfn.XLOOKUP(D890,beans!$A$2:$A$300,beans!$K$2:$K$300,"")," - ",_xlfn.XLOOKUP(D890,beans!$A$2:$A$300,beans!$L$2:$L$300,"")),IF(_xlpm.x=" /  - ","",_xlpm.x))</f>
        <v/>
      </c>
    </row>
    <row r="891" spans="1:35" x14ac:dyDescent="0.3">
      <c r="A891">
        <v>874</v>
      </c>
      <c r="E891" t="str">
        <f>_xlfn.LET(_xlpm.x,_xlfn.XLOOKUP(D891,beans!$A$2:$A$300,beans!$H$2:$H$300,""),IF(_xlpm.x="","",_xlpm.x))</f>
        <v/>
      </c>
      <c r="F891" s="22" t="str">
        <f>_xlfn.XLOOKUP(E891,menu!$A$2:$A$37,menu!$B$2:$B$37,"")</f>
        <v/>
      </c>
      <c r="G891" t="str">
        <f>_xlfn.XLOOKUP(E891,menu!$A$2:$A$37,menu!$C$2:$C$37,"")</f>
        <v/>
      </c>
      <c r="H891" t="str">
        <f>_xlfn.LET(_xlpm.x,_xlfn.XLOOKUP(_xlfn.XLOOKUP(D891,beans!$A$2:$A$300,beans!$I$2:$I$300),menu!$E$2:$E$20,menu!$F$2:$F$20),IF(_xlpm.x="","",_xlpm.x))</f>
        <v/>
      </c>
      <c r="T891" s="68" t="str">
        <f t="shared" si="98"/>
        <v/>
      </c>
      <c r="U891" t="str">
        <f t="shared" si="94"/>
        <v/>
      </c>
      <c r="V891">
        <f t="shared" si="99"/>
        <v>0</v>
      </c>
      <c r="W891" t="str">
        <f t="shared" si="95"/>
        <v/>
      </c>
      <c r="AB891" s="28" t="str">
        <f t="shared" si="96"/>
        <v xml:space="preserve"> </v>
      </c>
      <c r="AE891" s="61" t="str">
        <f t="shared" si="97"/>
        <v/>
      </c>
      <c r="AF891" s="77" t="str">
        <f>_xlfn.XLOOKUP(AD891,menu!$K$2:$K$9,menu!$J$2:$J$9,"",1)</f>
        <v/>
      </c>
      <c r="AG891" s="80" t="str">
        <f>_xlfn.XLOOKUP(AH891,menu!$O$2:$O$9,menu!$H$2:$H$9,"")</f>
        <v/>
      </c>
      <c r="AI891" t="str">
        <f>_xlfn.LET(_xlpm.x,_xlfn.CONCAT(_xlfn.XLOOKUP(D891,beans!$A$2:$A$300,beans!$J$2:$J$300,"")," / ",_xlfn.XLOOKUP(D891,beans!$A$2:$A$300,beans!$K$2:$K$300,"")," - ",_xlfn.XLOOKUP(D891,beans!$A$2:$A$300,beans!$L$2:$L$300,"")),IF(_xlpm.x=" /  - ","",_xlpm.x))</f>
        <v/>
      </c>
    </row>
    <row r="892" spans="1:35" x14ac:dyDescent="0.3">
      <c r="A892">
        <v>875</v>
      </c>
      <c r="E892" t="str">
        <f>_xlfn.LET(_xlpm.x,_xlfn.XLOOKUP(D892,beans!$A$2:$A$300,beans!$H$2:$H$300,""),IF(_xlpm.x="","",_xlpm.x))</f>
        <v/>
      </c>
      <c r="F892" s="22" t="str">
        <f>_xlfn.XLOOKUP(E892,menu!$A$2:$A$37,menu!$B$2:$B$37,"")</f>
        <v/>
      </c>
      <c r="G892" t="str">
        <f>_xlfn.XLOOKUP(E892,menu!$A$2:$A$37,menu!$C$2:$C$37,"")</f>
        <v/>
      </c>
      <c r="H892" t="str">
        <f>_xlfn.LET(_xlpm.x,_xlfn.XLOOKUP(_xlfn.XLOOKUP(D892,beans!$A$2:$A$300,beans!$I$2:$I$300),menu!$E$2:$E$20,menu!$F$2:$F$20),IF(_xlpm.x="","",_xlpm.x))</f>
        <v/>
      </c>
      <c r="T892" s="68" t="str">
        <f t="shared" si="98"/>
        <v/>
      </c>
      <c r="U892" t="str">
        <f t="shared" si="94"/>
        <v/>
      </c>
      <c r="V892">
        <f t="shared" si="99"/>
        <v>0</v>
      </c>
      <c r="W892" t="str">
        <f t="shared" si="95"/>
        <v/>
      </c>
      <c r="AB892" s="28" t="str">
        <f t="shared" si="96"/>
        <v xml:space="preserve"> </v>
      </c>
      <c r="AE892" s="61" t="str">
        <f t="shared" si="97"/>
        <v/>
      </c>
      <c r="AF892" s="77" t="str">
        <f>_xlfn.XLOOKUP(AD892,menu!$K$2:$K$9,menu!$J$2:$J$9,"",1)</f>
        <v/>
      </c>
      <c r="AG892" s="80" t="str">
        <f>_xlfn.XLOOKUP(AH892,menu!$O$2:$O$9,menu!$H$2:$H$9,"")</f>
        <v/>
      </c>
      <c r="AI892" t="str">
        <f>_xlfn.LET(_xlpm.x,_xlfn.CONCAT(_xlfn.XLOOKUP(D892,beans!$A$2:$A$300,beans!$J$2:$J$300,"")," / ",_xlfn.XLOOKUP(D892,beans!$A$2:$A$300,beans!$K$2:$K$300,"")," - ",_xlfn.XLOOKUP(D892,beans!$A$2:$A$300,beans!$L$2:$L$300,"")),IF(_xlpm.x=" /  - ","",_xlpm.x))</f>
        <v/>
      </c>
    </row>
    <row r="893" spans="1:35" x14ac:dyDescent="0.3">
      <c r="A893">
        <v>876</v>
      </c>
      <c r="E893" t="str">
        <f>_xlfn.LET(_xlpm.x,_xlfn.XLOOKUP(D893,beans!$A$2:$A$300,beans!$H$2:$H$300,""),IF(_xlpm.x="","",_xlpm.x))</f>
        <v/>
      </c>
      <c r="F893" s="22" t="str">
        <f>_xlfn.XLOOKUP(E893,menu!$A$2:$A$37,menu!$B$2:$B$37,"")</f>
        <v/>
      </c>
      <c r="G893" t="str">
        <f>_xlfn.XLOOKUP(E893,menu!$A$2:$A$37,menu!$C$2:$C$37,"")</f>
        <v/>
      </c>
      <c r="H893" t="str">
        <f>_xlfn.LET(_xlpm.x,_xlfn.XLOOKUP(_xlfn.XLOOKUP(D893,beans!$A$2:$A$300,beans!$I$2:$I$300),menu!$E$2:$E$20,menu!$F$2:$F$20),IF(_xlpm.x="","",_xlpm.x))</f>
        <v/>
      </c>
      <c r="T893" s="68" t="str">
        <f t="shared" si="98"/>
        <v/>
      </c>
      <c r="U893" t="str">
        <f t="shared" si="94"/>
        <v/>
      </c>
      <c r="V893">
        <f t="shared" si="99"/>
        <v>0</v>
      </c>
      <c r="W893" t="str">
        <f t="shared" si="95"/>
        <v/>
      </c>
      <c r="AB893" s="28" t="str">
        <f t="shared" si="96"/>
        <v xml:space="preserve"> </v>
      </c>
      <c r="AE893" s="61" t="str">
        <f t="shared" si="97"/>
        <v/>
      </c>
      <c r="AF893" s="77" t="str">
        <f>_xlfn.XLOOKUP(AD893,menu!$K$2:$K$9,menu!$J$2:$J$9,"",1)</f>
        <v/>
      </c>
      <c r="AG893" s="80" t="str">
        <f>_xlfn.XLOOKUP(AH893,menu!$O$2:$O$9,menu!$H$2:$H$9,"")</f>
        <v/>
      </c>
      <c r="AI893" t="str">
        <f>_xlfn.LET(_xlpm.x,_xlfn.CONCAT(_xlfn.XLOOKUP(D893,beans!$A$2:$A$300,beans!$J$2:$J$300,"")," / ",_xlfn.XLOOKUP(D893,beans!$A$2:$A$300,beans!$K$2:$K$300,"")," - ",_xlfn.XLOOKUP(D893,beans!$A$2:$A$300,beans!$L$2:$L$300,"")),IF(_xlpm.x=" /  - ","",_xlpm.x))</f>
        <v/>
      </c>
    </row>
    <row r="894" spans="1:35" x14ac:dyDescent="0.3">
      <c r="A894">
        <v>877</v>
      </c>
      <c r="E894" t="str">
        <f>_xlfn.LET(_xlpm.x,_xlfn.XLOOKUP(D894,beans!$A$2:$A$300,beans!$H$2:$H$300,""),IF(_xlpm.x="","",_xlpm.x))</f>
        <v/>
      </c>
      <c r="F894" s="22" t="str">
        <f>_xlfn.XLOOKUP(E894,menu!$A$2:$A$37,menu!$B$2:$B$37,"")</f>
        <v/>
      </c>
      <c r="G894" t="str">
        <f>_xlfn.XLOOKUP(E894,menu!$A$2:$A$37,menu!$C$2:$C$37,"")</f>
        <v/>
      </c>
      <c r="H894" t="str">
        <f>_xlfn.LET(_xlpm.x,_xlfn.XLOOKUP(_xlfn.XLOOKUP(D894,beans!$A$2:$A$300,beans!$I$2:$I$300),menu!$E$2:$E$20,menu!$F$2:$F$20),IF(_xlpm.x="","",_xlpm.x))</f>
        <v/>
      </c>
      <c r="T894" s="68" t="str">
        <f t="shared" si="98"/>
        <v/>
      </c>
      <c r="U894" t="str">
        <f t="shared" si="94"/>
        <v/>
      </c>
      <c r="V894">
        <f t="shared" si="99"/>
        <v>0</v>
      </c>
      <c r="W894" t="str">
        <f t="shared" si="95"/>
        <v/>
      </c>
      <c r="AB894" s="28" t="str">
        <f t="shared" si="96"/>
        <v xml:space="preserve"> </v>
      </c>
      <c r="AE894" s="61" t="str">
        <f t="shared" si="97"/>
        <v/>
      </c>
      <c r="AF894" s="77" t="str">
        <f>_xlfn.XLOOKUP(AD894,menu!$K$2:$K$9,menu!$J$2:$J$9,"",1)</f>
        <v/>
      </c>
      <c r="AG894" s="80" t="str">
        <f>_xlfn.XLOOKUP(AH894,menu!$O$2:$O$9,menu!$H$2:$H$9,"")</f>
        <v/>
      </c>
      <c r="AI894" t="str">
        <f>_xlfn.LET(_xlpm.x,_xlfn.CONCAT(_xlfn.XLOOKUP(D894,beans!$A$2:$A$300,beans!$J$2:$J$300,"")," / ",_xlfn.XLOOKUP(D894,beans!$A$2:$A$300,beans!$K$2:$K$300,"")," - ",_xlfn.XLOOKUP(D894,beans!$A$2:$A$300,beans!$L$2:$L$300,"")),IF(_xlpm.x=" /  - ","",_xlpm.x))</f>
        <v/>
      </c>
    </row>
    <row r="895" spans="1:35" x14ac:dyDescent="0.3">
      <c r="A895">
        <v>878</v>
      </c>
      <c r="E895" t="str">
        <f>_xlfn.LET(_xlpm.x,_xlfn.XLOOKUP(D895,beans!$A$2:$A$300,beans!$H$2:$H$300,""),IF(_xlpm.x="","",_xlpm.x))</f>
        <v/>
      </c>
      <c r="F895" s="22" t="str">
        <f>_xlfn.XLOOKUP(E895,menu!$A$2:$A$37,menu!$B$2:$B$37,"")</f>
        <v/>
      </c>
      <c r="G895" t="str">
        <f>_xlfn.XLOOKUP(E895,menu!$A$2:$A$37,menu!$C$2:$C$37,"")</f>
        <v/>
      </c>
      <c r="H895" t="str">
        <f>_xlfn.LET(_xlpm.x,_xlfn.XLOOKUP(_xlfn.XLOOKUP(D895,beans!$A$2:$A$300,beans!$I$2:$I$300),menu!$E$2:$E$20,menu!$F$2:$F$20),IF(_xlpm.x="","",_xlpm.x))</f>
        <v/>
      </c>
      <c r="T895" s="68" t="str">
        <f t="shared" si="98"/>
        <v/>
      </c>
      <c r="U895" t="str">
        <f t="shared" si="94"/>
        <v/>
      </c>
      <c r="V895">
        <f t="shared" si="99"/>
        <v>0</v>
      </c>
      <c r="W895" t="str">
        <f t="shared" si="95"/>
        <v/>
      </c>
      <c r="AB895" s="28" t="str">
        <f t="shared" si="96"/>
        <v xml:space="preserve"> </v>
      </c>
      <c r="AE895" s="61" t="str">
        <f t="shared" si="97"/>
        <v/>
      </c>
      <c r="AF895" s="77" t="str">
        <f>_xlfn.XLOOKUP(AD895,menu!$K$2:$K$9,menu!$J$2:$J$9,"",1)</f>
        <v/>
      </c>
      <c r="AG895" s="80" t="str">
        <f>_xlfn.XLOOKUP(AH895,menu!$O$2:$O$9,menu!$H$2:$H$9,"")</f>
        <v/>
      </c>
      <c r="AI895" t="str">
        <f>_xlfn.LET(_xlpm.x,_xlfn.CONCAT(_xlfn.XLOOKUP(D895,beans!$A$2:$A$300,beans!$J$2:$J$300,"")," / ",_xlfn.XLOOKUP(D895,beans!$A$2:$A$300,beans!$K$2:$K$300,"")," - ",_xlfn.XLOOKUP(D895,beans!$A$2:$A$300,beans!$L$2:$L$300,"")),IF(_xlpm.x=" /  - ","",_xlpm.x))</f>
        <v/>
      </c>
    </row>
    <row r="896" spans="1:35" x14ac:dyDescent="0.3">
      <c r="A896">
        <v>879</v>
      </c>
      <c r="E896" t="str">
        <f>_xlfn.LET(_xlpm.x,_xlfn.XLOOKUP(D896,beans!$A$2:$A$300,beans!$H$2:$H$300,""),IF(_xlpm.x="","",_xlpm.x))</f>
        <v/>
      </c>
      <c r="F896" s="22" t="str">
        <f>_xlfn.XLOOKUP(E896,menu!$A$2:$A$37,menu!$B$2:$B$37,"")</f>
        <v/>
      </c>
      <c r="G896" t="str">
        <f>_xlfn.XLOOKUP(E896,menu!$A$2:$A$37,menu!$C$2:$C$37,"")</f>
        <v/>
      </c>
      <c r="H896" t="str">
        <f>_xlfn.LET(_xlpm.x,_xlfn.XLOOKUP(_xlfn.XLOOKUP(D896,beans!$A$2:$A$300,beans!$I$2:$I$300),menu!$E$2:$E$20,menu!$F$2:$F$20),IF(_xlpm.x="","",_xlpm.x))</f>
        <v/>
      </c>
      <c r="T896" s="68" t="str">
        <f t="shared" si="98"/>
        <v/>
      </c>
      <c r="U896" t="str">
        <f t="shared" si="94"/>
        <v/>
      </c>
      <c r="V896">
        <f t="shared" si="99"/>
        <v>0</v>
      </c>
      <c r="W896" t="str">
        <f t="shared" si="95"/>
        <v/>
      </c>
      <c r="AB896" s="28" t="str">
        <f t="shared" si="96"/>
        <v xml:space="preserve"> </v>
      </c>
      <c r="AE896" s="61" t="str">
        <f t="shared" si="97"/>
        <v/>
      </c>
      <c r="AF896" s="77" t="str">
        <f>_xlfn.XLOOKUP(AD896,menu!$K$2:$K$9,menu!$J$2:$J$9,"",1)</f>
        <v/>
      </c>
      <c r="AG896" s="80" t="str">
        <f>_xlfn.XLOOKUP(AH896,menu!$O$2:$O$9,menu!$H$2:$H$9,"")</f>
        <v/>
      </c>
      <c r="AI896" t="str">
        <f>_xlfn.LET(_xlpm.x,_xlfn.CONCAT(_xlfn.XLOOKUP(D896,beans!$A$2:$A$300,beans!$J$2:$J$300,"")," / ",_xlfn.XLOOKUP(D896,beans!$A$2:$A$300,beans!$K$2:$K$300,"")," - ",_xlfn.XLOOKUP(D896,beans!$A$2:$A$300,beans!$L$2:$L$300,"")),IF(_xlpm.x=" /  - ","",_xlpm.x))</f>
        <v/>
      </c>
    </row>
    <row r="897" spans="1:35" x14ac:dyDescent="0.3">
      <c r="A897">
        <v>880</v>
      </c>
      <c r="E897" t="str">
        <f>_xlfn.LET(_xlpm.x,_xlfn.XLOOKUP(D897,beans!$A$2:$A$300,beans!$H$2:$H$300,""),IF(_xlpm.x="","",_xlpm.x))</f>
        <v/>
      </c>
      <c r="F897" s="22" t="str">
        <f>_xlfn.XLOOKUP(E897,menu!$A$2:$A$37,menu!$B$2:$B$37,"")</f>
        <v/>
      </c>
      <c r="G897" t="str">
        <f>_xlfn.XLOOKUP(E897,menu!$A$2:$A$37,menu!$C$2:$C$37,"")</f>
        <v/>
      </c>
      <c r="H897" t="str">
        <f>_xlfn.LET(_xlpm.x,_xlfn.XLOOKUP(_xlfn.XLOOKUP(D897,beans!$A$2:$A$300,beans!$I$2:$I$300),menu!$E$2:$E$20,menu!$F$2:$F$20),IF(_xlpm.x="","",_xlpm.x))</f>
        <v/>
      </c>
      <c r="T897" s="68" t="str">
        <f t="shared" si="98"/>
        <v/>
      </c>
      <c r="U897" t="str">
        <f t="shared" si="94"/>
        <v/>
      </c>
      <c r="V897">
        <f t="shared" si="99"/>
        <v>0</v>
      </c>
      <c r="W897" t="str">
        <f t="shared" si="95"/>
        <v/>
      </c>
      <c r="AB897" s="28" t="str">
        <f t="shared" si="96"/>
        <v xml:space="preserve"> </v>
      </c>
      <c r="AE897" s="61" t="str">
        <f t="shared" si="97"/>
        <v/>
      </c>
      <c r="AF897" s="77" t="str">
        <f>_xlfn.XLOOKUP(AD897,menu!$K$2:$K$9,menu!$J$2:$J$9,"",1)</f>
        <v/>
      </c>
      <c r="AG897" s="80" t="str">
        <f>_xlfn.XLOOKUP(AH897,menu!$O$2:$O$9,menu!$H$2:$H$9,"")</f>
        <v/>
      </c>
      <c r="AI897" t="str">
        <f>_xlfn.LET(_xlpm.x,_xlfn.CONCAT(_xlfn.XLOOKUP(D897,beans!$A$2:$A$300,beans!$J$2:$J$300,"")," / ",_xlfn.XLOOKUP(D897,beans!$A$2:$A$300,beans!$K$2:$K$300,"")," - ",_xlfn.XLOOKUP(D897,beans!$A$2:$A$300,beans!$L$2:$L$300,"")),IF(_xlpm.x=" /  - ","",_xlpm.x))</f>
        <v/>
      </c>
    </row>
    <row r="898" spans="1:35" x14ac:dyDescent="0.3">
      <c r="A898">
        <v>881</v>
      </c>
      <c r="E898" t="str">
        <f>_xlfn.LET(_xlpm.x,_xlfn.XLOOKUP(D898,beans!$A$2:$A$300,beans!$H$2:$H$300,""),IF(_xlpm.x="","",_xlpm.x))</f>
        <v/>
      </c>
      <c r="F898" s="22" t="str">
        <f>_xlfn.XLOOKUP(E898,menu!$A$2:$A$37,menu!$B$2:$B$37,"")</f>
        <v/>
      </c>
      <c r="G898" t="str">
        <f>_xlfn.XLOOKUP(E898,menu!$A$2:$A$37,menu!$C$2:$C$37,"")</f>
        <v/>
      </c>
      <c r="H898" t="str">
        <f>_xlfn.LET(_xlpm.x,_xlfn.XLOOKUP(_xlfn.XLOOKUP(D898,beans!$A$2:$A$300,beans!$I$2:$I$300),menu!$E$2:$E$20,menu!$F$2:$F$20),IF(_xlpm.x="","",_xlpm.x))</f>
        <v/>
      </c>
      <c r="T898" s="68" t="str">
        <f t="shared" si="98"/>
        <v/>
      </c>
      <c r="U898" t="str">
        <f t="shared" ref="U898:U961" si="100">_xlfn.LET(_xlpm.x,(TIMEVALUE("0:"&amp;SUBSTITUTE(R898,"'",":"))-TIMEVALUE("0:"&amp;SUBSTITUTE(P898,"'",":")))*86400,IF(_xlpm.x=0,"",ROUND(_xlpm.x,2)))</f>
        <v/>
      </c>
      <c r="V898">
        <f t="shared" si="99"/>
        <v>0</v>
      </c>
      <c r="W898" t="str">
        <f t="shared" ref="W898:W961" si="101">_xlfn.LET(_xlpm.x,(TIMEVALUE("0:"&amp;SUBSTITUTE(R898,"'",":"))-TIMEVALUE("0:"&amp;SUBSTITUTE(P898,"'",":")))*86400,IF(_xlpm.x=0,"",ROUND(_xlpm.x/((TIMEVALUE("0:"&amp;SUBSTITUTE(R898,"'",":"))-TIMEVALUE("0:0:0"))*864),2)))</f>
        <v/>
      </c>
      <c r="AB898" s="28" t="str">
        <f t="shared" ref="AB898:AB961" si="102">IF(Y898 &gt; 0,(B898-Y898)/B898," ")</f>
        <v xml:space="preserve"> </v>
      </c>
      <c r="AE898" s="61" t="str">
        <f t="shared" ref="AE898:AE961" si="103">_xlfn.LET(_xlpm.x,AD898-AC898,IF(_xlpm.x=0,"",_xlpm.x))</f>
        <v/>
      </c>
      <c r="AF898" s="77" t="str">
        <f>_xlfn.XLOOKUP(AD898,menu!$K$2:$K$9,menu!$J$2:$J$9,"",1)</f>
        <v/>
      </c>
      <c r="AG898" s="80" t="str">
        <f>_xlfn.XLOOKUP(AH898,menu!$O$2:$O$9,menu!$H$2:$H$9,"")</f>
        <v/>
      </c>
      <c r="AI898" t="str">
        <f>_xlfn.LET(_xlpm.x,_xlfn.CONCAT(_xlfn.XLOOKUP(D898,beans!$A$2:$A$300,beans!$J$2:$J$300,"")," / ",_xlfn.XLOOKUP(D898,beans!$A$2:$A$300,beans!$K$2:$K$300,"")," - ",_xlfn.XLOOKUP(D898,beans!$A$2:$A$300,beans!$L$2:$L$300,"")),IF(_xlpm.x=" /  - ","",_xlpm.x))</f>
        <v/>
      </c>
    </row>
    <row r="899" spans="1:35" x14ac:dyDescent="0.3">
      <c r="A899">
        <v>882</v>
      </c>
      <c r="E899" t="str">
        <f>_xlfn.LET(_xlpm.x,_xlfn.XLOOKUP(D899,beans!$A$2:$A$300,beans!$H$2:$H$300,""),IF(_xlpm.x="","",_xlpm.x))</f>
        <v/>
      </c>
      <c r="F899" s="22" t="str">
        <f>_xlfn.XLOOKUP(E899,menu!$A$2:$A$37,menu!$B$2:$B$37,"")</f>
        <v/>
      </c>
      <c r="G899" t="str">
        <f>_xlfn.XLOOKUP(E899,menu!$A$2:$A$37,menu!$C$2:$C$37,"")</f>
        <v/>
      </c>
      <c r="H899" t="str">
        <f>_xlfn.LET(_xlpm.x,_xlfn.XLOOKUP(_xlfn.XLOOKUP(D899,beans!$A$2:$A$300,beans!$I$2:$I$300),menu!$E$2:$E$20,menu!$F$2:$F$20),IF(_xlpm.x="","",_xlpm.x))</f>
        <v/>
      </c>
      <c r="T899" s="68" t="str">
        <f t="shared" ref="T899:T962" si="104">_xlfn.LET(_xlpm.x,S899-Q899,IF(_xlpm.x=0,"",_xlpm.x))</f>
        <v/>
      </c>
      <c r="U899" t="str">
        <f t="shared" si="100"/>
        <v/>
      </c>
      <c r="V899">
        <f t="shared" ref="V899:V962" si="105">IFERROR(ROUND(T899*60/U899,1), )</f>
        <v>0</v>
      </c>
      <c r="W899" t="str">
        <f t="shared" si="101"/>
        <v/>
      </c>
      <c r="AB899" s="28" t="str">
        <f t="shared" si="102"/>
        <v xml:space="preserve"> </v>
      </c>
      <c r="AE899" s="61" t="str">
        <f t="shared" si="103"/>
        <v/>
      </c>
      <c r="AF899" s="77" t="str">
        <f>_xlfn.XLOOKUP(AD899,menu!$K$2:$K$9,menu!$J$2:$J$9,"",1)</f>
        <v/>
      </c>
      <c r="AG899" s="80" t="str">
        <f>_xlfn.XLOOKUP(AH899,menu!$O$2:$O$9,menu!$H$2:$H$9,"")</f>
        <v/>
      </c>
      <c r="AI899" t="str">
        <f>_xlfn.LET(_xlpm.x,_xlfn.CONCAT(_xlfn.XLOOKUP(D899,beans!$A$2:$A$300,beans!$J$2:$J$300,"")," / ",_xlfn.XLOOKUP(D899,beans!$A$2:$A$300,beans!$K$2:$K$300,"")," - ",_xlfn.XLOOKUP(D899,beans!$A$2:$A$300,beans!$L$2:$L$300,"")),IF(_xlpm.x=" /  - ","",_xlpm.x))</f>
        <v/>
      </c>
    </row>
    <row r="900" spans="1:35" x14ac:dyDescent="0.3">
      <c r="A900">
        <v>883</v>
      </c>
      <c r="E900" t="str">
        <f>_xlfn.LET(_xlpm.x,_xlfn.XLOOKUP(D900,beans!$A$2:$A$300,beans!$H$2:$H$300,""),IF(_xlpm.x="","",_xlpm.x))</f>
        <v/>
      </c>
      <c r="F900" s="22" t="str">
        <f>_xlfn.XLOOKUP(E900,menu!$A$2:$A$37,menu!$B$2:$B$37,"")</f>
        <v/>
      </c>
      <c r="G900" t="str">
        <f>_xlfn.XLOOKUP(E900,menu!$A$2:$A$37,menu!$C$2:$C$37,"")</f>
        <v/>
      </c>
      <c r="H900" t="str">
        <f>_xlfn.LET(_xlpm.x,_xlfn.XLOOKUP(_xlfn.XLOOKUP(D900,beans!$A$2:$A$300,beans!$I$2:$I$300),menu!$E$2:$E$20,menu!$F$2:$F$20),IF(_xlpm.x="","",_xlpm.x))</f>
        <v/>
      </c>
      <c r="T900" s="68" t="str">
        <f t="shared" si="104"/>
        <v/>
      </c>
      <c r="U900" t="str">
        <f t="shared" si="100"/>
        <v/>
      </c>
      <c r="V900">
        <f t="shared" si="105"/>
        <v>0</v>
      </c>
      <c r="W900" t="str">
        <f t="shared" si="101"/>
        <v/>
      </c>
      <c r="AB900" s="28" t="str">
        <f t="shared" si="102"/>
        <v xml:space="preserve"> </v>
      </c>
      <c r="AE900" s="61" t="str">
        <f t="shared" si="103"/>
        <v/>
      </c>
      <c r="AF900" s="77" t="str">
        <f>_xlfn.XLOOKUP(AD900,menu!$K$2:$K$9,menu!$J$2:$J$9,"",1)</f>
        <v/>
      </c>
      <c r="AG900" s="80" t="str">
        <f>_xlfn.XLOOKUP(AH900,menu!$O$2:$O$9,menu!$H$2:$H$9,"")</f>
        <v/>
      </c>
      <c r="AI900" t="str">
        <f>_xlfn.LET(_xlpm.x,_xlfn.CONCAT(_xlfn.XLOOKUP(D900,beans!$A$2:$A$300,beans!$J$2:$J$300,"")," / ",_xlfn.XLOOKUP(D900,beans!$A$2:$A$300,beans!$K$2:$K$300,"")," - ",_xlfn.XLOOKUP(D900,beans!$A$2:$A$300,beans!$L$2:$L$300,"")),IF(_xlpm.x=" /  - ","",_xlpm.x))</f>
        <v/>
      </c>
    </row>
    <row r="901" spans="1:35" x14ac:dyDescent="0.3">
      <c r="A901">
        <v>884</v>
      </c>
      <c r="E901" t="str">
        <f>_xlfn.LET(_xlpm.x,_xlfn.XLOOKUP(D901,beans!$A$2:$A$300,beans!$H$2:$H$300,""),IF(_xlpm.x="","",_xlpm.x))</f>
        <v/>
      </c>
      <c r="F901" s="22" t="str">
        <f>_xlfn.XLOOKUP(E901,menu!$A$2:$A$37,menu!$B$2:$B$37,"")</f>
        <v/>
      </c>
      <c r="G901" t="str">
        <f>_xlfn.XLOOKUP(E901,menu!$A$2:$A$37,menu!$C$2:$C$37,"")</f>
        <v/>
      </c>
      <c r="H901" t="str">
        <f>_xlfn.LET(_xlpm.x,_xlfn.XLOOKUP(_xlfn.XLOOKUP(D901,beans!$A$2:$A$300,beans!$I$2:$I$300),menu!$E$2:$E$20,menu!$F$2:$F$20),IF(_xlpm.x="","",_xlpm.x))</f>
        <v/>
      </c>
      <c r="T901" s="68" t="str">
        <f t="shared" si="104"/>
        <v/>
      </c>
      <c r="U901" t="str">
        <f t="shared" si="100"/>
        <v/>
      </c>
      <c r="V901">
        <f t="shared" si="105"/>
        <v>0</v>
      </c>
      <c r="W901" t="str">
        <f t="shared" si="101"/>
        <v/>
      </c>
      <c r="AB901" s="28" t="str">
        <f t="shared" si="102"/>
        <v xml:space="preserve"> </v>
      </c>
      <c r="AE901" s="61" t="str">
        <f t="shared" si="103"/>
        <v/>
      </c>
      <c r="AF901" s="77" t="str">
        <f>_xlfn.XLOOKUP(AD901,menu!$K$2:$K$9,menu!$J$2:$J$9,"",1)</f>
        <v/>
      </c>
      <c r="AG901" s="80" t="str">
        <f>_xlfn.XLOOKUP(AH901,menu!$O$2:$O$9,menu!$H$2:$H$9,"")</f>
        <v/>
      </c>
      <c r="AI901" t="str">
        <f>_xlfn.LET(_xlpm.x,_xlfn.CONCAT(_xlfn.XLOOKUP(D901,beans!$A$2:$A$300,beans!$J$2:$J$300,"")," / ",_xlfn.XLOOKUP(D901,beans!$A$2:$A$300,beans!$K$2:$K$300,"")," - ",_xlfn.XLOOKUP(D901,beans!$A$2:$A$300,beans!$L$2:$L$300,"")),IF(_xlpm.x=" /  - ","",_xlpm.x))</f>
        <v/>
      </c>
    </row>
    <row r="902" spans="1:35" x14ac:dyDescent="0.3">
      <c r="A902">
        <v>885</v>
      </c>
      <c r="E902" t="str">
        <f>_xlfn.LET(_xlpm.x,_xlfn.XLOOKUP(D902,beans!$A$2:$A$300,beans!$H$2:$H$300,""),IF(_xlpm.x="","",_xlpm.x))</f>
        <v/>
      </c>
      <c r="F902" s="22" t="str">
        <f>_xlfn.XLOOKUP(E902,menu!$A$2:$A$37,menu!$B$2:$B$37,"")</f>
        <v/>
      </c>
      <c r="G902" t="str">
        <f>_xlfn.XLOOKUP(E902,menu!$A$2:$A$37,menu!$C$2:$C$37,"")</f>
        <v/>
      </c>
      <c r="H902" t="str">
        <f>_xlfn.LET(_xlpm.x,_xlfn.XLOOKUP(_xlfn.XLOOKUP(D902,beans!$A$2:$A$300,beans!$I$2:$I$300),menu!$E$2:$E$20,menu!$F$2:$F$20),IF(_xlpm.x="","",_xlpm.x))</f>
        <v/>
      </c>
      <c r="T902" s="68" t="str">
        <f t="shared" si="104"/>
        <v/>
      </c>
      <c r="U902" t="str">
        <f t="shared" si="100"/>
        <v/>
      </c>
      <c r="V902">
        <f t="shared" si="105"/>
        <v>0</v>
      </c>
      <c r="W902" t="str">
        <f t="shared" si="101"/>
        <v/>
      </c>
      <c r="AB902" s="28" t="str">
        <f t="shared" si="102"/>
        <v xml:space="preserve"> </v>
      </c>
      <c r="AE902" s="61" t="str">
        <f t="shared" si="103"/>
        <v/>
      </c>
      <c r="AF902" s="77" t="str">
        <f>_xlfn.XLOOKUP(AD902,menu!$K$2:$K$9,menu!$J$2:$J$9,"",1)</f>
        <v/>
      </c>
      <c r="AG902" s="80" t="str">
        <f>_xlfn.XLOOKUP(AH902,menu!$O$2:$O$9,menu!$H$2:$H$9,"")</f>
        <v/>
      </c>
      <c r="AI902" t="str">
        <f>_xlfn.LET(_xlpm.x,_xlfn.CONCAT(_xlfn.XLOOKUP(D902,beans!$A$2:$A$300,beans!$J$2:$J$300,"")," / ",_xlfn.XLOOKUP(D902,beans!$A$2:$A$300,beans!$K$2:$K$300,"")," - ",_xlfn.XLOOKUP(D902,beans!$A$2:$A$300,beans!$L$2:$L$300,"")),IF(_xlpm.x=" /  - ","",_xlpm.x))</f>
        <v/>
      </c>
    </row>
    <row r="903" spans="1:35" x14ac:dyDescent="0.3">
      <c r="A903">
        <v>886</v>
      </c>
      <c r="E903" t="str">
        <f>_xlfn.LET(_xlpm.x,_xlfn.XLOOKUP(D903,beans!$A$2:$A$300,beans!$H$2:$H$300,""),IF(_xlpm.x="","",_xlpm.x))</f>
        <v/>
      </c>
      <c r="F903" s="22" t="str">
        <f>_xlfn.XLOOKUP(E903,menu!$A$2:$A$37,menu!$B$2:$B$37,"")</f>
        <v/>
      </c>
      <c r="G903" t="str">
        <f>_xlfn.XLOOKUP(E903,menu!$A$2:$A$37,menu!$C$2:$C$37,"")</f>
        <v/>
      </c>
      <c r="H903" t="str">
        <f>_xlfn.LET(_xlpm.x,_xlfn.XLOOKUP(_xlfn.XLOOKUP(D903,beans!$A$2:$A$300,beans!$I$2:$I$300),menu!$E$2:$E$20,menu!$F$2:$F$20),IF(_xlpm.x="","",_xlpm.x))</f>
        <v/>
      </c>
      <c r="T903" s="68" t="str">
        <f t="shared" si="104"/>
        <v/>
      </c>
      <c r="U903" t="str">
        <f t="shared" si="100"/>
        <v/>
      </c>
      <c r="V903">
        <f t="shared" si="105"/>
        <v>0</v>
      </c>
      <c r="W903" t="str">
        <f t="shared" si="101"/>
        <v/>
      </c>
      <c r="AB903" s="28" t="str">
        <f t="shared" si="102"/>
        <v xml:space="preserve"> </v>
      </c>
      <c r="AE903" s="61" t="str">
        <f t="shared" si="103"/>
        <v/>
      </c>
      <c r="AF903" s="77" t="str">
        <f>_xlfn.XLOOKUP(AD903,menu!$K$2:$K$9,menu!$J$2:$J$9,"",1)</f>
        <v/>
      </c>
      <c r="AG903" s="80" t="str">
        <f>_xlfn.XLOOKUP(AH903,menu!$O$2:$O$9,menu!$H$2:$H$9,"")</f>
        <v/>
      </c>
      <c r="AI903" t="str">
        <f>_xlfn.LET(_xlpm.x,_xlfn.CONCAT(_xlfn.XLOOKUP(D903,beans!$A$2:$A$300,beans!$J$2:$J$300,"")," / ",_xlfn.XLOOKUP(D903,beans!$A$2:$A$300,beans!$K$2:$K$300,"")," - ",_xlfn.XLOOKUP(D903,beans!$A$2:$A$300,beans!$L$2:$L$300,"")),IF(_xlpm.x=" /  - ","",_xlpm.x))</f>
        <v/>
      </c>
    </row>
    <row r="904" spans="1:35" x14ac:dyDescent="0.3">
      <c r="A904">
        <v>887</v>
      </c>
      <c r="E904" t="str">
        <f>_xlfn.LET(_xlpm.x,_xlfn.XLOOKUP(D904,beans!$A$2:$A$300,beans!$H$2:$H$300,""),IF(_xlpm.x="","",_xlpm.x))</f>
        <v/>
      </c>
      <c r="F904" s="22" t="str">
        <f>_xlfn.XLOOKUP(E904,menu!$A$2:$A$37,menu!$B$2:$B$37,"")</f>
        <v/>
      </c>
      <c r="G904" t="str">
        <f>_xlfn.XLOOKUP(E904,menu!$A$2:$A$37,menu!$C$2:$C$37,"")</f>
        <v/>
      </c>
      <c r="H904" t="str">
        <f>_xlfn.LET(_xlpm.x,_xlfn.XLOOKUP(_xlfn.XLOOKUP(D904,beans!$A$2:$A$300,beans!$I$2:$I$300),menu!$E$2:$E$20,menu!$F$2:$F$20),IF(_xlpm.x="","",_xlpm.x))</f>
        <v/>
      </c>
      <c r="T904" s="68" t="str">
        <f t="shared" si="104"/>
        <v/>
      </c>
      <c r="U904" t="str">
        <f t="shared" si="100"/>
        <v/>
      </c>
      <c r="V904">
        <f t="shared" si="105"/>
        <v>0</v>
      </c>
      <c r="W904" t="str">
        <f t="shared" si="101"/>
        <v/>
      </c>
      <c r="AB904" s="28" t="str">
        <f t="shared" si="102"/>
        <v xml:space="preserve"> </v>
      </c>
      <c r="AE904" s="61" t="str">
        <f t="shared" si="103"/>
        <v/>
      </c>
      <c r="AF904" s="77" t="str">
        <f>_xlfn.XLOOKUP(AD904,menu!$K$2:$K$9,menu!$J$2:$J$9,"",1)</f>
        <v/>
      </c>
      <c r="AG904" s="80" t="str">
        <f>_xlfn.XLOOKUP(AH904,menu!$O$2:$O$9,menu!$H$2:$H$9,"")</f>
        <v/>
      </c>
      <c r="AI904" t="str">
        <f>_xlfn.LET(_xlpm.x,_xlfn.CONCAT(_xlfn.XLOOKUP(D904,beans!$A$2:$A$300,beans!$J$2:$J$300,"")," / ",_xlfn.XLOOKUP(D904,beans!$A$2:$A$300,beans!$K$2:$K$300,"")," - ",_xlfn.XLOOKUP(D904,beans!$A$2:$A$300,beans!$L$2:$L$300,"")),IF(_xlpm.x=" /  - ","",_xlpm.x))</f>
        <v/>
      </c>
    </row>
    <row r="905" spans="1:35" x14ac:dyDescent="0.3">
      <c r="A905">
        <v>888</v>
      </c>
      <c r="E905" t="str">
        <f>_xlfn.LET(_xlpm.x,_xlfn.XLOOKUP(D905,beans!$A$2:$A$300,beans!$H$2:$H$300,""),IF(_xlpm.x="","",_xlpm.x))</f>
        <v/>
      </c>
      <c r="F905" s="22" t="str">
        <f>_xlfn.XLOOKUP(E905,menu!$A$2:$A$37,menu!$B$2:$B$37,"")</f>
        <v/>
      </c>
      <c r="G905" t="str">
        <f>_xlfn.XLOOKUP(E905,menu!$A$2:$A$37,menu!$C$2:$C$37,"")</f>
        <v/>
      </c>
      <c r="H905" t="str">
        <f>_xlfn.LET(_xlpm.x,_xlfn.XLOOKUP(_xlfn.XLOOKUP(D905,beans!$A$2:$A$300,beans!$I$2:$I$300),menu!$E$2:$E$20,menu!$F$2:$F$20),IF(_xlpm.x="","",_xlpm.x))</f>
        <v/>
      </c>
      <c r="T905" s="68" t="str">
        <f t="shared" si="104"/>
        <v/>
      </c>
      <c r="U905" t="str">
        <f t="shared" si="100"/>
        <v/>
      </c>
      <c r="V905">
        <f t="shared" si="105"/>
        <v>0</v>
      </c>
      <c r="W905" t="str">
        <f t="shared" si="101"/>
        <v/>
      </c>
      <c r="AB905" s="28" t="str">
        <f t="shared" si="102"/>
        <v xml:space="preserve"> </v>
      </c>
      <c r="AE905" s="61" t="str">
        <f t="shared" si="103"/>
        <v/>
      </c>
      <c r="AF905" s="77" t="str">
        <f>_xlfn.XLOOKUP(AD905,menu!$K$2:$K$9,menu!$J$2:$J$9,"",1)</f>
        <v/>
      </c>
      <c r="AG905" s="80" t="str">
        <f>_xlfn.XLOOKUP(AH905,menu!$O$2:$O$9,menu!$H$2:$H$9,"")</f>
        <v/>
      </c>
      <c r="AI905" t="str">
        <f>_xlfn.LET(_xlpm.x,_xlfn.CONCAT(_xlfn.XLOOKUP(D905,beans!$A$2:$A$300,beans!$J$2:$J$300,"")," / ",_xlfn.XLOOKUP(D905,beans!$A$2:$A$300,beans!$K$2:$K$300,"")," - ",_xlfn.XLOOKUP(D905,beans!$A$2:$A$300,beans!$L$2:$L$300,"")),IF(_xlpm.x=" /  - ","",_xlpm.x))</f>
        <v/>
      </c>
    </row>
    <row r="906" spans="1:35" x14ac:dyDescent="0.3">
      <c r="A906">
        <v>889</v>
      </c>
      <c r="E906" t="str">
        <f>_xlfn.LET(_xlpm.x,_xlfn.XLOOKUP(D906,beans!$A$2:$A$300,beans!$H$2:$H$300,""),IF(_xlpm.x="","",_xlpm.x))</f>
        <v/>
      </c>
      <c r="F906" s="22" t="str">
        <f>_xlfn.XLOOKUP(E906,menu!$A$2:$A$37,menu!$B$2:$B$37,"")</f>
        <v/>
      </c>
      <c r="G906" t="str">
        <f>_xlfn.XLOOKUP(E906,menu!$A$2:$A$37,menu!$C$2:$C$37,"")</f>
        <v/>
      </c>
      <c r="H906" t="str">
        <f>_xlfn.LET(_xlpm.x,_xlfn.XLOOKUP(_xlfn.XLOOKUP(D906,beans!$A$2:$A$300,beans!$I$2:$I$300),menu!$E$2:$E$20,menu!$F$2:$F$20),IF(_xlpm.x="","",_xlpm.x))</f>
        <v/>
      </c>
      <c r="T906" s="68" t="str">
        <f t="shared" si="104"/>
        <v/>
      </c>
      <c r="U906" t="str">
        <f t="shared" si="100"/>
        <v/>
      </c>
      <c r="V906">
        <f t="shared" si="105"/>
        <v>0</v>
      </c>
      <c r="W906" t="str">
        <f t="shared" si="101"/>
        <v/>
      </c>
      <c r="AB906" s="28" t="str">
        <f t="shared" si="102"/>
        <v xml:space="preserve"> </v>
      </c>
      <c r="AE906" s="61" t="str">
        <f t="shared" si="103"/>
        <v/>
      </c>
      <c r="AF906" s="77" t="str">
        <f>_xlfn.XLOOKUP(AD906,menu!$K$2:$K$9,menu!$J$2:$J$9,"",1)</f>
        <v/>
      </c>
      <c r="AG906" s="80" t="str">
        <f>_xlfn.XLOOKUP(AH906,menu!$O$2:$O$9,menu!$H$2:$H$9,"")</f>
        <v/>
      </c>
      <c r="AI906" t="str">
        <f>_xlfn.LET(_xlpm.x,_xlfn.CONCAT(_xlfn.XLOOKUP(D906,beans!$A$2:$A$300,beans!$J$2:$J$300,"")," / ",_xlfn.XLOOKUP(D906,beans!$A$2:$A$300,beans!$K$2:$K$300,"")," - ",_xlfn.XLOOKUP(D906,beans!$A$2:$A$300,beans!$L$2:$L$300,"")),IF(_xlpm.x=" /  - ","",_xlpm.x))</f>
        <v/>
      </c>
    </row>
    <row r="907" spans="1:35" x14ac:dyDescent="0.3">
      <c r="A907">
        <v>890</v>
      </c>
      <c r="E907" t="str">
        <f>_xlfn.LET(_xlpm.x,_xlfn.XLOOKUP(D907,beans!$A$2:$A$300,beans!$H$2:$H$300,""),IF(_xlpm.x="","",_xlpm.x))</f>
        <v/>
      </c>
      <c r="F907" s="22" t="str">
        <f>_xlfn.XLOOKUP(E907,menu!$A$2:$A$37,menu!$B$2:$B$37,"")</f>
        <v/>
      </c>
      <c r="G907" t="str">
        <f>_xlfn.XLOOKUP(E907,menu!$A$2:$A$37,menu!$C$2:$C$37,"")</f>
        <v/>
      </c>
      <c r="H907" t="str">
        <f>_xlfn.LET(_xlpm.x,_xlfn.XLOOKUP(_xlfn.XLOOKUP(D907,beans!$A$2:$A$300,beans!$I$2:$I$300),menu!$E$2:$E$20,menu!$F$2:$F$20),IF(_xlpm.x="","",_xlpm.x))</f>
        <v/>
      </c>
      <c r="T907" s="68" t="str">
        <f t="shared" si="104"/>
        <v/>
      </c>
      <c r="U907" t="str">
        <f t="shared" si="100"/>
        <v/>
      </c>
      <c r="V907">
        <f t="shared" si="105"/>
        <v>0</v>
      </c>
      <c r="W907" t="str">
        <f t="shared" si="101"/>
        <v/>
      </c>
      <c r="AB907" s="28" t="str">
        <f t="shared" si="102"/>
        <v xml:space="preserve"> </v>
      </c>
      <c r="AE907" s="61" t="str">
        <f t="shared" si="103"/>
        <v/>
      </c>
      <c r="AF907" s="77" t="str">
        <f>_xlfn.XLOOKUP(AD907,menu!$K$2:$K$9,menu!$J$2:$J$9,"",1)</f>
        <v/>
      </c>
      <c r="AG907" s="80" t="str">
        <f>_xlfn.XLOOKUP(AH907,menu!$O$2:$O$9,menu!$H$2:$H$9,"")</f>
        <v/>
      </c>
      <c r="AI907" t="str">
        <f>_xlfn.LET(_xlpm.x,_xlfn.CONCAT(_xlfn.XLOOKUP(D907,beans!$A$2:$A$300,beans!$J$2:$J$300,"")," / ",_xlfn.XLOOKUP(D907,beans!$A$2:$A$300,beans!$K$2:$K$300,"")," - ",_xlfn.XLOOKUP(D907,beans!$A$2:$A$300,beans!$L$2:$L$300,"")),IF(_xlpm.x=" /  - ","",_xlpm.x))</f>
        <v/>
      </c>
    </row>
    <row r="908" spans="1:35" x14ac:dyDescent="0.3">
      <c r="A908">
        <v>891</v>
      </c>
      <c r="E908" t="str">
        <f>_xlfn.LET(_xlpm.x,_xlfn.XLOOKUP(D908,beans!$A$2:$A$300,beans!$H$2:$H$300,""),IF(_xlpm.x="","",_xlpm.x))</f>
        <v/>
      </c>
      <c r="F908" s="22" t="str">
        <f>_xlfn.XLOOKUP(E908,menu!$A$2:$A$37,menu!$B$2:$B$37,"")</f>
        <v/>
      </c>
      <c r="G908" t="str">
        <f>_xlfn.XLOOKUP(E908,menu!$A$2:$A$37,menu!$C$2:$C$37,"")</f>
        <v/>
      </c>
      <c r="H908" t="str">
        <f>_xlfn.LET(_xlpm.x,_xlfn.XLOOKUP(_xlfn.XLOOKUP(D908,beans!$A$2:$A$300,beans!$I$2:$I$300),menu!$E$2:$E$20,menu!$F$2:$F$20),IF(_xlpm.x="","",_xlpm.x))</f>
        <v/>
      </c>
      <c r="T908" s="68" t="str">
        <f t="shared" si="104"/>
        <v/>
      </c>
      <c r="U908" t="str">
        <f t="shared" si="100"/>
        <v/>
      </c>
      <c r="V908">
        <f t="shared" si="105"/>
        <v>0</v>
      </c>
      <c r="W908" t="str">
        <f t="shared" si="101"/>
        <v/>
      </c>
      <c r="AB908" s="28" t="str">
        <f t="shared" si="102"/>
        <v xml:space="preserve"> </v>
      </c>
      <c r="AE908" s="61" t="str">
        <f t="shared" si="103"/>
        <v/>
      </c>
      <c r="AF908" s="77" t="str">
        <f>_xlfn.XLOOKUP(AD908,menu!$K$2:$K$9,menu!$J$2:$J$9,"",1)</f>
        <v/>
      </c>
      <c r="AG908" s="80" t="str">
        <f>_xlfn.XLOOKUP(AH908,menu!$O$2:$O$9,menu!$H$2:$H$9,"")</f>
        <v/>
      </c>
      <c r="AI908" t="str">
        <f>_xlfn.LET(_xlpm.x,_xlfn.CONCAT(_xlfn.XLOOKUP(D908,beans!$A$2:$A$300,beans!$J$2:$J$300,"")," / ",_xlfn.XLOOKUP(D908,beans!$A$2:$A$300,beans!$K$2:$K$300,"")," - ",_xlfn.XLOOKUP(D908,beans!$A$2:$A$300,beans!$L$2:$L$300,"")),IF(_xlpm.x=" /  - ","",_xlpm.x))</f>
        <v/>
      </c>
    </row>
    <row r="909" spans="1:35" x14ac:dyDescent="0.3">
      <c r="A909">
        <v>892</v>
      </c>
      <c r="E909" t="str">
        <f>_xlfn.LET(_xlpm.x,_xlfn.XLOOKUP(D909,beans!$A$2:$A$300,beans!$H$2:$H$300,""),IF(_xlpm.x="","",_xlpm.x))</f>
        <v/>
      </c>
      <c r="F909" s="22" t="str">
        <f>_xlfn.XLOOKUP(E909,menu!$A$2:$A$37,menu!$B$2:$B$37,"")</f>
        <v/>
      </c>
      <c r="G909" t="str">
        <f>_xlfn.XLOOKUP(E909,menu!$A$2:$A$37,menu!$C$2:$C$37,"")</f>
        <v/>
      </c>
      <c r="H909" t="str">
        <f>_xlfn.LET(_xlpm.x,_xlfn.XLOOKUP(_xlfn.XLOOKUP(D909,beans!$A$2:$A$300,beans!$I$2:$I$300),menu!$E$2:$E$20,menu!$F$2:$F$20),IF(_xlpm.x="","",_xlpm.x))</f>
        <v/>
      </c>
      <c r="T909" s="68" t="str">
        <f t="shared" si="104"/>
        <v/>
      </c>
      <c r="U909" t="str">
        <f t="shared" si="100"/>
        <v/>
      </c>
      <c r="V909">
        <f t="shared" si="105"/>
        <v>0</v>
      </c>
      <c r="W909" t="str">
        <f t="shared" si="101"/>
        <v/>
      </c>
      <c r="AB909" s="28" t="str">
        <f t="shared" si="102"/>
        <v xml:space="preserve"> </v>
      </c>
      <c r="AE909" s="61" t="str">
        <f t="shared" si="103"/>
        <v/>
      </c>
      <c r="AF909" s="77" t="str">
        <f>_xlfn.XLOOKUP(AD909,menu!$K$2:$K$9,menu!$J$2:$J$9,"",1)</f>
        <v/>
      </c>
      <c r="AG909" s="80" t="str">
        <f>_xlfn.XLOOKUP(AH909,menu!$O$2:$O$9,menu!$H$2:$H$9,"")</f>
        <v/>
      </c>
      <c r="AI909" t="str">
        <f>_xlfn.LET(_xlpm.x,_xlfn.CONCAT(_xlfn.XLOOKUP(D909,beans!$A$2:$A$300,beans!$J$2:$J$300,"")," / ",_xlfn.XLOOKUP(D909,beans!$A$2:$A$300,beans!$K$2:$K$300,"")," - ",_xlfn.XLOOKUP(D909,beans!$A$2:$A$300,beans!$L$2:$L$300,"")),IF(_xlpm.x=" /  - ","",_xlpm.x))</f>
        <v/>
      </c>
    </row>
    <row r="910" spans="1:35" x14ac:dyDescent="0.3">
      <c r="A910">
        <v>893</v>
      </c>
      <c r="E910" t="str">
        <f>_xlfn.LET(_xlpm.x,_xlfn.XLOOKUP(D910,beans!$A$2:$A$300,beans!$H$2:$H$300,""),IF(_xlpm.x="","",_xlpm.x))</f>
        <v/>
      </c>
      <c r="F910" s="22" t="str">
        <f>_xlfn.XLOOKUP(E910,menu!$A$2:$A$37,menu!$B$2:$B$37,"")</f>
        <v/>
      </c>
      <c r="G910" t="str">
        <f>_xlfn.XLOOKUP(E910,menu!$A$2:$A$37,menu!$C$2:$C$37,"")</f>
        <v/>
      </c>
      <c r="H910" t="str">
        <f>_xlfn.LET(_xlpm.x,_xlfn.XLOOKUP(_xlfn.XLOOKUP(D910,beans!$A$2:$A$300,beans!$I$2:$I$300),menu!$E$2:$E$20,menu!$F$2:$F$20),IF(_xlpm.x="","",_xlpm.x))</f>
        <v/>
      </c>
      <c r="T910" s="68" t="str">
        <f t="shared" si="104"/>
        <v/>
      </c>
      <c r="U910" t="str">
        <f t="shared" si="100"/>
        <v/>
      </c>
      <c r="V910">
        <f t="shared" si="105"/>
        <v>0</v>
      </c>
      <c r="W910" t="str">
        <f t="shared" si="101"/>
        <v/>
      </c>
      <c r="AB910" s="28" t="str">
        <f t="shared" si="102"/>
        <v xml:space="preserve"> </v>
      </c>
      <c r="AE910" s="61" t="str">
        <f t="shared" si="103"/>
        <v/>
      </c>
      <c r="AF910" s="77" t="str">
        <f>_xlfn.XLOOKUP(AD910,menu!$K$2:$K$9,menu!$J$2:$J$9,"",1)</f>
        <v/>
      </c>
      <c r="AG910" s="80" t="str">
        <f>_xlfn.XLOOKUP(AH910,menu!$O$2:$O$9,menu!$H$2:$H$9,"")</f>
        <v/>
      </c>
      <c r="AI910" t="str">
        <f>_xlfn.LET(_xlpm.x,_xlfn.CONCAT(_xlfn.XLOOKUP(D910,beans!$A$2:$A$300,beans!$J$2:$J$300,"")," / ",_xlfn.XLOOKUP(D910,beans!$A$2:$A$300,beans!$K$2:$K$300,"")," - ",_xlfn.XLOOKUP(D910,beans!$A$2:$A$300,beans!$L$2:$L$300,"")),IF(_xlpm.x=" /  - ","",_xlpm.x))</f>
        <v/>
      </c>
    </row>
    <row r="911" spans="1:35" x14ac:dyDescent="0.3">
      <c r="A911">
        <v>894</v>
      </c>
      <c r="E911" t="str">
        <f>_xlfn.LET(_xlpm.x,_xlfn.XLOOKUP(D911,beans!$A$2:$A$300,beans!$H$2:$H$300,""),IF(_xlpm.x="","",_xlpm.x))</f>
        <v/>
      </c>
      <c r="F911" s="22" t="str">
        <f>_xlfn.XLOOKUP(E911,menu!$A$2:$A$37,menu!$B$2:$B$37,"")</f>
        <v/>
      </c>
      <c r="G911" t="str">
        <f>_xlfn.XLOOKUP(E911,menu!$A$2:$A$37,menu!$C$2:$C$37,"")</f>
        <v/>
      </c>
      <c r="H911" t="str">
        <f>_xlfn.LET(_xlpm.x,_xlfn.XLOOKUP(_xlfn.XLOOKUP(D911,beans!$A$2:$A$300,beans!$I$2:$I$300),menu!$E$2:$E$20,menu!$F$2:$F$20),IF(_xlpm.x="","",_xlpm.x))</f>
        <v/>
      </c>
      <c r="T911" s="68" t="str">
        <f t="shared" si="104"/>
        <v/>
      </c>
      <c r="U911" t="str">
        <f t="shared" si="100"/>
        <v/>
      </c>
      <c r="V911">
        <f t="shared" si="105"/>
        <v>0</v>
      </c>
      <c r="W911" t="str">
        <f t="shared" si="101"/>
        <v/>
      </c>
      <c r="AB911" s="28" t="str">
        <f t="shared" si="102"/>
        <v xml:space="preserve"> </v>
      </c>
      <c r="AE911" s="61" t="str">
        <f t="shared" si="103"/>
        <v/>
      </c>
      <c r="AF911" s="77" t="str">
        <f>_xlfn.XLOOKUP(AD911,menu!$K$2:$K$9,menu!$J$2:$J$9,"",1)</f>
        <v/>
      </c>
      <c r="AG911" s="80" t="str">
        <f>_xlfn.XLOOKUP(AH911,menu!$O$2:$O$9,menu!$H$2:$H$9,"")</f>
        <v/>
      </c>
      <c r="AI911" t="str">
        <f>_xlfn.LET(_xlpm.x,_xlfn.CONCAT(_xlfn.XLOOKUP(D911,beans!$A$2:$A$300,beans!$J$2:$J$300,"")," / ",_xlfn.XLOOKUP(D911,beans!$A$2:$A$300,beans!$K$2:$K$300,"")," - ",_xlfn.XLOOKUP(D911,beans!$A$2:$A$300,beans!$L$2:$L$300,"")),IF(_xlpm.x=" /  - ","",_xlpm.x))</f>
        <v/>
      </c>
    </row>
    <row r="912" spans="1:35" x14ac:dyDescent="0.3">
      <c r="A912">
        <v>895</v>
      </c>
      <c r="E912" t="str">
        <f>_xlfn.LET(_xlpm.x,_xlfn.XLOOKUP(D912,beans!$A$2:$A$300,beans!$H$2:$H$300,""),IF(_xlpm.x="","",_xlpm.x))</f>
        <v/>
      </c>
      <c r="F912" s="22" t="str">
        <f>_xlfn.XLOOKUP(E912,menu!$A$2:$A$37,menu!$B$2:$B$37,"")</f>
        <v/>
      </c>
      <c r="G912" t="str">
        <f>_xlfn.XLOOKUP(E912,menu!$A$2:$A$37,menu!$C$2:$C$37,"")</f>
        <v/>
      </c>
      <c r="H912" t="str">
        <f>_xlfn.LET(_xlpm.x,_xlfn.XLOOKUP(_xlfn.XLOOKUP(D912,beans!$A$2:$A$300,beans!$I$2:$I$300),menu!$E$2:$E$20,menu!$F$2:$F$20),IF(_xlpm.x="","",_xlpm.x))</f>
        <v/>
      </c>
      <c r="T912" s="68" t="str">
        <f t="shared" si="104"/>
        <v/>
      </c>
      <c r="U912" t="str">
        <f t="shared" si="100"/>
        <v/>
      </c>
      <c r="V912">
        <f t="shared" si="105"/>
        <v>0</v>
      </c>
      <c r="W912" t="str">
        <f t="shared" si="101"/>
        <v/>
      </c>
      <c r="AB912" s="28" t="str">
        <f t="shared" si="102"/>
        <v xml:space="preserve"> </v>
      </c>
      <c r="AE912" s="61" t="str">
        <f t="shared" si="103"/>
        <v/>
      </c>
      <c r="AF912" s="77" t="str">
        <f>_xlfn.XLOOKUP(AD912,menu!$K$2:$K$9,menu!$J$2:$J$9,"",1)</f>
        <v/>
      </c>
      <c r="AG912" s="80" t="str">
        <f>_xlfn.XLOOKUP(AH912,menu!$O$2:$O$9,menu!$H$2:$H$9,"")</f>
        <v/>
      </c>
      <c r="AI912" t="str">
        <f>_xlfn.LET(_xlpm.x,_xlfn.CONCAT(_xlfn.XLOOKUP(D912,beans!$A$2:$A$300,beans!$J$2:$J$300,"")," / ",_xlfn.XLOOKUP(D912,beans!$A$2:$A$300,beans!$K$2:$K$300,"")," - ",_xlfn.XLOOKUP(D912,beans!$A$2:$A$300,beans!$L$2:$L$300,"")),IF(_xlpm.x=" /  - ","",_xlpm.x))</f>
        <v/>
      </c>
    </row>
    <row r="913" spans="1:35" x14ac:dyDescent="0.3">
      <c r="A913">
        <v>896</v>
      </c>
      <c r="E913" t="str">
        <f>_xlfn.LET(_xlpm.x,_xlfn.XLOOKUP(D913,beans!$A$2:$A$300,beans!$H$2:$H$300,""),IF(_xlpm.x="","",_xlpm.x))</f>
        <v/>
      </c>
      <c r="F913" s="22" t="str">
        <f>_xlfn.XLOOKUP(E913,menu!$A$2:$A$37,menu!$B$2:$B$37,"")</f>
        <v/>
      </c>
      <c r="G913" t="str">
        <f>_xlfn.XLOOKUP(E913,menu!$A$2:$A$37,menu!$C$2:$C$37,"")</f>
        <v/>
      </c>
      <c r="H913" t="str">
        <f>_xlfn.LET(_xlpm.x,_xlfn.XLOOKUP(_xlfn.XLOOKUP(D913,beans!$A$2:$A$300,beans!$I$2:$I$300),menu!$E$2:$E$20,menu!$F$2:$F$20),IF(_xlpm.x="","",_xlpm.x))</f>
        <v/>
      </c>
      <c r="T913" s="68" t="str">
        <f t="shared" si="104"/>
        <v/>
      </c>
      <c r="U913" t="str">
        <f t="shared" si="100"/>
        <v/>
      </c>
      <c r="V913">
        <f t="shared" si="105"/>
        <v>0</v>
      </c>
      <c r="W913" t="str">
        <f t="shared" si="101"/>
        <v/>
      </c>
      <c r="AB913" s="28" t="str">
        <f t="shared" si="102"/>
        <v xml:space="preserve"> </v>
      </c>
      <c r="AE913" s="61" t="str">
        <f t="shared" si="103"/>
        <v/>
      </c>
      <c r="AF913" s="77" t="str">
        <f>_xlfn.XLOOKUP(AD913,menu!$K$2:$K$9,menu!$J$2:$J$9,"",1)</f>
        <v/>
      </c>
      <c r="AG913" s="80" t="str">
        <f>_xlfn.XLOOKUP(AH913,menu!$O$2:$O$9,menu!$H$2:$H$9,"")</f>
        <v/>
      </c>
      <c r="AI913" t="str">
        <f>_xlfn.LET(_xlpm.x,_xlfn.CONCAT(_xlfn.XLOOKUP(D913,beans!$A$2:$A$300,beans!$J$2:$J$300,"")," / ",_xlfn.XLOOKUP(D913,beans!$A$2:$A$300,beans!$K$2:$K$300,"")," - ",_xlfn.XLOOKUP(D913,beans!$A$2:$A$300,beans!$L$2:$L$300,"")),IF(_xlpm.x=" /  - ","",_xlpm.x))</f>
        <v/>
      </c>
    </row>
    <row r="914" spans="1:35" x14ac:dyDescent="0.3">
      <c r="A914">
        <v>897</v>
      </c>
      <c r="E914" t="str">
        <f>_xlfn.LET(_xlpm.x,_xlfn.XLOOKUP(D914,beans!$A$2:$A$300,beans!$H$2:$H$300,""),IF(_xlpm.x="","",_xlpm.x))</f>
        <v/>
      </c>
      <c r="F914" s="22" t="str">
        <f>_xlfn.XLOOKUP(E914,menu!$A$2:$A$37,menu!$B$2:$B$37,"")</f>
        <v/>
      </c>
      <c r="G914" t="str">
        <f>_xlfn.XLOOKUP(E914,menu!$A$2:$A$37,menu!$C$2:$C$37,"")</f>
        <v/>
      </c>
      <c r="H914" t="str">
        <f>_xlfn.LET(_xlpm.x,_xlfn.XLOOKUP(_xlfn.XLOOKUP(D914,beans!$A$2:$A$300,beans!$I$2:$I$300),menu!$E$2:$E$20,menu!$F$2:$F$20),IF(_xlpm.x="","",_xlpm.x))</f>
        <v/>
      </c>
      <c r="T914" s="68" t="str">
        <f t="shared" si="104"/>
        <v/>
      </c>
      <c r="U914" t="str">
        <f t="shared" si="100"/>
        <v/>
      </c>
      <c r="V914">
        <f t="shared" si="105"/>
        <v>0</v>
      </c>
      <c r="W914" t="str">
        <f t="shared" si="101"/>
        <v/>
      </c>
      <c r="AB914" s="28" t="str">
        <f t="shared" si="102"/>
        <v xml:space="preserve"> </v>
      </c>
      <c r="AE914" s="61" t="str">
        <f t="shared" si="103"/>
        <v/>
      </c>
      <c r="AF914" s="77" t="str">
        <f>_xlfn.XLOOKUP(AD914,menu!$K$2:$K$9,menu!$J$2:$J$9,"",1)</f>
        <v/>
      </c>
      <c r="AG914" s="80" t="str">
        <f>_xlfn.XLOOKUP(AH914,menu!$O$2:$O$9,menu!$H$2:$H$9,"")</f>
        <v/>
      </c>
      <c r="AI914" t="str">
        <f>_xlfn.LET(_xlpm.x,_xlfn.CONCAT(_xlfn.XLOOKUP(D914,beans!$A$2:$A$300,beans!$J$2:$J$300,"")," / ",_xlfn.XLOOKUP(D914,beans!$A$2:$A$300,beans!$K$2:$K$300,"")," - ",_xlfn.XLOOKUP(D914,beans!$A$2:$A$300,beans!$L$2:$L$300,"")),IF(_xlpm.x=" /  - ","",_xlpm.x))</f>
        <v/>
      </c>
    </row>
    <row r="915" spans="1:35" x14ac:dyDescent="0.3">
      <c r="A915">
        <v>898</v>
      </c>
      <c r="E915" t="str">
        <f>_xlfn.LET(_xlpm.x,_xlfn.XLOOKUP(D915,beans!$A$2:$A$300,beans!$H$2:$H$300,""),IF(_xlpm.x="","",_xlpm.x))</f>
        <v/>
      </c>
      <c r="F915" s="22" t="str">
        <f>_xlfn.XLOOKUP(E915,menu!$A$2:$A$37,menu!$B$2:$B$37,"")</f>
        <v/>
      </c>
      <c r="G915" t="str">
        <f>_xlfn.XLOOKUP(E915,menu!$A$2:$A$37,menu!$C$2:$C$37,"")</f>
        <v/>
      </c>
      <c r="H915" t="str">
        <f>_xlfn.LET(_xlpm.x,_xlfn.XLOOKUP(_xlfn.XLOOKUP(D915,beans!$A$2:$A$300,beans!$I$2:$I$300),menu!$E$2:$E$20,menu!$F$2:$F$20),IF(_xlpm.x="","",_xlpm.x))</f>
        <v/>
      </c>
      <c r="T915" s="68" t="str">
        <f t="shared" si="104"/>
        <v/>
      </c>
      <c r="U915" t="str">
        <f t="shared" si="100"/>
        <v/>
      </c>
      <c r="V915">
        <f t="shared" si="105"/>
        <v>0</v>
      </c>
      <c r="W915" t="str">
        <f t="shared" si="101"/>
        <v/>
      </c>
      <c r="AB915" s="28" t="str">
        <f t="shared" si="102"/>
        <v xml:space="preserve"> </v>
      </c>
      <c r="AE915" s="61" t="str">
        <f t="shared" si="103"/>
        <v/>
      </c>
      <c r="AF915" s="77" t="str">
        <f>_xlfn.XLOOKUP(AD915,menu!$K$2:$K$9,menu!$J$2:$J$9,"",1)</f>
        <v/>
      </c>
      <c r="AG915" s="80" t="str">
        <f>_xlfn.XLOOKUP(AH915,menu!$O$2:$O$9,menu!$H$2:$H$9,"")</f>
        <v/>
      </c>
      <c r="AI915" t="str">
        <f>_xlfn.LET(_xlpm.x,_xlfn.CONCAT(_xlfn.XLOOKUP(D915,beans!$A$2:$A$300,beans!$J$2:$J$300,"")," / ",_xlfn.XLOOKUP(D915,beans!$A$2:$A$300,beans!$K$2:$K$300,"")," - ",_xlfn.XLOOKUP(D915,beans!$A$2:$A$300,beans!$L$2:$L$300,"")),IF(_xlpm.x=" /  - ","",_xlpm.x))</f>
        <v/>
      </c>
    </row>
    <row r="916" spans="1:35" x14ac:dyDescent="0.3">
      <c r="A916">
        <v>899</v>
      </c>
      <c r="E916" t="str">
        <f>_xlfn.LET(_xlpm.x,_xlfn.XLOOKUP(D916,beans!$A$2:$A$300,beans!$H$2:$H$300,""),IF(_xlpm.x="","",_xlpm.x))</f>
        <v/>
      </c>
      <c r="F916" s="22" t="str">
        <f>_xlfn.XLOOKUP(E916,menu!$A$2:$A$37,menu!$B$2:$B$37,"")</f>
        <v/>
      </c>
      <c r="G916" t="str">
        <f>_xlfn.XLOOKUP(E916,menu!$A$2:$A$37,menu!$C$2:$C$37,"")</f>
        <v/>
      </c>
      <c r="H916" t="str">
        <f>_xlfn.LET(_xlpm.x,_xlfn.XLOOKUP(_xlfn.XLOOKUP(D916,beans!$A$2:$A$300,beans!$I$2:$I$300),menu!$E$2:$E$20,menu!$F$2:$F$20),IF(_xlpm.x="","",_xlpm.x))</f>
        <v/>
      </c>
      <c r="T916" s="68" t="str">
        <f t="shared" si="104"/>
        <v/>
      </c>
      <c r="U916" t="str">
        <f t="shared" si="100"/>
        <v/>
      </c>
      <c r="V916">
        <f t="shared" si="105"/>
        <v>0</v>
      </c>
      <c r="W916" t="str">
        <f t="shared" si="101"/>
        <v/>
      </c>
      <c r="AB916" s="28" t="str">
        <f t="shared" si="102"/>
        <v xml:space="preserve"> </v>
      </c>
      <c r="AE916" s="61" t="str">
        <f t="shared" si="103"/>
        <v/>
      </c>
      <c r="AF916" s="77" t="str">
        <f>_xlfn.XLOOKUP(AD916,menu!$K$2:$K$9,menu!$J$2:$J$9,"",1)</f>
        <v/>
      </c>
      <c r="AG916" s="80" t="str">
        <f>_xlfn.XLOOKUP(AH916,menu!$O$2:$O$9,menu!$H$2:$H$9,"")</f>
        <v/>
      </c>
      <c r="AI916" t="str">
        <f>_xlfn.LET(_xlpm.x,_xlfn.CONCAT(_xlfn.XLOOKUP(D916,beans!$A$2:$A$300,beans!$J$2:$J$300,"")," / ",_xlfn.XLOOKUP(D916,beans!$A$2:$A$300,beans!$K$2:$K$300,"")," - ",_xlfn.XLOOKUP(D916,beans!$A$2:$A$300,beans!$L$2:$L$300,"")),IF(_xlpm.x=" /  - ","",_xlpm.x))</f>
        <v/>
      </c>
    </row>
    <row r="917" spans="1:35" x14ac:dyDescent="0.3">
      <c r="A917">
        <v>900</v>
      </c>
      <c r="E917" t="str">
        <f>_xlfn.LET(_xlpm.x,_xlfn.XLOOKUP(D917,beans!$A$2:$A$300,beans!$H$2:$H$300,""),IF(_xlpm.x="","",_xlpm.x))</f>
        <v/>
      </c>
      <c r="F917" s="22" t="str">
        <f>_xlfn.XLOOKUP(E917,menu!$A$2:$A$37,menu!$B$2:$B$37,"")</f>
        <v/>
      </c>
      <c r="G917" t="str">
        <f>_xlfn.XLOOKUP(E917,menu!$A$2:$A$37,menu!$C$2:$C$37,"")</f>
        <v/>
      </c>
      <c r="H917" t="str">
        <f>_xlfn.LET(_xlpm.x,_xlfn.XLOOKUP(_xlfn.XLOOKUP(D917,beans!$A$2:$A$300,beans!$I$2:$I$300),menu!$E$2:$E$20,menu!$F$2:$F$20),IF(_xlpm.x="","",_xlpm.x))</f>
        <v/>
      </c>
      <c r="T917" s="68" t="str">
        <f t="shared" si="104"/>
        <v/>
      </c>
      <c r="U917" t="str">
        <f t="shared" si="100"/>
        <v/>
      </c>
      <c r="V917">
        <f t="shared" si="105"/>
        <v>0</v>
      </c>
      <c r="W917" t="str">
        <f t="shared" si="101"/>
        <v/>
      </c>
      <c r="AB917" s="28" t="str">
        <f t="shared" si="102"/>
        <v xml:space="preserve"> </v>
      </c>
      <c r="AE917" s="61" t="str">
        <f t="shared" si="103"/>
        <v/>
      </c>
      <c r="AF917" s="77" t="str">
        <f>_xlfn.XLOOKUP(AD917,menu!$K$2:$K$9,menu!$J$2:$J$9,"",1)</f>
        <v/>
      </c>
      <c r="AG917" s="80" t="str">
        <f>_xlfn.XLOOKUP(AH917,menu!$O$2:$O$9,menu!$H$2:$H$9,"")</f>
        <v/>
      </c>
      <c r="AI917" t="str">
        <f>_xlfn.LET(_xlpm.x,_xlfn.CONCAT(_xlfn.XLOOKUP(D917,beans!$A$2:$A$300,beans!$J$2:$J$300,"")," / ",_xlfn.XLOOKUP(D917,beans!$A$2:$A$300,beans!$K$2:$K$300,"")," - ",_xlfn.XLOOKUP(D917,beans!$A$2:$A$300,beans!$L$2:$L$300,"")),IF(_xlpm.x=" /  - ","",_xlpm.x))</f>
        <v/>
      </c>
    </row>
    <row r="918" spans="1:35" x14ac:dyDescent="0.3">
      <c r="A918">
        <v>901</v>
      </c>
      <c r="E918" t="str">
        <f>_xlfn.LET(_xlpm.x,_xlfn.XLOOKUP(D918,beans!$A$2:$A$300,beans!$H$2:$H$300,""),IF(_xlpm.x="","",_xlpm.x))</f>
        <v/>
      </c>
      <c r="F918" s="22" t="str">
        <f>_xlfn.XLOOKUP(E918,menu!$A$2:$A$37,menu!$B$2:$B$37,"")</f>
        <v/>
      </c>
      <c r="G918" t="str">
        <f>_xlfn.XLOOKUP(E918,menu!$A$2:$A$37,menu!$C$2:$C$37,"")</f>
        <v/>
      </c>
      <c r="H918" t="str">
        <f>_xlfn.LET(_xlpm.x,_xlfn.XLOOKUP(_xlfn.XLOOKUP(D918,beans!$A$2:$A$300,beans!$I$2:$I$300),menu!$E$2:$E$20,menu!$F$2:$F$20),IF(_xlpm.x="","",_xlpm.x))</f>
        <v/>
      </c>
      <c r="T918" s="68" t="str">
        <f t="shared" si="104"/>
        <v/>
      </c>
      <c r="U918" t="str">
        <f t="shared" si="100"/>
        <v/>
      </c>
      <c r="V918">
        <f t="shared" si="105"/>
        <v>0</v>
      </c>
      <c r="W918" t="str">
        <f t="shared" si="101"/>
        <v/>
      </c>
      <c r="AB918" s="28" t="str">
        <f t="shared" si="102"/>
        <v xml:space="preserve"> </v>
      </c>
      <c r="AE918" s="61" t="str">
        <f t="shared" si="103"/>
        <v/>
      </c>
      <c r="AF918" s="77" t="str">
        <f>_xlfn.XLOOKUP(AD918,menu!$K$2:$K$9,menu!$J$2:$J$9,"",1)</f>
        <v/>
      </c>
      <c r="AG918" s="80" t="str">
        <f>_xlfn.XLOOKUP(AH918,menu!$O$2:$O$9,menu!$H$2:$H$9,"")</f>
        <v/>
      </c>
      <c r="AI918" t="str">
        <f>_xlfn.LET(_xlpm.x,_xlfn.CONCAT(_xlfn.XLOOKUP(D918,beans!$A$2:$A$300,beans!$J$2:$J$300,"")," / ",_xlfn.XLOOKUP(D918,beans!$A$2:$A$300,beans!$K$2:$K$300,"")," - ",_xlfn.XLOOKUP(D918,beans!$A$2:$A$300,beans!$L$2:$L$300,"")),IF(_xlpm.x=" /  - ","",_xlpm.x))</f>
        <v/>
      </c>
    </row>
    <row r="919" spans="1:35" x14ac:dyDescent="0.3">
      <c r="A919">
        <v>902</v>
      </c>
      <c r="E919" t="str">
        <f>_xlfn.LET(_xlpm.x,_xlfn.XLOOKUP(D919,beans!$A$2:$A$300,beans!$H$2:$H$300,""),IF(_xlpm.x="","",_xlpm.x))</f>
        <v/>
      </c>
      <c r="F919" s="22" t="str">
        <f>_xlfn.XLOOKUP(E919,menu!$A$2:$A$37,menu!$B$2:$B$37,"")</f>
        <v/>
      </c>
      <c r="G919" t="str">
        <f>_xlfn.XLOOKUP(E919,menu!$A$2:$A$37,menu!$C$2:$C$37,"")</f>
        <v/>
      </c>
      <c r="H919" t="str">
        <f>_xlfn.LET(_xlpm.x,_xlfn.XLOOKUP(_xlfn.XLOOKUP(D919,beans!$A$2:$A$300,beans!$I$2:$I$300),menu!$E$2:$E$20,menu!$F$2:$F$20),IF(_xlpm.x="","",_xlpm.x))</f>
        <v/>
      </c>
      <c r="T919" s="68" t="str">
        <f t="shared" si="104"/>
        <v/>
      </c>
      <c r="U919" t="str">
        <f t="shared" si="100"/>
        <v/>
      </c>
      <c r="V919">
        <f t="shared" si="105"/>
        <v>0</v>
      </c>
      <c r="W919" t="str">
        <f t="shared" si="101"/>
        <v/>
      </c>
      <c r="AB919" s="28" t="str">
        <f t="shared" si="102"/>
        <v xml:space="preserve"> </v>
      </c>
      <c r="AE919" s="61" t="str">
        <f t="shared" si="103"/>
        <v/>
      </c>
      <c r="AF919" s="77" t="str">
        <f>_xlfn.XLOOKUP(AD919,menu!$K$2:$K$9,menu!$J$2:$J$9,"",1)</f>
        <v/>
      </c>
      <c r="AG919" s="80" t="str">
        <f>_xlfn.XLOOKUP(AH919,menu!$O$2:$O$9,menu!$H$2:$H$9,"")</f>
        <v/>
      </c>
      <c r="AI919" t="str">
        <f>_xlfn.LET(_xlpm.x,_xlfn.CONCAT(_xlfn.XLOOKUP(D919,beans!$A$2:$A$300,beans!$J$2:$J$300,"")," / ",_xlfn.XLOOKUP(D919,beans!$A$2:$A$300,beans!$K$2:$K$300,"")," - ",_xlfn.XLOOKUP(D919,beans!$A$2:$A$300,beans!$L$2:$L$300,"")),IF(_xlpm.x=" /  - ","",_xlpm.x))</f>
        <v/>
      </c>
    </row>
    <row r="920" spans="1:35" x14ac:dyDescent="0.3">
      <c r="A920">
        <v>903</v>
      </c>
      <c r="E920" t="str">
        <f>_xlfn.LET(_xlpm.x,_xlfn.XLOOKUP(D920,beans!$A$2:$A$300,beans!$H$2:$H$300,""),IF(_xlpm.x="","",_xlpm.x))</f>
        <v/>
      </c>
      <c r="F920" s="22" t="str">
        <f>_xlfn.XLOOKUP(E920,menu!$A$2:$A$37,menu!$B$2:$B$37,"")</f>
        <v/>
      </c>
      <c r="G920" t="str">
        <f>_xlfn.XLOOKUP(E920,menu!$A$2:$A$37,menu!$C$2:$C$37,"")</f>
        <v/>
      </c>
      <c r="H920" t="str">
        <f>_xlfn.LET(_xlpm.x,_xlfn.XLOOKUP(_xlfn.XLOOKUP(D920,beans!$A$2:$A$300,beans!$I$2:$I$300),menu!$E$2:$E$20,menu!$F$2:$F$20),IF(_xlpm.x="","",_xlpm.x))</f>
        <v/>
      </c>
      <c r="T920" s="68" t="str">
        <f t="shared" si="104"/>
        <v/>
      </c>
      <c r="U920" t="str">
        <f t="shared" si="100"/>
        <v/>
      </c>
      <c r="V920">
        <f t="shared" si="105"/>
        <v>0</v>
      </c>
      <c r="W920" t="str">
        <f t="shared" si="101"/>
        <v/>
      </c>
      <c r="AB920" s="28" t="str">
        <f t="shared" si="102"/>
        <v xml:space="preserve"> </v>
      </c>
      <c r="AE920" s="61" t="str">
        <f t="shared" si="103"/>
        <v/>
      </c>
      <c r="AF920" s="77" t="str">
        <f>_xlfn.XLOOKUP(AD920,menu!$K$2:$K$9,menu!$J$2:$J$9,"",1)</f>
        <v/>
      </c>
      <c r="AG920" s="80" t="str">
        <f>_xlfn.XLOOKUP(AH920,menu!$O$2:$O$9,menu!$H$2:$H$9,"")</f>
        <v/>
      </c>
      <c r="AI920" t="str">
        <f>_xlfn.LET(_xlpm.x,_xlfn.CONCAT(_xlfn.XLOOKUP(D920,beans!$A$2:$A$300,beans!$J$2:$J$300,"")," / ",_xlfn.XLOOKUP(D920,beans!$A$2:$A$300,beans!$K$2:$K$300,"")," - ",_xlfn.XLOOKUP(D920,beans!$A$2:$A$300,beans!$L$2:$L$300,"")),IF(_xlpm.x=" /  - ","",_xlpm.x))</f>
        <v/>
      </c>
    </row>
    <row r="921" spans="1:35" x14ac:dyDescent="0.3">
      <c r="A921">
        <v>904</v>
      </c>
      <c r="E921" t="str">
        <f>_xlfn.LET(_xlpm.x,_xlfn.XLOOKUP(D921,beans!$A$2:$A$300,beans!$H$2:$H$300,""),IF(_xlpm.x="","",_xlpm.x))</f>
        <v/>
      </c>
      <c r="F921" s="22" t="str">
        <f>_xlfn.XLOOKUP(E921,menu!$A$2:$A$37,menu!$B$2:$B$37,"")</f>
        <v/>
      </c>
      <c r="G921" t="str">
        <f>_xlfn.XLOOKUP(E921,menu!$A$2:$A$37,menu!$C$2:$C$37,"")</f>
        <v/>
      </c>
      <c r="H921" t="str">
        <f>_xlfn.LET(_xlpm.x,_xlfn.XLOOKUP(_xlfn.XLOOKUP(D921,beans!$A$2:$A$300,beans!$I$2:$I$300),menu!$E$2:$E$20,menu!$F$2:$F$20),IF(_xlpm.x="","",_xlpm.x))</f>
        <v/>
      </c>
      <c r="T921" s="68" t="str">
        <f t="shared" si="104"/>
        <v/>
      </c>
      <c r="U921" t="str">
        <f t="shared" si="100"/>
        <v/>
      </c>
      <c r="V921">
        <f t="shared" si="105"/>
        <v>0</v>
      </c>
      <c r="W921" t="str">
        <f t="shared" si="101"/>
        <v/>
      </c>
      <c r="AB921" s="28" t="str">
        <f t="shared" si="102"/>
        <v xml:space="preserve"> </v>
      </c>
      <c r="AE921" s="61" t="str">
        <f t="shared" si="103"/>
        <v/>
      </c>
      <c r="AF921" s="77" t="str">
        <f>_xlfn.XLOOKUP(AD921,menu!$K$2:$K$9,menu!$J$2:$J$9,"",1)</f>
        <v/>
      </c>
      <c r="AG921" s="80" t="str">
        <f>_xlfn.XLOOKUP(AH921,menu!$O$2:$O$9,menu!$H$2:$H$9,"")</f>
        <v/>
      </c>
      <c r="AI921" t="str">
        <f>_xlfn.LET(_xlpm.x,_xlfn.CONCAT(_xlfn.XLOOKUP(D921,beans!$A$2:$A$300,beans!$J$2:$J$300,"")," / ",_xlfn.XLOOKUP(D921,beans!$A$2:$A$300,beans!$K$2:$K$300,"")," - ",_xlfn.XLOOKUP(D921,beans!$A$2:$A$300,beans!$L$2:$L$300,"")),IF(_xlpm.x=" /  - ","",_xlpm.x))</f>
        <v/>
      </c>
    </row>
    <row r="922" spans="1:35" x14ac:dyDescent="0.3">
      <c r="A922">
        <v>905</v>
      </c>
      <c r="E922" t="str">
        <f>_xlfn.LET(_xlpm.x,_xlfn.XLOOKUP(D922,beans!$A$2:$A$300,beans!$H$2:$H$300,""),IF(_xlpm.x="","",_xlpm.x))</f>
        <v/>
      </c>
      <c r="F922" s="22" t="str">
        <f>_xlfn.XLOOKUP(E922,menu!$A$2:$A$37,menu!$B$2:$B$37,"")</f>
        <v/>
      </c>
      <c r="G922" t="str">
        <f>_xlfn.XLOOKUP(E922,menu!$A$2:$A$37,menu!$C$2:$C$37,"")</f>
        <v/>
      </c>
      <c r="H922" t="str">
        <f>_xlfn.LET(_xlpm.x,_xlfn.XLOOKUP(_xlfn.XLOOKUP(D922,beans!$A$2:$A$300,beans!$I$2:$I$300),menu!$E$2:$E$20,menu!$F$2:$F$20),IF(_xlpm.x="","",_xlpm.x))</f>
        <v/>
      </c>
      <c r="T922" s="68" t="str">
        <f t="shared" si="104"/>
        <v/>
      </c>
      <c r="U922" t="str">
        <f t="shared" si="100"/>
        <v/>
      </c>
      <c r="V922">
        <f t="shared" si="105"/>
        <v>0</v>
      </c>
      <c r="W922" t="str">
        <f t="shared" si="101"/>
        <v/>
      </c>
      <c r="AB922" s="28" t="str">
        <f t="shared" si="102"/>
        <v xml:space="preserve"> </v>
      </c>
      <c r="AE922" s="61" t="str">
        <f t="shared" si="103"/>
        <v/>
      </c>
      <c r="AF922" s="77" t="str">
        <f>_xlfn.XLOOKUP(AD922,menu!$K$2:$K$9,menu!$J$2:$J$9,"",1)</f>
        <v/>
      </c>
      <c r="AG922" s="80" t="str">
        <f>_xlfn.XLOOKUP(AH922,menu!$O$2:$O$9,menu!$H$2:$H$9,"")</f>
        <v/>
      </c>
      <c r="AI922" t="str">
        <f>_xlfn.LET(_xlpm.x,_xlfn.CONCAT(_xlfn.XLOOKUP(D922,beans!$A$2:$A$300,beans!$J$2:$J$300,"")," / ",_xlfn.XLOOKUP(D922,beans!$A$2:$A$300,beans!$K$2:$K$300,"")," - ",_xlfn.XLOOKUP(D922,beans!$A$2:$A$300,beans!$L$2:$L$300,"")),IF(_xlpm.x=" /  - ","",_xlpm.x))</f>
        <v/>
      </c>
    </row>
    <row r="923" spans="1:35" x14ac:dyDescent="0.3">
      <c r="A923">
        <v>906</v>
      </c>
      <c r="E923" t="str">
        <f>_xlfn.LET(_xlpm.x,_xlfn.XLOOKUP(D923,beans!$A$2:$A$300,beans!$H$2:$H$300,""),IF(_xlpm.x="","",_xlpm.x))</f>
        <v/>
      </c>
      <c r="F923" s="22" t="str">
        <f>_xlfn.XLOOKUP(E923,menu!$A$2:$A$37,menu!$B$2:$B$37,"")</f>
        <v/>
      </c>
      <c r="G923" t="str">
        <f>_xlfn.XLOOKUP(E923,menu!$A$2:$A$37,menu!$C$2:$C$37,"")</f>
        <v/>
      </c>
      <c r="H923" t="str">
        <f>_xlfn.LET(_xlpm.x,_xlfn.XLOOKUP(_xlfn.XLOOKUP(D923,beans!$A$2:$A$300,beans!$I$2:$I$300),menu!$E$2:$E$20,menu!$F$2:$F$20),IF(_xlpm.x="","",_xlpm.x))</f>
        <v/>
      </c>
      <c r="T923" s="68" t="str">
        <f t="shared" si="104"/>
        <v/>
      </c>
      <c r="U923" t="str">
        <f t="shared" si="100"/>
        <v/>
      </c>
      <c r="V923">
        <f t="shared" si="105"/>
        <v>0</v>
      </c>
      <c r="W923" t="str">
        <f t="shared" si="101"/>
        <v/>
      </c>
      <c r="AB923" s="28" t="str">
        <f t="shared" si="102"/>
        <v xml:space="preserve"> </v>
      </c>
      <c r="AE923" s="61" t="str">
        <f t="shared" si="103"/>
        <v/>
      </c>
      <c r="AF923" s="77" t="str">
        <f>_xlfn.XLOOKUP(AD923,menu!$K$2:$K$9,menu!$J$2:$J$9,"",1)</f>
        <v/>
      </c>
      <c r="AG923" s="80" t="str">
        <f>_xlfn.XLOOKUP(AH923,menu!$O$2:$O$9,menu!$H$2:$H$9,"")</f>
        <v/>
      </c>
      <c r="AI923" t="str">
        <f>_xlfn.LET(_xlpm.x,_xlfn.CONCAT(_xlfn.XLOOKUP(D923,beans!$A$2:$A$300,beans!$J$2:$J$300,"")," / ",_xlfn.XLOOKUP(D923,beans!$A$2:$A$300,beans!$K$2:$K$300,"")," - ",_xlfn.XLOOKUP(D923,beans!$A$2:$A$300,beans!$L$2:$L$300,"")),IF(_xlpm.x=" /  - ","",_xlpm.x))</f>
        <v/>
      </c>
    </row>
    <row r="924" spans="1:35" x14ac:dyDescent="0.3">
      <c r="A924">
        <v>907</v>
      </c>
      <c r="E924" t="str">
        <f>_xlfn.LET(_xlpm.x,_xlfn.XLOOKUP(D924,beans!$A$2:$A$300,beans!$H$2:$H$300,""),IF(_xlpm.x="","",_xlpm.x))</f>
        <v/>
      </c>
      <c r="F924" s="22" t="str">
        <f>_xlfn.XLOOKUP(E924,menu!$A$2:$A$37,menu!$B$2:$B$37,"")</f>
        <v/>
      </c>
      <c r="G924" t="str">
        <f>_xlfn.XLOOKUP(E924,menu!$A$2:$A$37,menu!$C$2:$C$37,"")</f>
        <v/>
      </c>
      <c r="H924" t="str">
        <f>_xlfn.LET(_xlpm.x,_xlfn.XLOOKUP(_xlfn.XLOOKUP(D924,beans!$A$2:$A$300,beans!$I$2:$I$300),menu!$E$2:$E$20,menu!$F$2:$F$20),IF(_xlpm.x="","",_xlpm.x))</f>
        <v/>
      </c>
      <c r="T924" s="68" t="str">
        <f t="shared" si="104"/>
        <v/>
      </c>
      <c r="U924" t="str">
        <f t="shared" si="100"/>
        <v/>
      </c>
      <c r="V924">
        <f t="shared" si="105"/>
        <v>0</v>
      </c>
      <c r="W924" t="str">
        <f t="shared" si="101"/>
        <v/>
      </c>
      <c r="AB924" s="28" t="str">
        <f t="shared" si="102"/>
        <v xml:space="preserve"> </v>
      </c>
      <c r="AE924" s="61" t="str">
        <f t="shared" si="103"/>
        <v/>
      </c>
      <c r="AF924" s="77" t="str">
        <f>_xlfn.XLOOKUP(AD924,menu!$K$2:$K$9,menu!$J$2:$J$9,"",1)</f>
        <v/>
      </c>
      <c r="AG924" s="80" t="str">
        <f>_xlfn.XLOOKUP(AH924,menu!$O$2:$O$9,menu!$H$2:$H$9,"")</f>
        <v/>
      </c>
      <c r="AI924" t="str">
        <f>_xlfn.LET(_xlpm.x,_xlfn.CONCAT(_xlfn.XLOOKUP(D924,beans!$A$2:$A$300,beans!$J$2:$J$300,"")," / ",_xlfn.XLOOKUP(D924,beans!$A$2:$A$300,beans!$K$2:$K$300,"")," - ",_xlfn.XLOOKUP(D924,beans!$A$2:$A$300,beans!$L$2:$L$300,"")),IF(_xlpm.x=" /  - ","",_xlpm.x))</f>
        <v/>
      </c>
    </row>
    <row r="925" spans="1:35" x14ac:dyDescent="0.3">
      <c r="A925">
        <v>908</v>
      </c>
      <c r="E925" t="str">
        <f>_xlfn.LET(_xlpm.x,_xlfn.XLOOKUP(D925,beans!$A$2:$A$300,beans!$H$2:$H$300,""),IF(_xlpm.x="","",_xlpm.x))</f>
        <v/>
      </c>
      <c r="F925" s="22" t="str">
        <f>_xlfn.XLOOKUP(E925,menu!$A$2:$A$37,menu!$B$2:$B$37,"")</f>
        <v/>
      </c>
      <c r="G925" t="str">
        <f>_xlfn.XLOOKUP(E925,menu!$A$2:$A$37,menu!$C$2:$C$37,"")</f>
        <v/>
      </c>
      <c r="H925" t="str">
        <f>_xlfn.LET(_xlpm.x,_xlfn.XLOOKUP(_xlfn.XLOOKUP(D925,beans!$A$2:$A$300,beans!$I$2:$I$300),menu!$E$2:$E$20,menu!$F$2:$F$20),IF(_xlpm.x="","",_xlpm.x))</f>
        <v/>
      </c>
      <c r="T925" s="68" t="str">
        <f t="shared" si="104"/>
        <v/>
      </c>
      <c r="U925" t="str">
        <f t="shared" si="100"/>
        <v/>
      </c>
      <c r="V925">
        <f t="shared" si="105"/>
        <v>0</v>
      </c>
      <c r="W925" t="str">
        <f t="shared" si="101"/>
        <v/>
      </c>
      <c r="AB925" s="28" t="str">
        <f t="shared" si="102"/>
        <v xml:space="preserve"> </v>
      </c>
      <c r="AE925" s="61" t="str">
        <f t="shared" si="103"/>
        <v/>
      </c>
      <c r="AF925" s="77" t="str">
        <f>_xlfn.XLOOKUP(AD925,menu!$K$2:$K$9,menu!$J$2:$J$9,"",1)</f>
        <v/>
      </c>
      <c r="AG925" s="80" t="str">
        <f>_xlfn.XLOOKUP(AH925,menu!$O$2:$O$9,menu!$H$2:$H$9,"")</f>
        <v/>
      </c>
      <c r="AI925" t="str">
        <f>_xlfn.LET(_xlpm.x,_xlfn.CONCAT(_xlfn.XLOOKUP(D925,beans!$A$2:$A$300,beans!$J$2:$J$300,"")," / ",_xlfn.XLOOKUP(D925,beans!$A$2:$A$300,beans!$K$2:$K$300,"")," - ",_xlfn.XLOOKUP(D925,beans!$A$2:$A$300,beans!$L$2:$L$300,"")),IF(_xlpm.x=" /  - ","",_xlpm.x))</f>
        <v/>
      </c>
    </row>
    <row r="926" spans="1:35" x14ac:dyDescent="0.3">
      <c r="A926">
        <v>909</v>
      </c>
      <c r="E926" t="str">
        <f>_xlfn.LET(_xlpm.x,_xlfn.XLOOKUP(D926,beans!$A$2:$A$300,beans!$H$2:$H$300,""),IF(_xlpm.x="","",_xlpm.x))</f>
        <v/>
      </c>
      <c r="F926" s="22" t="str">
        <f>_xlfn.XLOOKUP(E926,menu!$A$2:$A$37,menu!$B$2:$B$37,"")</f>
        <v/>
      </c>
      <c r="G926" t="str">
        <f>_xlfn.XLOOKUP(E926,menu!$A$2:$A$37,menu!$C$2:$C$37,"")</f>
        <v/>
      </c>
      <c r="H926" t="str">
        <f>_xlfn.LET(_xlpm.x,_xlfn.XLOOKUP(_xlfn.XLOOKUP(D926,beans!$A$2:$A$300,beans!$I$2:$I$300),menu!$E$2:$E$20,menu!$F$2:$F$20),IF(_xlpm.x="","",_xlpm.x))</f>
        <v/>
      </c>
      <c r="T926" s="68" t="str">
        <f t="shared" si="104"/>
        <v/>
      </c>
      <c r="U926" t="str">
        <f t="shared" si="100"/>
        <v/>
      </c>
      <c r="V926">
        <f t="shared" si="105"/>
        <v>0</v>
      </c>
      <c r="W926" t="str">
        <f t="shared" si="101"/>
        <v/>
      </c>
      <c r="AB926" s="28" t="str">
        <f t="shared" si="102"/>
        <v xml:space="preserve"> </v>
      </c>
      <c r="AE926" s="61" t="str">
        <f t="shared" si="103"/>
        <v/>
      </c>
      <c r="AF926" s="77" t="str">
        <f>_xlfn.XLOOKUP(AD926,menu!$K$2:$K$9,menu!$J$2:$J$9,"",1)</f>
        <v/>
      </c>
      <c r="AG926" s="80" t="str">
        <f>_xlfn.XLOOKUP(AH926,menu!$O$2:$O$9,menu!$H$2:$H$9,"")</f>
        <v/>
      </c>
      <c r="AI926" t="str">
        <f>_xlfn.LET(_xlpm.x,_xlfn.CONCAT(_xlfn.XLOOKUP(D926,beans!$A$2:$A$300,beans!$J$2:$J$300,"")," / ",_xlfn.XLOOKUP(D926,beans!$A$2:$A$300,beans!$K$2:$K$300,"")," - ",_xlfn.XLOOKUP(D926,beans!$A$2:$A$300,beans!$L$2:$L$300,"")),IF(_xlpm.x=" /  - ","",_xlpm.x))</f>
        <v/>
      </c>
    </row>
    <row r="927" spans="1:35" x14ac:dyDescent="0.3">
      <c r="A927">
        <v>910</v>
      </c>
      <c r="E927" t="str">
        <f>_xlfn.LET(_xlpm.x,_xlfn.XLOOKUP(D927,beans!$A$2:$A$300,beans!$H$2:$H$300,""),IF(_xlpm.x="","",_xlpm.x))</f>
        <v/>
      </c>
      <c r="F927" s="22" t="str">
        <f>_xlfn.XLOOKUP(E927,menu!$A$2:$A$37,menu!$B$2:$B$37,"")</f>
        <v/>
      </c>
      <c r="G927" t="str">
        <f>_xlfn.XLOOKUP(E927,menu!$A$2:$A$37,menu!$C$2:$C$37,"")</f>
        <v/>
      </c>
      <c r="H927" t="str">
        <f>_xlfn.LET(_xlpm.x,_xlfn.XLOOKUP(_xlfn.XLOOKUP(D927,beans!$A$2:$A$300,beans!$I$2:$I$300),menu!$E$2:$E$20,menu!$F$2:$F$20),IF(_xlpm.x="","",_xlpm.x))</f>
        <v/>
      </c>
      <c r="T927" s="68" t="str">
        <f t="shared" si="104"/>
        <v/>
      </c>
      <c r="U927" t="str">
        <f t="shared" si="100"/>
        <v/>
      </c>
      <c r="V927">
        <f t="shared" si="105"/>
        <v>0</v>
      </c>
      <c r="W927" t="str">
        <f t="shared" si="101"/>
        <v/>
      </c>
      <c r="AB927" s="28" t="str">
        <f t="shared" si="102"/>
        <v xml:space="preserve"> </v>
      </c>
      <c r="AE927" s="61" t="str">
        <f t="shared" si="103"/>
        <v/>
      </c>
      <c r="AF927" s="77" t="str">
        <f>_xlfn.XLOOKUP(AD927,menu!$K$2:$K$9,menu!$J$2:$J$9,"",1)</f>
        <v/>
      </c>
      <c r="AG927" s="80" t="str">
        <f>_xlfn.XLOOKUP(AH927,menu!$O$2:$O$9,menu!$H$2:$H$9,"")</f>
        <v/>
      </c>
      <c r="AI927" t="str">
        <f>_xlfn.LET(_xlpm.x,_xlfn.CONCAT(_xlfn.XLOOKUP(D927,beans!$A$2:$A$300,beans!$J$2:$J$300,"")," / ",_xlfn.XLOOKUP(D927,beans!$A$2:$A$300,beans!$K$2:$K$300,"")," - ",_xlfn.XLOOKUP(D927,beans!$A$2:$A$300,beans!$L$2:$L$300,"")),IF(_xlpm.x=" /  - ","",_xlpm.x))</f>
        <v/>
      </c>
    </row>
    <row r="928" spans="1:35" x14ac:dyDescent="0.3">
      <c r="A928">
        <v>911</v>
      </c>
      <c r="E928" t="str">
        <f>_xlfn.LET(_xlpm.x,_xlfn.XLOOKUP(D928,beans!$A$2:$A$300,beans!$H$2:$H$300,""),IF(_xlpm.x="","",_xlpm.x))</f>
        <v/>
      </c>
      <c r="F928" s="22" t="str">
        <f>_xlfn.XLOOKUP(E928,menu!$A$2:$A$37,menu!$B$2:$B$37,"")</f>
        <v/>
      </c>
      <c r="G928" t="str">
        <f>_xlfn.XLOOKUP(E928,menu!$A$2:$A$37,menu!$C$2:$C$37,"")</f>
        <v/>
      </c>
      <c r="H928" t="str">
        <f>_xlfn.LET(_xlpm.x,_xlfn.XLOOKUP(_xlfn.XLOOKUP(D928,beans!$A$2:$A$300,beans!$I$2:$I$300),menu!$E$2:$E$20,menu!$F$2:$F$20),IF(_xlpm.x="","",_xlpm.x))</f>
        <v/>
      </c>
      <c r="T928" s="68" t="str">
        <f t="shared" si="104"/>
        <v/>
      </c>
      <c r="U928" t="str">
        <f t="shared" si="100"/>
        <v/>
      </c>
      <c r="V928">
        <f t="shared" si="105"/>
        <v>0</v>
      </c>
      <c r="W928" t="str">
        <f t="shared" si="101"/>
        <v/>
      </c>
      <c r="AB928" s="28" t="str">
        <f t="shared" si="102"/>
        <v xml:space="preserve"> </v>
      </c>
      <c r="AE928" s="61" t="str">
        <f t="shared" si="103"/>
        <v/>
      </c>
      <c r="AF928" s="77" t="str">
        <f>_xlfn.XLOOKUP(AD928,menu!$K$2:$K$9,menu!$J$2:$J$9,"",1)</f>
        <v/>
      </c>
      <c r="AG928" s="80" t="str">
        <f>_xlfn.XLOOKUP(AH928,menu!$O$2:$O$9,menu!$H$2:$H$9,"")</f>
        <v/>
      </c>
      <c r="AI928" t="str">
        <f>_xlfn.LET(_xlpm.x,_xlfn.CONCAT(_xlfn.XLOOKUP(D928,beans!$A$2:$A$300,beans!$J$2:$J$300,"")," / ",_xlfn.XLOOKUP(D928,beans!$A$2:$A$300,beans!$K$2:$K$300,"")," - ",_xlfn.XLOOKUP(D928,beans!$A$2:$A$300,beans!$L$2:$L$300,"")),IF(_xlpm.x=" /  - ","",_xlpm.x))</f>
        <v/>
      </c>
    </row>
    <row r="929" spans="1:35" x14ac:dyDescent="0.3">
      <c r="A929">
        <v>912</v>
      </c>
      <c r="E929" t="str">
        <f>_xlfn.LET(_xlpm.x,_xlfn.XLOOKUP(D929,beans!$A$2:$A$300,beans!$H$2:$H$300,""),IF(_xlpm.x="","",_xlpm.x))</f>
        <v/>
      </c>
      <c r="F929" s="22" t="str">
        <f>_xlfn.XLOOKUP(E929,menu!$A$2:$A$37,menu!$B$2:$B$37,"")</f>
        <v/>
      </c>
      <c r="G929" t="str">
        <f>_xlfn.XLOOKUP(E929,menu!$A$2:$A$37,menu!$C$2:$C$37,"")</f>
        <v/>
      </c>
      <c r="H929" t="str">
        <f>_xlfn.LET(_xlpm.x,_xlfn.XLOOKUP(_xlfn.XLOOKUP(D929,beans!$A$2:$A$300,beans!$I$2:$I$300),menu!$E$2:$E$20,menu!$F$2:$F$20),IF(_xlpm.x="","",_xlpm.x))</f>
        <v/>
      </c>
      <c r="T929" s="68" t="str">
        <f t="shared" si="104"/>
        <v/>
      </c>
      <c r="U929" t="str">
        <f t="shared" si="100"/>
        <v/>
      </c>
      <c r="V929">
        <f t="shared" si="105"/>
        <v>0</v>
      </c>
      <c r="W929" t="str">
        <f t="shared" si="101"/>
        <v/>
      </c>
      <c r="AB929" s="28" t="str">
        <f t="shared" si="102"/>
        <v xml:space="preserve"> </v>
      </c>
      <c r="AE929" s="61" t="str">
        <f t="shared" si="103"/>
        <v/>
      </c>
      <c r="AF929" s="77" t="str">
        <f>_xlfn.XLOOKUP(AD929,menu!$K$2:$K$9,menu!$J$2:$J$9,"",1)</f>
        <v/>
      </c>
      <c r="AG929" s="80" t="str">
        <f>_xlfn.XLOOKUP(AH929,menu!$O$2:$O$9,menu!$H$2:$H$9,"")</f>
        <v/>
      </c>
      <c r="AI929" t="str">
        <f>_xlfn.LET(_xlpm.x,_xlfn.CONCAT(_xlfn.XLOOKUP(D929,beans!$A$2:$A$300,beans!$J$2:$J$300,"")," / ",_xlfn.XLOOKUP(D929,beans!$A$2:$A$300,beans!$K$2:$K$300,"")," - ",_xlfn.XLOOKUP(D929,beans!$A$2:$A$300,beans!$L$2:$L$300,"")),IF(_xlpm.x=" /  - ","",_xlpm.x))</f>
        <v/>
      </c>
    </row>
    <row r="930" spans="1:35" x14ac:dyDescent="0.3">
      <c r="A930">
        <v>913</v>
      </c>
      <c r="E930" t="str">
        <f>_xlfn.LET(_xlpm.x,_xlfn.XLOOKUP(D930,beans!$A$2:$A$300,beans!$H$2:$H$300,""),IF(_xlpm.x="","",_xlpm.x))</f>
        <v/>
      </c>
      <c r="F930" s="22" t="str">
        <f>_xlfn.XLOOKUP(E930,menu!$A$2:$A$37,menu!$B$2:$B$37,"")</f>
        <v/>
      </c>
      <c r="G930" t="str">
        <f>_xlfn.XLOOKUP(E930,menu!$A$2:$A$37,menu!$C$2:$C$37,"")</f>
        <v/>
      </c>
      <c r="H930" t="str">
        <f>_xlfn.LET(_xlpm.x,_xlfn.XLOOKUP(_xlfn.XLOOKUP(D930,beans!$A$2:$A$300,beans!$I$2:$I$300),menu!$E$2:$E$20,menu!$F$2:$F$20),IF(_xlpm.x="","",_xlpm.x))</f>
        <v/>
      </c>
      <c r="T930" s="68" t="str">
        <f t="shared" si="104"/>
        <v/>
      </c>
      <c r="U930" t="str">
        <f t="shared" si="100"/>
        <v/>
      </c>
      <c r="V930">
        <f t="shared" si="105"/>
        <v>0</v>
      </c>
      <c r="W930" t="str">
        <f t="shared" si="101"/>
        <v/>
      </c>
      <c r="AB930" s="28" t="str">
        <f t="shared" si="102"/>
        <v xml:space="preserve"> </v>
      </c>
      <c r="AE930" s="61" t="str">
        <f t="shared" si="103"/>
        <v/>
      </c>
      <c r="AF930" s="77" t="str">
        <f>_xlfn.XLOOKUP(AD930,menu!$K$2:$K$9,menu!$J$2:$J$9,"",1)</f>
        <v/>
      </c>
      <c r="AG930" s="80" t="str">
        <f>_xlfn.XLOOKUP(AH930,menu!$O$2:$O$9,menu!$H$2:$H$9,"")</f>
        <v/>
      </c>
      <c r="AI930" t="str">
        <f>_xlfn.LET(_xlpm.x,_xlfn.CONCAT(_xlfn.XLOOKUP(D930,beans!$A$2:$A$300,beans!$J$2:$J$300,"")," / ",_xlfn.XLOOKUP(D930,beans!$A$2:$A$300,beans!$K$2:$K$300,"")," - ",_xlfn.XLOOKUP(D930,beans!$A$2:$A$300,beans!$L$2:$L$300,"")),IF(_xlpm.x=" /  - ","",_xlpm.x))</f>
        <v/>
      </c>
    </row>
    <row r="931" spans="1:35" x14ac:dyDescent="0.3">
      <c r="A931">
        <v>914</v>
      </c>
      <c r="E931" t="str">
        <f>_xlfn.LET(_xlpm.x,_xlfn.XLOOKUP(D931,beans!$A$2:$A$300,beans!$H$2:$H$300,""),IF(_xlpm.x="","",_xlpm.x))</f>
        <v/>
      </c>
      <c r="F931" s="22" t="str">
        <f>_xlfn.XLOOKUP(E931,menu!$A$2:$A$37,menu!$B$2:$B$37,"")</f>
        <v/>
      </c>
      <c r="G931" t="str">
        <f>_xlfn.XLOOKUP(E931,menu!$A$2:$A$37,menu!$C$2:$C$37,"")</f>
        <v/>
      </c>
      <c r="H931" t="str">
        <f>_xlfn.LET(_xlpm.x,_xlfn.XLOOKUP(_xlfn.XLOOKUP(D931,beans!$A$2:$A$300,beans!$I$2:$I$300),menu!$E$2:$E$20,menu!$F$2:$F$20),IF(_xlpm.x="","",_xlpm.x))</f>
        <v/>
      </c>
      <c r="T931" s="68" t="str">
        <f t="shared" si="104"/>
        <v/>
      </c>
      <c r="U931" t="str">
        <f t="shared" si="100"/>
        <v/>
      </c>
      <c r="V931">
        <f t="shared" si="105"/>
        <v>0</v>
      </c>
      <c r="W931" t="str">
        <f t="shared" si="101"/>
        <v/>
      </c>
      <c r="AB931" s="28" t="str">
        <f t="shared" si="102"/>
        <v xml:space="preserve"> </v>
      </c>
      <c r="AE931" s="61" t="str">
        <f t="shared" si="103"/>
        <v/>
      </c>
      <c r="AF931" s="77" t="str">
        <f>_xlfn.XLOOKUP(AD931,menu!$K$2:$K$9,menu!$J$2:$J$9,"",1)</f>
        <v/>
      </c>
      <c r="AG931" s="80" t="str">
        <f>_xlfn.XLOOKUP(AH931,menu!$O$2:$O$9,menu!$H$2:$H$9,"")</f>
        <v/>
      </c>
      <c r="AI931" t="str">
        <f>_xlfn.LET(_xlpm.x,_xlfn.CONCAT(_xlfn.XLOOKUP(D931,beans!$A$2:$A$300,beans!$J$2:$J$300,"")," / ",_xlfn.XLOOKUP(D931,beans!$A$2:$A$300,beans!$K$2:$K$300,"")," - ",_xlfn.XLOOKUP(D931,beans!$A$2:$A$300,beans!$L$2:$L$300,"")),IF(_xlpm.x=" /  - ","",_xlpm.x))</f>
        <v/>
      </c>
    </row>
    <row r="932" spans="1:35" x14ac:dyDescent="0.3">
      <c r="A932">
        <v>915</v>
      </c>
      <c r="E932" t="str">
        <f>_xlfn.LET(_xlpm.x,_xlfn.XLOOKUP(D932,beans!$A$2:$A$300,beans!$H$2:$H$300,""),IF(_xlpm.x="","",_xlpm.x))</f>
        <v/>
      </c>
      <c r="F932" s="22" t="str">
        <f>_xlfn.XLOOKUP(E932,menu!$A$2:$A$37,menu!$B$2:$B$37,"")</f>
        <v/>
      </c>
      <c r="G932" t="str">
        <f>_xlfn.XLOOKUP(E932,menu!$A$2:$A$37,menu!$C$2:$C$37,"")</f>
        <v/>
      </c>
      <c r="H932" t="str">
        <f>_xlfn.LET(_xlpm.x,_xlfn.XLOOKUP(_xlfn.XLOOKUP(D932,beans!$A$2:$A$300,beans!$I$2:$I$300),menu!$E$2:$E$20,menu!$F$2:$F$20),IF(_xlpm.x="","",_xlpm.x))</f>
        <v/>
      </c>
      <c r="T932" s="68" t="str">
        <f t="shared" si="104"/>
        <v/>
      </c>
      <c r="U932" t="str">
        <f t="shared" si="100"/>
        <v/>
      </c>
      <c r="V932">
        <f t="shared" si="105"/>
        <v>0</v>
      </c>
      <c r="W932" t="str">
        <f t="shared" si="101"/>
        <v/>
      </c>
      <c r="AB932" s="28" t="str">
        <f t="shared" si="102"/>
        <v xml:space="preserve"> </v>
      </c>
      <c r="AE932" s="61" t="str">
        <f t="shared" si="103"/>
        <v/>
      </c>
      <c r="AF932" s="77" t="str">
        <f>_xlfn.XLOOKUP(AD932,menu!$K$2:$K$9,menu!$J$2:$J$9,"",1)</f>
        <v/>
      </c>
      <c r="AG932" s="80" t="str">
        <f>_xlfn.XLOOKUP(AH932,menu!$O$2:$O$9,menu!$H$2:$H$9,"")</f>
        <v/>
      </c>
      <c r="AI932" t="str">
        <f>_xlfn.LET(_xlpm.x,_xlfn.CONCAT(_xlfn.XLOOKUP(D932,beans!$A$2:$A$300,beans!$J$2:$J$300,"")," / ",_xlfn.XLOOKUP(D932,beans!$A$2:$A$300,beans!$K$2:$K$300,"")," - ",_xlfn.XLOOKUP(D932,beans!$A$2:$A$300,beans!$L$2:$L$300,"")),IF(_xlpm.x=" /  - ","",_xlpm.x))</f>
        <v/>
      </c>
    </row>
    <row r="933" spans="1:35" x14ac:dyDescent="0.3">
      <c r="A933">
        <v>916</v>
      </c>
      <c r="E933" t="str">
        <f>_xlfn.LET(_xlpm.x,_xlfn.XLOOKUP(D933,beans!$A$2:$A$300,beans!$H$2:$H$300,""),IF(_xlpm.x="","",_xlpm.x))</f>
        <v/>
      </c>
      <c r="F933" s="22" t="str">
        <f>_xlfn.XLOOKUP(E933,menu!$A$2:$A$37,menu!$B$2:$B$37,"")</f>
        <v/>
      </c>
      <c r="G933" t="str">
        <f>_xlfn.XLOOKUP(E933,menu!$A$2:$A$37,menu!$C$2:$C$37,"")</f>
        <v/>
      </c>
      <c r="H933" t="str">
        <f>_xlfn.LET(_xlpm.x,_xlfn.XLOOKUP(_xlfn.XLOOKUP(D933,beans!$A$2:$A$300,beans!$I$2:$I$300),menu!$E$2:$E$20,menu!$F$2:$F$20),IF(_xlpm.x="","",_xlpm.x))</f>
        <v/>
      </c>
      <c r="T933" s="68" t="str">
        <f t="shared" si="104"/>
        <v/>
      </c>
      <c r="U933" t="str">
        <f t="shared" si="100"/>
        <v/>
      </c>
      <c r="V933">
        <f t="shared" si="105"/>
        <v>0</v>
      </c>
      <c r="W933" t="str">
        <f t="shared" si="101"/>
        <v/>
      </c>
      <c r="AB933" s="28" t="str">
        <f t="shared" si="102"/>
        <v xml:space="preserve"> </v>
      </c>
      <c r="AE933" s="61" t="str">
        <f t="shared" si="103"/>
        <v/>
      </c>
      <c r="AF933" s="77" t="str">
        <f>_xlfn.XLOOKUP(AD933,menu!$K$2:$K$9,menu!$J$2:$J$9,"",1)</f>
        <v/>
      </c>
      <c r="AG933" s="80" t="str">
        <f>_xlfn.XLOOKUP(AH933,menu!$O$2:$O$9,menu!$H$2:$H$9,"")</f>
        <v/>
      </c>
      <c r="AI933" t="str">
        <f>_xlfn.LET(_xlpm.x,_xlfn.CONCAT(_xlfn.XLOOKUP(D933,beans!$A$2:$A$300,beans!$J$2:$J$300,"")," / ",_xlfn.XLOOKUP(D933,beans!$A$2:$A$300,beans!$K$2:$K$300,"")," - ",_xlfn.XLOOKUP(D933,beans!$A$2:$A$300,beans!$L$2:$L$300,"")),IF(_xlpm.x=" /  - ","",_xlpm.x))</f>
        <v/>
      </c>
    </row>
    <row r="934" spans="1:35" x14ac:dyDescent="0.3">
      <c r="A934">
        <v>917</v>
      </c>
      <c r="E934" t="str">
        <f>_xlfn.LET(_xlpm.x,_xlfn.XLOOKUP(D934,beans!$A$2:$A$300,beans!$H$2:$H$300,""),IF(_xlpm.x="","",_xlpm.x))</f>
        <v/>
      </c>
      <c r="F934" s="22" t="str">
        <f>_xlfn.XLOOKUP(E934,menu!$A$2:$A$37,menu!$B$2:$B$37,"")</f>
        <v/>
      </c>
      <c r="G934" t="str">
        <f>_xlfn.XLOOKUP(E934,menu!$A$2:$A$37,menu!$C$2:$C$37,"")</f>
        <v/>
      </c>
      <c r="H934" t="str">
        <f>_xlfn.LET(_xlpm.x,_xlfn.XLOOKUP(_xlfn.XLOOKUP(D934,beans!$A$2:$A$300,beans!$I$2:$I$300),menu!$E$2:$E$20,menu!$F$2:$F$20),IF(_xlpm.x="","",_xlpm.x))</f>
        <v/>
      </c>
      <c r="T934" s="68" t="str">
        <f t="shared" si="104"/>
        <v/>
      </c>
      <c r="U934" t="str">
        <f t="shared" si="100"/>
        <v/>
      </c>
      <c r="V934">
        <f t="shared" si="105"/>
        <v>0</v>
      </c>
      <c r="W934" t="str">
        <f t="shared" si="101"/>
        <v/>
      </c>
      <c r="AB934" s="28" t="str">
        <f t="shared" si="102"/>
        <v xml:space="preserve"> </v>
      </c>
      <c r="AE934" s="61" t="str">
        <f t="shared" si="103"/>
        <v/>
      </c>
      <c r="AF934" s="77" t="str">
        <f>_xlfn.XLOOKUP(AD934,menu!$K$2:$K$9,menu!$J$2:$J$9,"",1)</f>
        <v/>
      </c>
      <c r="AG934" s="80" t="str">
        <f>_xlfn.XLOOKUP(AH934,menu!$O$2:$O$9,menu!$H$2:$H$9,"")</f>
        <v/>
      </c>
      <c r="AI934" t="str">
        <f>_xlfn.LET(_xlpm.x,_xlfn.CONCAT(_xlfn.XLOOKUP(D934,beans!$A$2:$A$300,beans!$J$2:$J$300,"")," / ",_xlfn.XLOOKUP(D934,beans!$A$2:$A$300,beans!$K$2:$K$300,"")," - ",_xlfn.XLOOKUP(D934,beans!$A$2:$A$300,beans!$L$2:$L$300,"")),IF(_xlpm.x=" /  - ","",_xlpm.x))</f>
        <v/>
      </c>
    </row>
    <row r="935" spans="1:35" x14ac:dyDescent="0.3">
      <c r="A935">
        <v>918</v>
      </c>
      <c r="E935" t="str">
        <f>_xlfn.LET(_xlpm.x,_xlfn.XLOOKUP(D935,beans!$A$2:$A$300,beans!$H$2:$H$300,""),IF(_xlpm.x="","",_xlpm.x))</f>
        <v/>
      </c>
      <c r="F935" s="22" t="str">
        <f>_xlfn.XLOOKUP(E935,menu!$A$2:$A$37,menu!$B$2:$B$37,"")</f>
        <v/>
      </c>
      <c r="G935" t="str">
        <f>_xlfn.XLOOKUP(E935,menu!$A$2:$A$37,menu!$C$2:$C$37,"")</f>
        <v/>
      </c>
      <c r="H935" t="str">
        <f>_xlfn.LET(_xlpm.x,_xlfn.XLOOKUP(_xlfn.XLOOKUP(D935,beans!$A$2:$A$300,beans!$I$2:$I$300),menu!$E$2:$E$20,menu!$F$2:$F$20),IF(_xlpm.x="","",_xlpm.x))</f>
        <v/>
      </c>
      <c r="T935" s="68" t="str">
        <f t="shared" si="104"/>
        <v/>
      </c>
      <c r="U935" t="str">
        <f t="shared" si="100"/>
        <v/>
      </c>
      <c r="V935">
        <f t="shared" si="105"/>
        <v>0</v>
      </c>
      <c r="W935" t="str">
        <f t="shared" si="101"/>
        <v/>
      </c>
      <c r="AB935" s="28" t="str">
        <f t="shared" si="102"/>
        <v xml:space="preserve"> </v>
      </c>
      <c r="AE935" s="61" t="str">
        <f t="shared" si="103"/>
        <v/>
      </c>
      <c r="AF935" s="77" t="str">
        <f>_xlfn.XLOOKUP(AD935,menu!$K$2:$K$9,menu!$J$2:$J$9,"",1)</f>
        <v/>
      </c>
      <c r="AG935" s="80" t="str">
        <f>_xlfn.XLOOKUP(AH935,menu!$O$2:$O$9,menu!$H$2:$H$9,"")</f>
        <v/>
      </c>
      <c r="AI935" t="str">
        <f>_xlfn.LET(_xlpm.x,_xlfn.CONCAT(_xlfn.XLOOKUP(D935,beans!$A$2:$A$300,beans!$J$2:$J$300,"")," / ",_xlfn.XLOOKUP(D935,beans!$A$2:$A$300,beans!$K$2:$K$300,"")," - ",_xlfn.XLOOKUP(D935,beans!$A$2:$A$300,beans!$L$2:$L$300,"")),IF(_xlpm.x=" /  - ","",_xlpm.x))</f>
        <v/>
      </c>
    </row>
    <row r="936" spans="1:35" x14ac:dyDescent="0.3">
      <c r="A936">
        <v>919</v>
      </c>
      <c r="E936" t="str">
        <f>_xlfn.LET(_xlpm.x,_xlfn.XLOOKUP(D936,beans!$A$2:$A$300,beans!$H$2:$H$300,""),IF(_xlpm.x="","",_xlpm.x))</f>
        <v/>
      </c>
      <c r="F936" s="22" t="str">
        <f>_xlfn.XLOOKUP(E936,menu!$A$2:$A$37,menu!$B$2:$B$37,"")</f>
        <v/>
      </c>
      <c r="G936" t="str">
        <f>_xlfn.XLOOKUP(E936,menu!$A$2:$A$37,menu!$C$2:$C$37,"")</f>
        <v/>
      </c>
      <c r="H936" t="str">
        <f>_xlfn.LET(_xlpm.x,_xlfn.XLOOKUP(_xlfn.XLOOKUP(D936,beans!$A$2:$A$300,beans!$I$2:$I$300),menu!$E$2:$E$20,menu!$F$2:$F$20),IF(_xlpm.x="","",_xlpm.x))</f>
        <v/>
      </c>
      <c r="T936" s="68" t="str">
        <f t="shared" si="104"/>
        <v/>
      </c>
      <c r="U936" t="str">
        <f t="shared" si="100"/>
        <v/>
      </c>
      <c r="V936">
        <f t="shared" si="105"/>
        <v>0</v>
      </c>
      <c r="W936" t="str">
        <f t="shared" si="101"/>
        <v/>
      </c>
      <c r="AB936" s="28" t="str">
        <f t="shared" si="102"/>
        <v xml:space="preserve"> </v>
      </c>
      <c r="AE936" s="61" t="str">
        <f t="shared" si="103"/>
        <v/>
      </c>
      <c r="AF936" s="77" t="str">
        <f>_xlfn.XLOOKUP(AD936,menu!$K$2:$K$9,menu!$J$2:$J$9,"",1)</f>
        <v/>
      </c>
      <c r="AG936" s="80" t="str">
        <f>_xlfn.XLOOKUP(AH936,menu!$O$2:$O$9,menu!$H$2:$H$9,"")</f>
        <v/>
      </c>
      <c r="AI936" t="str">
        <f>_xlfn.LET(_xlpm.x,_xlfn.CONCAT(_xlfn.XLOOKUP(D936,beans!$A$2:$A$300,beans!$J$2:$J$300,"")," / ",_xlfn.XLOOKUP(D936,beans!$A$2:$A$300,beans!$K$2:$K$300,"")," - ",_xlfn.XLOOKUP(D936,beans!$A$2:$A$300,beans!$L$2:$L$300,"")),IF(_xlpm.x=" /  - ","",_xlpm.x))</f>
        <v/>
      </c>
    </row>
    <row r="937" spans="1:35" x14ac:dyDescent="0.3">
      <c r="A937">
        <v>920</v>
      </c>
      <c r="E937" t="str">
        <f>_xlfn.LET(_xlpm.x,_xlfn.XLOOKUP(D937,beans!$A$2:$A$300,beans!$H$2:$H$300,""),IF(_xlpm.x="","",_xlpm.x))</f>
        <v/>
      </c>
      <c r="F937" s="22" t="str">
        <f>_xlfn.XLOOKUP(E937,menu!$A$2:$A$37,menu!$B$2:$B$37,"")</f>
        <v/>
      </c>
      <c r="G937" t="str">
        <f>_xlfn.XLOOKUP(E937,menu!$A$2:$A$37,menu!$C$2:$C$37,"")</f>
        <v/>
      </c>
      <c r="H937" t="str">
        <f>_xlfn.LET(_xlpm.x,_xlfn.XLOOKUP(_xlfn.XLOOKUP(D937,beans!$A$2:$A$300,beans!$I$2:$I$300),menu!$E$2:$E$20,menu!$F$2:$F$20),IF(_xlpm.x="","",_xlpm.x))</f>
        <v/>
      </c>
      <c r="T937" s="68" t="str">
        <f t="shared" si="104"/>
        <v/>
      </c>
      <c r="U937" t="str">
        <f t="shared" si="100"/>
        <v/>
      </c>
      <c r="V937">
        <f t="shared" si="105"/>
        <v>0</v>
      </c>
      <c r="W937" t="str">
        <f t="shared" si="101"/>
        <v/>
      </c>
      <c r="AB937" s="28" t="str">
        <f t="shared" si="102"/>
        <v xml:space="preserve"> </v>
      </c>
      <c r="AE937" s="61" t="str">
        <f t="shared" si="103"/>
        <v/>
      </c>
      <c r="AF937" s="77" t="str">
        <f>_xlfn.XLOOKUP(AD937,menu!$K$2:$K$9,menu!$J$2:$J$9,"",1)</f>
        <v/>
      </c>
      <c r="AG937" s="80" t="str">
        <f>_xlfn.XLOOKUP(AH937,menu!$O$2:$O$9,menu!$H$2:$H$9,"")</f>
        <v/>
      </c>
      <c r="AI937" t="str">
        <f>_xlfn.LET(_xlpm.x,_xlfn.CONCAT(_xlfn.XLOOKUP(D937,beans!$A$2:$A$300,beans!$J$2:$J$300,"")," / ",_xlfn.XLOOKUP(D937,beans!$A$2:$A$300,beans!$K$2:$K$300,"")," - ",_xlfn.XLOOKUP(D937,beans!$A$2:$A$300,beans!$L$2:$L$300,"")),IF(_xlpm.x=" /  - ","",_xlpm.x))</f>
        <v/>
      </c>
    </row>
    <row r="938" spans="1:35" x14ac:dyDescent="0.3">
      <c r="A938">
        <v>921</v>
      </c>
      <c r="E938" t="str">
        <f>_xlfn.LET(_xlpm.x,_xlfn.XLOOKUP(D938,beans!$A$2:$A$300,beans!$H$2:$H$300,""),IF(_xlpm.x="","",_xlpm.x))</f>
        <v/>
      </c>
      <c r="F938" s="22" t="str">
        <f>_xlfn.XLOOKUP(E938,menu!$A$2:$A$37,menu!$B$2:$B$37,"")</f>
        <v/>
      </c>
      <c r="G938" t="str">
        <f>_xlfn.XLOOKUP(E938,menu!$A$2:$A$37,menu!$C$2:$C$37,"")</f>
        <v/>
      </c>
      <c r="H938" t="str">
        <f>_xlfn.LET(_xlpm.x,_xlfn.XLOOKUP(_xlfn.XLOOKUP(D938,beans!$A$2:$A$300,beans!$I$2:$I$300),menu!$E$2:$E$20,menu!$F$2:$F$20),IF(_xlpm.x="","",_xlpm.x))</f>
        <v/>
      </c>
      <c r="T938" s="68" t="str">
        <f t="shared" si="104"/>
        <v/>
      </c>
      <c r="U938" t="str">
        <f t="shared" si="100"/>
        <v/>
      </c>
      <c r="V938">
        <f t="shared" si="105"/>
        <v>0</v>
      </c>
      <c r="W938" t="str">
        <f t="shared" si="101"/>
        <v/>
      </c>
      <c r="AB938" s="28" t="str">
        <f t="shared" si="102"/>
        <v xml:space="preserve"> </v>
      </c>
      <c r="AE938" s="61" t="str">
        <f t="shared" si="103"/>
        <v/>
      </c>
      <c r="AF938" s="77" t="str">
        <f>_xlfn.XLOOKUP(AD938,menu!$K$2:$K$9,menu!$J$2:$J$9,"",1)</f>
        <v/>
      </c>
      <c r="AG938" s="80" t="str">
        <f>_xlfn.XLOOKUP(AH938,menu!$O$2:$O$9,menu!$H$2:$H$9,"")</f>
        <v/>
      </c>
      <c r="AI938" t="str">
        <f>_xlfn.LET(_xlpm.x,_xlfn.CONCAT(_xlfn.XLOOKUP(D938,beans!$A$2:$A$300,beans!$J$2:$J$300,"")," / ",_xlfn.XLOOKUP(D938,beans!$A$2:$A$300,beans!$K$2:$K$300,"")," - ",_xlfn.XLOOKUP(D938,beans!$A$2:$A$300,beans!$L$2:$L$300,"")),IF(_xlpm.x=" /  - ","",_xlpm.x))</f>
        <v/>
      </c>
    </row>
    <row r="939" spans="1:35" x14ac:dyDescent="0.3">
      <c r="A939">
        <v>922</v>
      </c>
      <c r="E939" t="str">
        <f>_xlfn.LET(_xlpm.x,_xlfn.XLOOKUP(D939,beans!$A$2:$A$300,beans!$H$2:$H$300,""),IF(_xlpm.x="","",_xlpm.x))</f>
        <v/>
      </c>
      <c r="F939" s="22" t="str">
        <f>_xlfn.XLOOKUP(E939,menu!$A$2:$A$37,menu!$B$2:$B$37,"")</f>
        <v/>
      </c>
      <c r="G939" t="str">
        <f>_xlfn.XLOOKUP(E939,menu!$A$2:$A$37,menu!$C$2:$C$37,"")</f>
        <v/>
      </c>
      <c r="H939" t="str">
        <f>_xlfn.LET(_xlpm.x,_xlfn.XLOOKUP(_xlfn.XLOOKUP(D939,beans!$A$2:$A$300,beans!$I$2:$I$300),menu!$E$2:$E$20,menu!$F$2:$F$20),IF(_xlpm.x="","",_xlpm.x))</f>
        <v/>
      </c>
      <c r="T939" s="68" t="str">
        <f t="shared" si="104"/>
        <v/>
      </c>
      <c r="U939" t="str">
        <f t="shared" si="100"/>
        <v/>
      </c>
      <c r="V939">
        <f t="shared" si="105"/>
        <v>0</v>
      </c>
      <c r="W939" t="str">
        <f t="shared" si="101"/>
        <v/>
      </c>
      <c r="AB939" s="28" t="str">
        <f t="shared" si="102"/>
        <v xml:space="preserve"> </v>
      </c>
      <c r="AE939" s="61" t="str">
        <f t="shared" si="103"/>
        <v/>
      </c>
      <c r="AF939" s="77" t="str">
        <f>_xlfn.XLOOKUP(AD939,menu!$K$2:$K$9,menu!$J$2:$J$9,"",1)</f>
        <v/>
      </c>
      <c r="AG939" s="80" t="str">
        <f>_xlfn.XLOOKUP(AH939,menu!$O$2:$O$9,menu!$H$2:$H$9,"")</f>
        <v/>
      </c>
      <c r="AI939" t="str">
        <f>_xlfn.LET(_xlpm.x,_xlfn.CONCAT(_xlfn.XLOOKUP(D939,beans!$A$2:$A$300,beans!$J$2:$J$300,"")," / ",_xlfn.XLOOKUP(D939,beans!$A$2:$A$300,beans!$K$2:$K$300,"")," - ",_xlfn.XLOOKUP(D939,beans!$A$2:$A$300,beans!$L$2:$L$300,"")),IF(_xlpm.x=" /  - ","",_xlpm.x))</f>
        <v/>
      </c>
    </row>
    <row r="940" spans="1:35" x14ac:dyDescent="0.3">
      <c r="A940">
        <v>923</v>
      </c>
      <c r="E940" t="str">
        <f>_xlfn.LET(_xlpm.x,_xlfn.XLOOKUP(D940,beans!$A$2:$A$300,beans!$H$2:$H$300,""),IF(_xlpm.x="","",_xlpm.x))</f>
        <v/>
      </c>
      <c r="F940" s="22" t="str">
        <f>_xlfn.XLOOKUP(E940,menu!$A$2:$A$37,menu!$B$2:$B$37,"")</f>
        <v/>
      </c>
      <c r="G940" t="str">
        <f>_xlfn.XLOOKUP(E940,menu!$A$2:$A$37,menu!$C$2:$C$37,"")</f>
        <v/>
      </c>
      <c r="H940" t="str">
        <f>_xlfn.LET(_xlpm.x,_xlfn.XLOOKUP(_xlfn.XLOOKUP(D940,beans!$A$2:$A$300,beans!$I$2:$I$300),menu!$E$2:$E$20,menu!$F$2:$F$20),IF(_xlpm.x="","",_xlpm.x))</f>
        <v/>
      </c>
      <c r="T940" s="68" t="str">
        <f t="shared" si="104"/>
        <v/>
      </c>
      <c r="U940" t="str">
        <f t="shared" si="100"/>
        <v/>
      </c>
      <c r="V940">
        <f t="shared" si="105"/>
        <v>0</v>
      </c>
      <c r="W940" t="str">
        <f t="shared" si="101"/>
        <v/>
      </c>
      <c r="AB940" s="28" t="str">
        <f t="shared" si="102"/>
        <v xml:space="preserve"> </v>
      </c>
      <c r="AE940" s="61" t="str">
        <f t="shared" si="103"/>
        <v/>
      </c>
      <c r="AF940" s="77" t="str">
        <f>_xlfn.XLOOKUP(AD940,menu!$K$2:$K$9,menu!$J$2:$J$9,"",1)</f>
        <v/>
      </c>
      <c r="AG940" s="80" t="str">
        <f>_xlfn.XLOOKUP(AH940,menu!$O$2:$O$9,menu!$H$2:$H$9,"")</f>
        <v/>
      </c>
      <c r="AI940" t="str">
        <f>_xlfn.LET(_xlpm.x,_xlfn.CONCAT(_xlfn.XLOOKUP(D940,beans!$A$2:$A$300,beans!$J$2:$J$300,"")," / ",_xlfn.XLOOKUP(D940,beans!$A$2:$A$300,beans!$K$2:$K$300,"")," - ",_xlfn.XLOOKUP(D940,beans!$A$2:$A$300,beans!$L$2:$L$300,"")),IF(_xlpm.x=" /  - ","",_xlpm.x))</f>
        <v/>
      </c>
    </row>
    <row r="941" spans="1:35" x14ac:dyDescent="0.3">
      <c r="A941">
        <v>924</v>
      </c>
      <c r="E941" t="str">
        <f>_xlfn.LET(_xlpm.x,_xlfn.XLOOKUP(D941,beans!$A$2:$A$300,beans!$H$2:$H$300,""),IF(_xlpm.x="","",_xlpm.x))</f>
        <v/>
      </c>
      <c r="F941" s="22" t="str">
        <f>_xlfn.XLOOKUP(E941,menu!$A$2:$A$37,menu!$B$2:$B$37,"")</f>
        <v/>
      </c>
      <c r="G941" t="str">
        <f>_xlfn.XLOOKUP(E941,menu!$A$2:$A$37,menu!$C$2:$C$37,"")</f>
        <v/>
      </c>
      <c r="H941" t="str">
        <f>_xlfn.LET(_xlpm.x,_xlfn.XLOOKUP(_xlfn.XLOOKUP(D941,beans!$A$2:$A$300,beans!$I$2:$I$300),menu!$E$2:$E$20,menu!$F$2:$F$20),IF(_xlpm.x="","",_xlpm.x))</f>
        <v/>
      </c>
      <c r="T941" s="68" t="str">
        <f t="shared" si="104"/>
        <v/>
      </c>
      <c r="U941" t="str">
        <f t="shared" si="100"/>
        <v/>
      </c>
      <c r="V941">
        <f t="shared" si="105"/>
        <v>0</v>
      </c>
      <c r="W941" t="str">
        <f t="shared" si="101"/>
        <v/>
      </c>
      <c r="AB941" s="28" t="str">
        <f t="shared" si="102"/>
        <v xml:space="preserve"> </v>
      </c>
      <c r="AE941" s="61" t="str">
        <f t="shared" si="103"/>
        <v/>
      </c>
      <c r="AF941" s="77" t="str">
        <f>_xlfn.XLOOKUP(AD941,menu!$K$2:$K$9,menu!$J$2:$J$9,"",1)</f>
        <v/>
      </c>
      <c r="AG941" s="80" t="str">
        <f>_xlfn.XLOOKUP(AH941,menu!$O$2:$O$9,menu!$H$2:$H$9,"")</f>
        <v/>
      </c>
      <c r="AI941" t="str">
        <f>_xlfn.LET(_xlpm.x,_xlfn.CONCAT(_xlfn.XLOOKUP(D941,beans!$A$2:$A$300,beans!$J$2:$J$300,"")," / ",_xlfn.XLOOKUP(D941,beans!$A$2:$A$300,beans!$K$2:$K$300,"")," - ",_xlfn.XLOOKUP(D941,beans!$A$2:$A$300,beans!$L$2:$L$300,"")),IF(_xlpm.x=" /  - ","",_xlpm.x))</f>
        <v/>
      </c>
    </row>
    <row r="942" spans="1:35" x14ac:dyDescent="0.3">
      <c r="A942">
        <v>925</v>
      </c>
      <c r="E942" t="str">
        <f>_xlfn.LET(_xlpm.x,_xlfn.XLOOKUP(D942,beans!$A$2:$A$300,beans!$H$2:$H$300,""),IF(_xlpm.x="","",_xlpm.x))</f>
        <v/>
      </c>
      <c r="F942" s="22" t="str">
        <f>_xlfn.XLOOKUP(E942,menu!$A$2:$A$37,menu!$B$2:$B$37,"")</f>
        <v/>
      </c>
      <c r="G942" t="str">
        <f>_xlfn.XLOOKUP(E942,menu!$A$2:$A$37,menu!$C$2:$C$37,"")</f>
        <v/>
      </c>
      <c r="H942" t="str">
        <f>_xlfn.LET(_xlpm.x,_xlfn.XLOOKUP(_xlfn.XLOOKUP(D942,beans!$A$2:$A$300,beans!$I$2:$I$300),menu!$E$2:$E$20,menu!$F$2:$F$20),IF(_xlpm.x="","",_xlpm.x))</f>
        <v/>
      </c>
      <c r="T942" s="68" t="str">
        <f t="shared" si="104"/>
        <v/>
      </c>
      <c r="U942" t="str">
        <f t="shared" si="100"/>
        <v/>
      </c>
      <c r="V942">
        <f t="shared" si="105"/>
        <v>0</v>
      </c>
      <c r="W942" t="str">
        <f t="shared" si="101"/>
        <v/>
      </c>
      <c r="AB942" s="28" t="str">
        <f t="shared" si="102"/>
        <v xml:space="preserve"> </v>
      </c>
      <c r="AE942" s="61" t="str">
        <f t="shared" si="103"/>
        <v/>
      </c>
      <c r="AF942" s="77" t="str">
        <f>_xlfn.XLOOKUP(AD942,menu!$K$2:$K$9,menu!$J$2:$J$9,"",1)</f>
        <v/>
      </c>
      <c r="AG942" s="80" t="str">
        <f>_xlfn.XLOOKUP(AH942,menu!$O$2:$O$9,menu!$H$2:$H$9,"")</f>
        <v/>
      </c>
      <c r="AI942" t="str">
        <f>_xlfn.LET(_xlpm.x,_xlfn.CONCAT(_xlfn.XLOOKUP(D942,beans!$A$2:$A$300,beans!$J$2:$J$300,"")," / ",_xlfn.XLOOKUP(D942,beans!$A$2:$A$300,beans!$K$2:$K$300,"")," - ",_xlfn.XLOOKUP(D942,beans!$A$2:$A$300,beans!$L$2:$L$300,"")),IF(_xlpm.x=" /  - ","",_xlpm.x))</f>
        <v/>
      </c>
    </row>
    <row r="943" spans="1:35" x14ac:dyDescent="0.3">
      <c r="A943">
        <v>926</v>
      </c>
      <c r="E943" t="str">
        <f>_xlfn.LET(_xlpm.x,_xlfn.XLOOKUP(D943,beans!$A$2:$A$300,beans!$H$2:$H$300,""),IF(_xlpm.x="","",_xlpm.x))</f>
        <v/>
      </c>
      <c r="F943" s="22" t="str">
        <f>_xlfn.XLOOKUP(E943,menu!$A$2:$A$37,menu!$B$2:$B$37,"")</f>
        <v/>
      </c>
      <c r="G943" t="str">
        <f>_xlfn.XLOOKUP(E943,menu!$A$2:$A$37,menu!$C$2:$C$37,"")</f>
        <v/>
      </c>
      <c r="H943" t="str">
        <f>_xlfn.LET(_xlpm.x,_xlfn.XLOOKUP(_xlfn.XLOOKUP(D943,beans!$A$2:$A$300,beans!$I$2:$I$300),menu!$E$2:$E$20,menu!$F$2:$F$20),IF(_xlpm.x="","",_xlpm.x))</f>
        <v/>
      </c>
      <c r="T943" s="68" t="str">
        <f t="shared" si="104"/>
        <v/>
      </c>
      <c r="U943" t="str">
        <f t="shared" si="100"/>
        <v/>
      </c>
      <c r="V943">
        <f t="shared" si="105"/>
        <v>0</v>
      </c>
      <c r="W943" t="str">
        <f t="shared" si="101"/>
        <v/>
      </c>
      <c r="AB943" s="28" t="str">
        <f t="shared" si="102"/>
        <v xml:space="preserve"> </v>
      </c>
      <c r="AE943" s="61" t="str">
        <f t="shared" si="103"/>
        <v/>
      </c>
      <c r="AF943" s="77" t="str">
        <f>_xlfn.XLOOKUP(AD943,menu!$K$2:$K$9,menu!$J$2:$J$9,"",1)</f>
        <v/>
      </c>
      <c r="AG943" s="80" t="str">
        <f>_xlfn.XLOOKUP(AH943,menu!$O$2:$O$9,menu!$H$2:$H$9,"")</f>
        <v/>
      </c>
      <c r="AI943" t="str">
        <f>_xlfn.LET(_xlpm.x,_xlfn.CONCAT(_xlfn.XLOOKUP(D943,beans!$A$2:$A$300,beans!$J$2:$J$300,"")," / ",_xlfn.XLOOKUP(D943,beans!$A$2:$A$300,beans!$K$2:$K$300,"")," - ",_xlfn.XLOOKUP(D943,beans!$A$2:$A$300,beans!$L$2:$L$300,"")),IF(_xlpm.x=" /  - ","",_xlpm.x))</f>
        <v/>
      </c>
    </row>
    <row r="944" spans="1:35" x14ac:dyDescent="0.3">
      <c r="A944">
        <v>927</v>
      </c>
      <c r="E944" t="str">
        <f>_xlfn.LET(_xlpm.x,_xlfn.XLOOKUP(D944,beans!$A$2:$A$300,beans!$H$2:$H$300,""),IF(_xlpm.x="","",_xlpm.x))</f>
        <v/>
      </c>
      <c r="F944" s="22" t="str">
        <f>_xlfn.XLOOKUP(E944,menu!$A$2:$A$37,menu!$B$2:$B$37,"")</f>
        <v/>
      </c>
      <c r="G944" t="str">
        <f>_xlfn.XLOOKUP(E944,menu!$A$2:$A$37,menu!$C$2:$C$37,"")</f>
        <v/>
      </c>
      <c r="H944" t="str">
        <f>_xlfn.LET(_xlpm.x,_xlfn.XLOOKUP(_xlfn.XLOOKUP(D944,beans!$A$2:$A$300,beans!$I$2:$I$300),menu!$E$2:$E$20,menu!$F$2:$F$20),IF(_xlpm.x="","",_xlpm.x))</f>
        <v/>
      </c>
      <c r="T944" s="68" t="str">
        <f t="shared" si="104"/>
        <v/>
      </c>
      <c r="U944" t="str">
        <f t="shared" si="100"/>
        <v/>
      </c>
      <c r="V944">
        <f t="shared" si="105"/>
        <v>0</v>
      </c>
      <c r="W944" t="str">
        <f t="shared" si="101"/>
        <v/>
      </c>
      <c r="AB944" s="28" t="str">
        <f t="shared" si="102"/>
        <v xml:space="preserve"> </v>
      </c>
      <c r="AE944" s="61" t="str">
        <f t="shared" si="103"/>
        <v/>
      </c>
      <c r="AF944" s="77" t="str">
        <f>_xlfn.XLOOKUP(AD944,menu!$K$2:$K$9,menu!$J$2:$J$9,"",1)</f>
        <v/>
      </c>
      <c r="AG944" s="80" t="str">
        <f>_xlfn.XLOOKUP(AH944,menu!$O$2:$O$9,menu!$H$2:$H$9,"")</f>
        <v/>
      </c>
      <c r="AI944" t="str">
        <f>_xlfn.LET(_xlpm.x,_xlfn.CONCAT(_xlfn.XLOOKUP(D944,beans!$A$2:$A$300,beans!$J$2:$J$300,"")," / ",_xlfn.XLOOKUP(D944,beans!$A$2:$A$300,beans!$K$2:$K$300,"")," - ",_xlfn.XLOOKUP(D944,beans!$A$2:$A$300,beans!$L$2:$L$300,"")),IF(_xlpm.x=" /  - ","",_xlpm.x))</f>
        <v/>
      </c>
    </row>
    <row r="945" spans="1:35" x14ac:dyDescent="0.3">
      <c r="A945">
        <v>928</v>
      </c>
      <c r="E945" t="str">
        <f>_xlfn.LET(_xlpm.x,_xlfn.XLOOKUP(D945,beans!$A$2:$A$300,beans!$H$2:$H$300,""),IF(_xlpm.x="","",_xlpm.x))</f>
        <v/>
      </c>
      <c r="F945" s="22" t="str">
        <f>_xlfn.XLOOKUP(E945,menu!$A$2:$A$37,menu!$B$2:$B$37,"")</f>
        <v/>
      </c>
      <c r="G945" t="str">
        <f>_xlfn.XLOOKUP(E945,menu!$A$2:$A$37,menu!$C$2:$C$37,"")</f>
        <v/>
      </c>
      <c r="H945" t="str">
        <f>_xlfn.LET(_xlpm.x,_xlfn.XLOOKUP(_xlfn.XLOOKUP(D945,beans!$A$2:$A$300,beans!$I$2:$I$300),menu!$E$2:$E$20,menu!$F$2:$F$20),IF(_xlpm.x="","",_xlpm.x))</f>
        <v/>
      </c>
      <c r="T945" s="68" t="str">
        <f t="shared" si="104"/>
        <v/>
      </c>
      <c r="U945" t="str">
        <f t="shared" si="100"/>
        <v/>
      </c>
      <c r="V945">
        <f t="shared" si="105"/>
        <v>0</v>
      </c>
      <c r="W945" t="str">
        <f t="shared" si="101"/>
        <v/>
      </c>
      <c r="AB945" s="28" t="str">
        <f t="shared" si="102"/>
        <v xml:space="preserve"> </v>
      </c>
      <c r="AE945" s="61" t="str">
        <f t="shared" si="103"/>
        <v/>
      </c>
      <c r="AF945" s="77" t="str">
        <f>_xlfn.XLOOKUP(AD945,menu!$K$2:$K$9,menu!$J$2:$J$9,"",1)</f>
        <v/>
      </c>
      <c r="AG945" s="80" t="str">
        <f>_xlfn.XLOOKUP(AH945,menu!$O$2:$O$9,menu!$H$2:$H$9,"")</f>
        <v/>
      </c>
      <c r="AI945" t="str">
        <f>_xlfn.LET(_xlpm.x,_xlfn.CONCAT(_xlfn.XLOOKUP(D945,beans!$A$2:$A$300,beans!$J$2:$J$300,"")," / ",_xlfn.XLOOKUP(D945,beans!$A$2:$A$300,beans!$K$2:$K$300,"")," - ",_xlfn.XLOOKUP(D945,beans!$A$2:$A$300,beans!$L$2:$L$300,"")),IF(_xlpm.x=" /  - ","",_xlpm.x))</f>
        <v/>
      </c>
    </row>
    <row r="946" spans="1:35" x14ac:dyDescent="0.3">
      <c r="A946">
        <v>929</v>
      </c>
      <c r="E946" t="str">
        <f>_xlfn.LET(_xlpm.x,_xlfn.XLOOKUP(D946,beans!$A$2:$A$300,beans!$H$2:$H$300,""),IF(_xlpm.x="","",_xlpm.x))</f>
        <v/>
      </c>
      <c r="F946" s="22" t="str">
        <f>_xlfn.XLOOKUP(E946,menu!$A$2:$A$37,menu!$B$2:$B$37,"")</f>
        <v/>
      </c>
      <c r="G946" t="str">
        <f>_xlfn.XLOOKUP(E946,menu!$A$2:$A$37,menu!$C$2:$C$37,"")</f>
        <v/>
      </c>
      <c r="H946" t="str">
        <f>_xlfn.LET(_xlpm.x,_xlfn.XLOOKUP(_xlfn.XLOOKUP(D946,beans!$A$2:$A$300,beans!$I$2:$I$300),menu!$E$2:$E$20,menu!$F$2:$F$20),IF(_xlpm.x="","",_xlpm.x))</f>
        <v/>
      </c>
      <c r="T946" s="68" t="str">
        <f t="shared" si="104"/>
        <v/>
      </c>
      <c r="U946" t="str">
        <f t="shared" si="100"/>
        <v/>
      </c>
      <c r="V946">
        <f t="shared" si="105"/>
        <v>0</v>
      </c>
      <c r="W946" t="str">
        <f t="shared" si="101"/>
        <v/>
      </c>
      <c r="AB946" s="28" t="str">
        <f t="shared" si="102"/>
        <v xml:space="preserve"> </v>
      </c>
      <c r="AE946" s="61" t="str">
        <f t="shared" si="103"/>
        <v/>
      </c>
      <c r="AF946" s="77" t="str">
        <f>_xlfn.XLOOKUP(AD946,menu!$K$2:$K$9,menu!$J$2:$J$9,"",1)</f>
        <v/>
      </c>
      <c r="AG946" s="80" t="str">
        <f>_xlfn.XLOOKUP(AH946,menu!$O$2:$O$9,menu!$H$2:$H$9,"")</f>
        <v/>
      </c>
      <c r="AI946" t="str">
        <f>_xlfn.LET(_xlpm.x,_xlfn.CONCAT(_xlfn.XLOOKUP(D946,beans!$A$2:$A$300,beans!$J$2:$J$300,"")," / ",_xlfn.XLOOKUP(D946,beans!$A$2:$A$300,beans!$K$2:$K$300,"")," - ",_xlfn.XLOOKUP(D946,beans!$A$2:$A$300,beans!$L$2:$L$300,"")),IF(_xlpm.x=" /  - ","",_xlpm.x))</f>
        <v/>
      </c>
    </row>
    <row r="947" spans="1:35" x14ac:dyDescent="0.3">
      <c r="A947">
        <v>930</v>
      </c>
      <c r="E947" t="str">
        <f>_xlfn.LET(_xlpm.x,_xlfn.XLOOKUP(D947,beans!$A$2:$A$300,beans!$H$2:$H$300,""),IF(_xlpm.x="","",_xlpm.x))</f>
        <v/>
      </c>
      <c r="F947" s="22" t="str">
        <f>_xlfn.XLOOKUP(E947,menu!$A$2:$A$37,menu!$B$2:$B$37,"")</f>
        <v/>
      </c>
      <c r="G947" t="str">
        <f>_xlfn.XLOOKUP(E947,menu!$A$2:$A$37,menu!$C$2:$C$37,"")</f>
        <v/>
      </c>
      <c r="H947" t="str">
        <f>_xlfn.LET(_xlpm.x,_xlfn.XLOOKUP(_xlfn.XLOOKUP(D947,beans!$A$2:$A$300,beans!$I$2:$I$300),menu!$E$2:$E$20,menu!$F$2:$F$20),IF(_xlpm.x="","",_xlpm.x))</f>
        <v/>
      </c>
      <c r="T947" s="68" t="str">
        <f t="shared" si="104"/>
        <v/>
      </c>
      <c r="U947" t="str">
        <f t="shared" si="100"/>
        <v/>
      </c>
      <c r="V947">
        <f t="shared" si="105"/>
        <v>0</v>
      </c>
      <c r="W947" t="str">
        <f t="shared" si="101"/>
        <v/>
      </c>
      <c r="AB947" s="28" t="str">
        <f t="shared" si="102"/>
        <v xml:space="preserve"> </v>
      </c>
      <c r="AE947" s="61" t="str">
        <f t="shared" si="103"/>
        <v/>
      </c>
      <c r="AF947" s="77" t="str">
        <f>_xlfn.XLOOKUP(AD947,menu!$K$2:$K$9,menu!$J$2:$J$9,"",1)</f>
        <v/>
      </c>
      <c r="AG947" s="80" t="str">
        <f>_xlfn.XLOOKUP(AH947,menu!$O$2:$O$9,menu!$H$2:$H$9,"")</f>
        <v/>
      </c>
      <c r="AI947" t="str">
        <f>_xlfn.LET(_xlpm.x,_xlfn.CONCAT(_xlfn.XLOOKUP(D947,beans!$A$2:$A$300,beans!$J$2:$J$300,"")," / ",_xlfn.XLOOKUP(D947,beans!$A$2:$A$300,beans!$K$2:$K$300,"")," - ",_xlfn.XLOOKUP(D947,beans!$A$2:$A$300,beans!$L$2:$L$300,"")),IF(_xlpm.x=" /  - ","",_xlpm.x))</f>
        <v/>
      </c>
    </row>
    <row r="948" spans="1:35" x14ac:dyDescent="0.3">
      <c r="A948">
        <v>931</v>
      </c>
      <c r="E948" t="str">
        <f>_xlfn.LET(_xlpm.x,_xlfn.XLOOKUP(D948,beans!$A$2:$A$300,beans!$H$2:$H$300,""),IF(_xlpm.x="","",_xlpm.x))</f>
        <v/>
      </c>
      <c r="F948" s="22" t="str">
        <f>_xlfn.XLOOKUP(E948,menu!$A$2:$A$37,menu!$B$2:$B$37,"")</f>
        <v/>
      </c>
      <c r="G948" t="str">
        <f>_xlfn.XLOOKUP(E948,menu!$A$2:$A$37,menu!$C$2:$C$37,"")</f>
        <v/>
      </c>
      <c r="H948" t="str">
        <f>_xlfn.LET(_xlpm.x,_xlfn.XLOOKUP(_xlfn.XLOOKUP(D948,beans!$A$2:$A$300,beans!$I$2:$I$300),menu!$E$2:$E$20,menu!$F$2:$F$20),IF(_xlpm.x="","",_xlpm.x))</f>
        <v/>
      </c>
      <c r="T948" s="68" t="str">
        <f t="shared" si="104"/>
        <v/>
      </c>
      <c r="U948" t="str">
        <f t="shared" si="100"/>
        <v/>
      </c>
      <c r="V948">
        <f t="shared" si="105"/>
        <v>0</v>
      </c>
      <c r="W948" t="str">
        <f t="shared" si="101"/>
        <v/>
      </c>
      <c r="AB948" s="28" t="str">
        <f t="shared" si="102"/>
        <v xml:space="preserve"> </v>
      </c>
      <c r="AE948" s="61" t="str">
        <f t="shared" si="103"/>
        <v/>
      </c>
      <c r="AF948" s="77" t="str">
        <f>_xlfn.XLOOKUP(AD948,menu!$K$2:$K$9,menu!$J$2:$J$9,"",1)</f>
        <v/>
      </c>
      <c r="AG948" s="80" t="str">
        <f>_xlfn.XLOOKUP(AH948,menu!$O$2:$O$9,menu!$H$2:$H$9,"")</f>
        <v/>
      </c>
      <c r="AI948" t="str">
        <f>_xlfn.LET(_xlpm.x,_xlfn.CONCAT(_xlfn.XLOOKUP(D948,beans!$A$2:$A$300,beans!$J$2:$J$300,"")," / ",_xlfn.XLOOKUP(D948,beans!$A$2:$A$300,beans!$K$2:$K$300,"")," - ",_xlfn.XLOOKUP(D948,beans!$A$2:$A$300,beans!$L$2:$L$300,"")),IF(_xlpm.x=" /  - ","",_xlpm.x))</f>
        <v/>
      </c>
    </row>
    <row r="949" spans="1:35" x14ac:dyDescent="0.3">
      <c r="A949">
        <v>932</v>
      </c>
      <c r="E949" t="str">
        <f>_xlfn.LET(_xlpm.x,_xlfn.XLOOKUP(D949,beans!$A$2:$A$300,beans!$H$2:$H$300,""),IF(_xlpm.x="","",_xlpm.x))</f>
        <v/>
      </c>
      <c r="F949" s="22" t="str">
        <f>_xlfn.XLOOKUP(E949,menu!$A$2:$A$37,menu!$B$2:$B$37,"")</f>
        <v/>
      </c>
      <c r="G949" t="str">
        <f>_xlfn.XLOOKUP(E949,menu!$A$2:$A$37,menu!$C$2:$C$37,"")</f>
        <v/>
      </c>
      <c r="H949" t="str">
        <f>_xlfn.LET(_xlpm.x,_xlfn.XLOOKUP(_xlfn.XLOOKUP(D949,beans!$A$2:$A$300,beans!$I$2:$I$300),menu!$E$2:$E$20,menu!$F$2:$F$20),IF(_xlpm.x="","",_xlpm.x))</f>
        <v/>
      </c>
      <c r="T949" s="68" t="str">
        <f t="shared" si="104"/>
        <v/>
      </c>
      <c r="U949" t="str">
        <f t="shared" si="100"/>
        <v/>
      </c>
      <c r="V949">
        <f t="shared" si="105"/>
        <v>0</v>
      </c>
      <c r="W949" t="str">
        <f t="shared" si="101"/>
        <v/>
      </c>
      <c r="AB949" s="28" t="str">
        <f t="shared" si="102"/>
        <v xml:space="preserve"> </v>
      </c>
      <c r="AE949" s="61" t="str">
        <f t="shared" si="103"/>
        <v/>
      </c>
      <c r="AF949" s="77" t="str">
        <f>_xlfn.XLOOKUP(AD949,menu!$K$2:$K$9,menu!$J$2:$J$9,"",1)</f>
        <v/>
      </c>
      <c r="AG949" s="80" t="str">
        <f>_xlfn.XLOOKUP(AH949,menu!$O$2:$O$9,menu!$H$2:$H$9,"")</f>
        <v/>
      </c>
      <c r="AI949" t="str">
        <f>_xlfn.LET(_xlpm.x,_xlfn.CONCAT(_xlfn.XLOOKUP(D949,beans!$A$2:$A$300,beans!$J$2:$J$300,"")," / ",_xlfn.XLOOKUP(D949,beans!$A$2:$A$300,beans!$K$2:$K$300,"")," - ",_xlfn.XLOOKUP(D949,beans!$A$2:$A$300,beans!$L$2:$L$300,"")),IF(_xlpm.x=" /  - ","",_xlpm.x))</f>
        <v/>
      </c>
    </row>
    <row r="950" spans="1:35" x14ac:dyDescent="0.3">
      <c r="A950">
        <v>933</v>
      </c>
      <c r="E950" t="str">
        <f>_xlfn.LET(_xlpm.x,_xlfn.XLOOKUP(D950,beans!$A$2:$A$300,beans!$H$2:$H$300,""),IF(_xlpm.x="","",_xlpm.x))</f>
        <v/>
      </c>
      <c r="F950" s="22" t="str">
        <f>_xlfn.XLOOKUP(E950,menu!$A$2:$A$37,menu!$B$2:$B$37,"")</f>
        <v/>
      </c>
      <c r="G950" t="str">
        <f>_xlfn.XLOOKUP(E950,menu!$A$2:$A$37,menu!$C$2:$C$37,"")</f>
        <v/>
      </c>
      <c r="H950" t="str">
        <f>_xlfn.LET(_xlpm.x,_xlfn.XLOOKUP(_xlfn.XLOOKUP(D950,beans!$A$2:$A$300,beans!$I$2:$I$300),menu!$E$2:$E$20,menu!$F$2:$F$20),IF(_xlpm.x="","",_xlpm.x))</f>
        <v/>
      </c>
      <c r="T950" s="68" t="str">
        <f t="shared" si="104"/>
        <v/>
      </c>
      <c r="U950" t="str">
        <f t="shared" si="100"/>
        <v/>
      </c>
      <c r="V950">
        <f t="shared" si="105"/>
        <v>0</v>
      </c>
      <c r="W950" t="str">
        <f t="shared" si="101"/>
        <v/>
      </c>
      <c r="AB950" s="28" t="str">
        <f t="shared" si="102"/>
        <v xml:space="preserve"> </v>
      </c>
      <c r="AE950" s="61" t="str">
        <f t="shared" si="103"/>
        <v/>
      </c>
      <c r="AF950" s="77" t="str">
        <f>_xlfn.XLOOKUP(AD950,menu!$K$2:$K$9,menu!$J$2:$J$9,"",1)</f>
        <v/>
      </c>
      <c r="AG950" s="80" t="str">
        <f>_xlfn.XLOOKUP(AH950,menu!$O$2:$O$9,menu!$H$2:$H$9,"")</f>
        <v/>
      </c>
      <c r="AI950" t="str">
        <f>_xlfn.LET(_xlpm.x,_xlfn.CONCAT(_xlfn.XLOOKUP(D950,beans!$A$2:$A$300,beans!$J$2:$J$300,"")," / ",_xlfn.XLOOKUP(D950,beans!$A$2:$A$300,beans!$K$2:$K$300,"")," - ",_xlfn.XLOOKUP(D950,beans!$A$2:$A$300,beans!$L$2:$L$300,"")),IF(_xlpm.x=" /  - ","",_xlpm.x))</f>
        <v/>
      </c>
    </row>
    <row r="951" spans="1:35" x14ac:dyDescent="0.3">
      <c r="A951">
        <v>934</v>
      </c>
      <c r="E951" t="str">
        <f>_xlfn.LET(_xlpm.x,_xlfn.XLOOKUP(D951,beans!$A$2:$A$300,beans!$H$2:$H$300,""),IF(_xlpm.x="","",_xlpm.x))</f>
        <v/>
      </c>
      <c r="F951" s="22" t="str">
        <f>_xlfn.XLOOKUP(E951,menu!$A$2:$A$37,menu!$B$2:$B$37,"")</f>
        <v/>
      </c>
      <c r="G951" t="str">
        <f>_xlfn.XLOOKUP(E951,menu!$A$2:$A$37,menu!$C$2:$C$37,"")</f>
        <v/>
      </c>
      <c r="H951" t="str">
        <f>_xlfn.LET(_xlpm.x,_xlfn.XLOOKUP(_xlfn.XLOOKUP(D951,beans!$A$2:$A$300,beans!$I$2:$I$300),menu!$E$2:$E$20,menu!$F$2:$F$20),IF(_xlpm.x="","",_xlpm.x))</f>
        <v/>
      </c>
      <c r="T951" s="68" t="str">
        <f t="shared" si="104"/>
        <v/>
      </c>
      <c r="U951" t="str">
        <f t="shared" si="100"/>
        <v/>
      </c>
      <c r="V951">
        <f t="shared" si="105"/>
        <v>0</v>
      </c>
      <c r="W951" t="str">
        <f t="shared" si="101"/>
        <v/>
      </c>
      <c r="AB951" s="28" t="str">
        <f t="shared" si="102"/>
        <v xml:space="preserve"> </v>
      </c>
      <c r="AE951" s="61" t="str">
        <f t="shared" si="103"/>
        <v/>
      </c>
      <c r="AF951" s="77" t="str">
        <f>_xlfn.XLOOKUP(AD951,menu!$K$2:$K$9,menu!$J$2:$J$9,"",1)</f>
        <v/>
      </c>
      <c r="AG951" s="80" t="str">
        <f>_xlfn.XLOOKUP(AH951,menu!$O$2:$O$9,menu!$H$2:$H$9,"")</f>
        <v/>
      </c>
      <c r="AI951" t="str">
        <f>_xlfn.LET(_xlpm.x,_xlfn.CONCAT(_xlfn.XLOOKUP(D951,beans!$A$2:$A$300,beans!$J$2:$J$300,"")," / ",_xlfn.XLOOKUP(D951,beans!$A$2:$A$300,beans!$K$2:$K$300,"")," - ",_xlfn.XLOOKUP(D951,beans!$A$2:$A$300,beans!$L$2:$L$300,"")),IF(_xlpm.x=" /  - ","",_xlpm.x))</f>
        <v/>
      </c>
    </row>
    <row r="952" spans="1:35" x14ac:dyDescent="0.3">
      <c r="A952">
        <v>935</v>
      </c>
      <c r="E952" t="str">
        <f>_xlfn.LET(_xlpm.x,_xlfn.XLOOKUP(D952,beans!$A$2:$A$300,beans!$H$2:$H$300,""),IF(_xlpm.x="","",_xlpm.x))</f>
        <v/>
      </c>
      <c r="F952" s="22" t="str">
        <f>_xlfn.XLOOKUP(E952,menu!$A$2:$A$37,menu!$B$2:$B$37,"")</f>
        <v/>
      </c>
      <c r="G952" t="str">
        <f>_xlfn.XLOOKUP(E952,menu!$A$2:$A$37,menu!$C$2:$C$37,"")</f>
        <v/>
      </c>
      <c r="H952" t="str">
        <f>_xlfn.LET(_xlpm.x,_xlfn.XLOOKUP(_xlfn.XLOOKUP(D952,beans!$A$2:$A$300,beans!$I$2:$I$300),menu!$E$2:$E$20,menu!$F$2:$F$20),IF(_xlpm.x="","",_xlpm.x))</f>
        <v/>
      </c>
      <c r="T952" s="68" t="str">
        <f t="shared" si="104"/>
        <v/>
      </c>
      <c r="U952" t="str">
        <f t="shared" si="100"/>
        <v/>
      </c>
      <c r="V952">
        <f t="shared" si="105"/>
        <v>0</v>
      </c>
      <c r="W952" t="str">
        <f t="shared" si="101"/>
        <v/>
      </c>
      <c r="AB952" s="28" t="str">
        <f t="shared" si="102"/>
        <v xml:space="preserve"> </v>
      </c>
      <c r="AE952" s="61" t="str">
        <f t="shared" si="103"/>
        <v/>
      </c>
      <c r="AF952" s="77" t="str">
        <f>_xlfn.XLOOKUP(AD952,menu!$K$2:$K$9,menu!$J$2:$J$9,"",1)</f>
        <v/>
      </c>
      <c r="AG952" s="80" t="str">
        <f>_xlfn.XLOOKUP(AH952,menu!$O$2:$O$9,menu!$H$2:$H$9,"")</f>
        <v/>
      </c>
      <c r="AI952" t="str">
        <f>_xlfn.LET(_xlpm.x,_xlfn.CONCAT(_xlfn.XLOOKUP(D952,beans!$A$2:$A$300,beans!$J$2:$J$300,"")," / ",_xlfn.XLOOKUP(D952,beans!$A$2:$A$300,beans!$K$2:$K$300,"")," - ",_xlfn.XLOOKUP(D952,beans!$A$2:$A$300,beans!$L$2:$L$300,"")),IF(_xlpm.x=" /  - ","",_xlpm.x))</f>
        <v/>
      </c>
    </row>
    <row r="953" spans="1:35" x14ac:dyDescent="0.3">
      <c r="A953">
        <v>936</v>
      </c>
      <c r="E953" t="str">
        <f>_xlfn.LET(_xlpm.x,_xlfn.XLOOKUP(D953,beans!$A$2:$A$300,beans!$H$2:$H$300,""),IF(_xlpm.x="","",_xlpm.x))</f>
        <v/>
      </c>
      <c r="F953" s="22" t="str">
        <f>_xlfn.XLOOKUP(E953,menu!$A$2:$A$37,menu!$B$2:$B$37,"")</f>
        <v/>
      </c>
      <c r="G953" t="str">
        <f>_xlfn.XLOOKUP(E953,menu!$A$2:$A$37,menu!$C$2:$C$37,"")</f>
        <v/>
      </c>
      <c r="H953" t="str">
        <f>_xlfn.LET(_xlpm.x,_xlfn.XLOOKUP(_xlfn.XLOOKUP(D953,beans!$A$2:$A$300,beans!$I$2:$I$300),menu!$E$2:$E$20,menu!$F$2:$F$20),IF(_xlpm.x="","",_xlpm.x))</f>
        <v/>
      </c>
      <c r="T953" s="68" t="str">
        <f t="shared" si="104"/>
        <v/>
      </c>
      <c r="U953" t="str">
        <f t="shared" si="100"/>
        <v/>
      </c>
      <c r="V953">
        <f t="shared" si="105"/>
        <v>0</v>
      </c>
      <c r="W953" t="str">
        <f t="shared" si="101"/>
        <v/>
      </c>
      <c r="AB953" s="28" t="str">
        <f t="shared" si="102"/>
        <v xml:space="preserve"> </v>
      </c>
      <c r="AE953" s="61" t="str">
        <f t="shared" si="103"/>
        <v/>
      </c>
      <c r="AF953" s="77" t="str">
        <f>_xlfn.XLOOKUP(AD953,menu!$K$2:$K$9,menu!$J$2:$J$9,"",1)</f>
        <v/>
      </c>
      <c r="AG953" s="80" t="str">
        <f>_xlfn.XLOOKUP(AH953,menu!$O$2:$O$9,menu!$H$2:$H$9,"")</f>
        <v/>
      </c>
      <c r="AI953" t="str">
        <f>_xlfn.LET(_xlpm.x,_xlfn.CONCAT(_xlfn.XLOOKUP(D953,beans!$A$2:$A$300,beans!$J$2:$J$300,"")," / ",_xlfn.XLOOKUP(D953,beans!$A$2:$A$300,beans!$K$2:$K$300,"")," - ",_xlfn.XLOOKUP(D953,beans!$A$2:$A$300,beans!$L$2:$L$300,"")),IF(_xlpm.x=" /  - ","",_xlpm.x))</f>
        <v/>
      </c>
    </row>
    <row r="954" spans="1:35" x14ac:dyDescent="0.3">
      <c r="A954">
        <v>937</v>
      </c>
      <c r="E954" t="str">
        <f>_xlfn.LET(_xlpm.x,_xlfn.XLOOKUP(D954,beans!$A$2:$A$300,beans!$H$2:$H$300,""),IF(_xlpm.x="","",_xlpm.x))</f>
        <v/>
      </c>
      <c r="F954" s="22" t="str">
        <f>_xlfn.XLOOKUP(E954,menu!$A$2:$A$37,menu!$B$2:$B$37,"")</f>
        <v/>
      </c>
      <c r="G954" t="str">
        <f>_xlfn.XLOOKUP(E954,menu!$A$2:$A$37,menu!$C$2:$C$37,"")</f>
        <v/>
      </c>
      <c r="H954" t="str">
        <f>_xlfn.LET(_xlpm.x,_xlfn.XLOOKUP(_xlfn.XLOOKUP(D954,beans!$A$2:$A$300,beans!$I$2:$I$300),menu!$E$2:$E$20,menu!$F$2:$F$20),IF(_xlpm.x="","",_xlpm.x))</f>
        <v/>
      </c>
      <c r="T954" s="68" t="str">
        <f t="shared" si="104"/>
        <v/>
      </c>
      <c r="U954" t="str">
        <f t="shared" si="100"/>
        <v/>
      </c>
      <c r="V954">
        <f t="shared" si="105"/>
        <v>0</v>
      </c>
      <c r="W954" t="str">
        <f t="shared" si="101"/>
        <v/>
      </c>
      <c r="AB954" s="28" t="str">
        <f t="shared" si="102"/>
        <v xml:space="preserve"> </v>
      </c>
      <c r="AE954" s="61" t="str">
        <f t="shared" si="103"/>
        <v/>
      </c>
      <c r="AF954" s="77" t="str">
        <f>_xlfn.XLOOKUP(AD954,menu!$K$2:$K$9,menu!$J$2:$J$9,"",1)</f>
        <v/>
      </c>
      <c r="AG954" s="80" t="str">
        <f>_xlfn.XLOOKUP(AH954,menu!$O$2:$O$9,menu!$H$2:$H$9,"")</f>
        <v/>
      </c>
      <c r="AI954" t="str">
        <f>_xlfn.LET(_xlpm.x,_xlfn.CONCAT(_xlfn.XLOOKUP(D954,beans!$A$2:$A$300,beans!$J$2:$J$300,"")," / ",_xlfn.XLOOKUP(D954,beans!$A$2:$A$300,beans!$K$2:$K$300,"")," - ",_xlfn.XLOOKUP(D954,beans!$A$2:$A$300,beans!$L$2:$L$300,"")),IF(_xlpm.x=" /  - ","",_xlpm.x))</f>
        <v/>
      </c>
    </row>
    <row r="955" spans="1:35" x14ac:dyDescent="0.3">
      <c r="A955">
        <v>938</v>
      </c>
      <c r="E955" t="str">
        <f>_xlfn.LET(_xlpm.x,_xlfn.XLOOKUP(D955,beans!$A$2:$A$300,beans!$H$2:$H$300,""),IF(_xlpm.x="","",_xlpm.x))</f>
        <v/>
      </c>
      <c r="F955" s="22" t="str">
        <f>_xlfn.XLOOKUP(E955,menu!$A$2:$A$37,menu!$B$2:$B$37,"")</f>
        <v/>
      </c>
      <c r="G955" t="str">
        <f>_xlfn.XLOOKUP(E955,menu!$A$2:$A$37,menu!$C$2:$C$37,"")</f>
        <v/>
      </c>
      <c r="H955" t="str">
        <f>_xlfn.LET(_xlpm.x,_xlfn.XLOOKUP(_xlfn.XLOOKUP(D955,beans!$A$2:$A$300,beans!$I$2:$I$300),menu!$E$2:$E$20,menu!$F$2:$F$20),IF(_xlpm.x="","",_xlpm.x))</f>
        <v/>
      </c>
      <c r="T955" s="68" t="str">
        <f t="shared" si="104"/>
        <v/>
      </c>
      <c r="U955" t="str">
        <f t="shared" si="100"/>
        <v/>
      </c>
      <c r="V955">
        <f t="shared" si="105"/>
        <v>0</v>
      </c>
      <c r="W955" t="str">
        <f t="shared" si="101"/>
        <v/>
      </c>
      <c r="AB955" s="28" t="str">
        <f t="shared" si="102"/>
        <v xml:space="preserve"> </v>
      </c>
      <c r="AE955" s="61" t="str">
        <f t="shared" si="103"/>
        <v/>
      </c>
      <c r="AF955" s="77" t="str">
        <f>_xlfn.XLOOKUP(AD955,menu!$K$2:$K$9,menu!$J$2:$J$9,"",1)</f>
        <v/>
      </c>
      <c r="AG955" s="80" t="str">
        <f>_xlfn.XLOOKUP(AH955,menu!$O$2:$O$9,menu!$H$2:$H$9,"")</f>
        <v/>
      </c>
      <c r="AI955" t="str">
        <f>_xlfn.LET(_xlpm.x,_xlfn.CONCAT(_xlfn.XLOOKUP(D955,beans!$A$2:$A$300,beans!$J$2:$J$300,"")," / ",_xlfn.XLOOKUP(D955,beans!$A$2:$A$300,beans!$K$2:$K$300,"")," - ",_xlfn.XLOOKUP(D955,beans!$A$2:$A$300,beans!$L$2:$L$300,"")),IF(_xlpm.x=" /  - ","",_xlpm.x))</f>
        <v/>
      </c>
    </row>
    <row r="956" spans="1:35" x14ac:dyDescent="0.3">
      <c r="A956">
        <v>939</v>
      </c>
      <c r="E956" t="str">
        <f>_xlfn.LET(_xlpm.x,_xlfn.XLOOKUP(D956,beans!$A$2:$A$300,beans!$H$2:$H$300,""),IF(_xlpm.x="","",_xlpm.x))</f>
        <v/>
      </c>
      <c r="F956" s="22" t="str">
        <f>_xlfn.XLOOKUP(E956,menu!$A$2:$A$37,menu!$B$2:$B$37,"")</f>
        <v/>
      </c>
      <c r="G956" t="str">
        <f>_xlfn.XLOOKUP(E956,menu!$A$2:$A$37,menu!$C$2:$C$37,"")</f>
        <v/>
      </c>
      <c r="H956" t="str">
        <f>_xlfn.LET(_xlpm.x,_xlfn.XLOOKUP(_xlfn.XLOOKUP(D956,beans!$A$2:$A$300,beans!$I$2:$I$300),menu!$E$2:$E$20,menu!$F$2:$F$20),IF(_xlpm.x="","",_xlpm.x))</f>
        <v/>
      </c>
      <c r="T956" s="68" t="str">
        <f t="shared" si="104"/>
        <v/>
      </c>
      <c r="U956" t="str">
        <f t="shared" si="100"/>
        <v/>
      </c>
      <c r="V956">
        <f t="shared" si="105"/>
        <v>0</v>
      </c>
      <c r="W956" t="str">
        <f t="shared" si="101"/>
        <v/>
      </c>
      <c r="AB956" s="28" t="str">
        <f t="shared" si="102"/>
        <v xml:space="preserve"> </v>
      </c>
      <c r="AE956" s="61" t="str">
        <f t="shared" si="103"/>
        <v/>
      </c>
      <c r="AF956" s="77" t="str">
        <f>_xlfn.XLOOKUP(AD956,menu!$K$2:$K$9,menu!$J$2:$J$9,"",1)</f>
        <v/>
      </c>
      <c r="AG956" s="80" t="str">
        <f>_xlfn.XLOOKUP(AH956,menu!$O$2:$O$9,menu!$H$2:$H$9,"")</f>
        <v/>
      </c>
      <c r="AI956" t="str">
        <f>_xlfn.LET(_xlpm.x,_xlfn.CONCAT(_xlfn.XLOOKUP(D956,beans!$A$2:$A$300,beans!$J$2:$J$300,"")," / ",_xlfn.XLOOKUP(D956,beans!$A$2:$A$300,beans!$K$2:$K$300,"")," - ",_xlfn.XLOOKUP(D956,beans!$A$2:$A$300,beans!$L$2:$L$300,"")),IF(_xlpm.x=" /  - ","",_xlpm.x))</f>
        <v/>
      </c>
    </row>
    <row r="957" spans="1:35" x14ac:dyDescent="0.3">
      <c r="A957">
        <v>940</v>
      </c>
      <c r="E957" t="str">
        <f>_xlfn.LET(_xlpm.x,_xlfn.XLOOKUP(D957,beans!$A$2:$A$300,beans!$H$2:$H$300,""),IF(_xlpm.x="","",_xlpm.x))</f>
        <v/>
      </c>
      <c r="F957" s="22" t="str">
        <f>_xlfn.XLOOKUP(E957,menu!$A$2:$A$37,menu!$B$2:$B$37,"")</f>
        <v/>
      </c>
      <c r="G957" t="str">
        <f>_xlfn.XLOOKUP(E957,menu!$A$2:$A$37,menu!$C$2:$C$37,"")</f>
        <v/>
      </c>
      <c r="H957" t="str">
        <f>_xlfn.LET(_xlpm.x,_xlfn.XLOOKUP(_xlfn.XLOOKUP(D957,beans!$A$2:$A$300,beans!$I$2:$I$300),menu!$E$2:$E$20,menu!$F$2:$F$20),IF(_xlpm.x="","",_xlpm.x))</f>
        <v/>
      </c>
      <c r="T957" s="68" t="str">
        <f t="shared" si="104"/>
        <v/>
      </c>
      <c r="U957" t="str">
        <f t="shared" si="100"/>
        <v/>
      </c>
      <c r="V957">
        <f t="shared" si="105"/>
        <v>0</v>
      </c>
      <c r="W957" t="str">
        <f t="shared" si="101"/>
        <v/>
      </c>
      <c r="AB957" s="28" t="str">
        <f t="shared" si="102"/>
        <v xml:space="preserve"> </v>
      </c>
      <c r="AE957" s="61" t="str">
        <f t="shared" si="103"/>
        <v/>
      </c>
      <c r="AF957" s="77" t="str">
        <f>_xlfn.XLOOKUP(AD957,menu!$K$2:$K$9,menu!$J$2:$J$9,"",1)</f>
        <v/>
      </c>
      <c r="AG957" s="80" t="str">
        <f>_xlfn.XLOOKUP(AH957,menu!$O$2:$O$9,menu!$H$2:$H$9,"")</f>
        <v/>
      </c>
      <c r="AI957" t="str">
        <f>_xlfn.LET(_xlpm.x,_xlfn.CONCAT(_xlfn.XLOOKUP(D957,beans!$A$2:$A$300,beans!$J$2:$J$300,"")," / ",_xlfn.XLOOKUP(D957,beans!$A$2:$A$300,beans!$K$2:$K$300,"")," - ",_xlfn.XLOOKUP(D957,beans!$A$2:$A$300,beans!$L$2:$L$300,"")),IF(_xlpm.x=" /  - ","",_xlpm.x))</f>
        <v/>
      </c>
    </row>
    <row r="958" spans="1:35" x14ac:dyDescent="0.3">
      <c r="A958">
        <v>941</v>
      </c>
      <c r="E958" t="str">
        <f>_xlfn.LET(_xlpm.x,_xlfn.XLOOKUP(D958,beans!$A$2:$A$300,beans!$H$2:$H$300,""),IF(_xlpm.x="","",_xlpm.x))</f>
        <v/>
      </c>
      <c r="F958" s="22" t="str">
        <f>_xlfn.XLOOKUP(E958,menu!$A$2:$A$37,menu!$B$2:$B$37,"")</f>
        <v/>
      </c>
      <c r="G958" t="str">
        <f>_xlfn.XLOOKUP(E958,menu!$A$2:$A$37,menu!$C$2:$C$37,"")</f>
        <v/>
      </c>
      <c r="H958" t="str">
        <f>_xlfn.LET(_xlpm.x,_xlfn.XLOOKUP(_xlfn.XLOOKUP(D958,beans!$A$2:$A$300,beans!$I$2:$I$300),menu!$E$2:$E$20,menu!$F$2:$F$20),IF(_xlpm.x="","",_xlpm.x))</f>
        <v/>
      </c>
      <c r="T958" s="68" t="str">
        <f t="shared" si="104"/>
        <v/>
      </c>
      <c r="U958" t="str">
        <f t="shared" si="100"/>
        <v/>
      </c>
      <c r="V958">
        <f t="shared" si="105"/>
        <v>0</v>
      </c>
      <c r="W958" t="str">
        <f t="shared" si="101"/>
        <v/>
      </c>
      <c r="AB958" s="28" t="str">
        <f t="shared" si="102"/>
        <v xml:space="preserve"> </v>
      </c>
      <c r="AE958" s="61" t="str">
        <f t="shared" si="103"/>
        <v/>
      </c>
      <c r="AF958" s="77" t="str">
        <f>_xlfn.XLOOKUP(AD958,menu!$K$2:$K$9,menu!$J$2:$J$9,"",1)</f>
        <v/>
      </c>
      <c r="AG958" s="80" t="str">
        <f>_xlfn.XLOOKUP(AH958,menu!$O$2:$O$9,menu!$H$2:$H$9,"")</f>
        <v/>
      </c>
      <c r="AI958" t="str">
        <f>_xlfn.LET(_xlpm.x,_xlfn.CONCAT(_xlfn.XLOOKUP(D958,beans!$A$2:$A$300,beans!$J$2:$J$300,"")," / ",_xlfn.XLOOKUP(D958,beans!$A$2:$A$300,beans!$K$2:$K$300,"")," - ",_xlfn.XLOOKUP(D958,beans!$A$2:$A$300,beans!$L$2:$L$300,"")),IF(_xlpm.x=" /  - ","",_xlpm.x))</f>
        <v/>
      </c>
    </row>
    <row r="959" spans="1:35" x14ac:dyDescent="0.3">
      <c r="A959">
        <v>942</v>
      </c>
      <c r="E959" t="str">
        <f>_xlfn.LET(_xlpm.x,_xlfn.XLOOKUP(D959,beans!$A$2:$A$300,beans!$H$2:$H$300,""),IF(_xlpm.x="","",_xlpm.x))</f>
        <v/>
      </c>
      <c r="F959" s="22" t="str">
        <f>_xlfn.XLOOKUP(E959,menu!$A$2:$A$37,menu!$B$2:$B$37,"")</f>
        <v/>
      </c>
      <c r="G959" t="str">
        <f>_xlfn.XLOOKUP(E959,menu!$A$2:$A$37,menu!$C$2:$C$37,"")</f>
        <v/>
      </c>
      <c r="H959" t="str">
        <f>_xlfn.LET(_xlpm.x,_xlfn.XLOOKUP(_xlfn.XLOOKUP(D959,beans!$A$2:$A$300,beans!$I$2:$I$300),menu!$E$2:$E$20,menu!$F$2:$F$20),IF(_xlpm.x="","",_xlpm.x))</f>
        <v/>
      </c>
      <c r="T959" s="68" t="str">
        <f t="shared" si="104"/>
        <v/>
      </c>
      <c r="U959" t="str">
        <f t="shared" si="100"/>
        <v/>
      </c>
      <c r="V959">
        <f t="shared" si="105"/>
        <v>0</v>
      </c>
      <c r="W959" t="str">
        <f t="shared" si="101"/>
        <v/>
      </c>
      <c r="AB959" s="28" t="str">
        <f t="shared" si="102"/>
        <v xml:space="preserve"> </v>
      </c>
      <c r="AE959" s="61" t="str">
        <f t="shared" si="103"/>
        <v/>
      </c>
      <c r="AF959" s="77" t="str">
        <f>_xlfn.XLOOKUP(AD959,menu!$K$2:$K$9,menu!$J$2:$J$9,"",1)</f>
        <v/>
      </c>
      <c r="AG959" s="80" t="str">
        <f>_xlfn.XLOOKUP(AH959,menu!$O$2:$O$9,menu!$H$2:$H$9,"")</f>
        <v/>
      </c>
      <c r="AI959" t="str">
        <f>_xlfn.LET(_xlpm.x,_xlfn.CONCAT(_xlfn.XLOOKUP(D959,beans!$A$2:$A$300,beans!$J$2:$J$300,"")," / ",_xlfn.XLOOKUP(D959,beans!$A$2:$A$300,beans!$K$2:$K$300,"")," - ",_xlfn.XLOOKUP(D959,beans!$A$2:$A$300,beans!$L$2:$L$300,"")),IF(_xlpm.x=" /  - ","",_xlpm.x))</f>
        <v/>
      </c>
    </row>
    <row r="960" spans="1:35" x14ac:dyDescent="0.3">
      <c r="A960">
        <v>943</v>
      </c>
      <c r="E960" t="str">
        <f>_xlfn.LET(_xlpm.x,_xlfn.XLOOKUP(D960,beans!$A$2:$A$300,beans!$H$2:$H$300,""),IF(_xlpm.x="","",_xlpm.x))</f>
        <v/>
      </c>
      <c r="F960" s="22" t="str">
        <f>_xlfn.XLOOKUP(E960,menu!$A$2:$A$37,menu!$B$2:$B$37,"")</f>
        <v/>
      </c>
      <c r="G960" t="str">
        <f>_xlfn.XLOOKUP(E960,menu!$A$2:$A$37,menu!$C$2:$C$37,"")</f>
        <v/>
      </c>
      <c r="H960" t="str">
        <f>_xlfn.LET(_xlpm.x,_xlfn.XLOOKUP(_xlfn.XLOOKUP(D960,beans!$A$2:$A$300,beans!$I$2:$I$300),menu!$E$2:$E$20,menu!$F$2:$F$20),IF(_xlpm.x="","",_xlpm.x))</f>
        <v/>
      </c>
      <c r="T960" s="68" t="str">
        <f t="shared" si="104"/>
        <v/>
      </c>
      <c r="U960" t="str">
        <f t="shared" si="100"/>
        <v/>
      </c>
      <c r="V960">
        <f t="shared" si="105"/>
        <v>0</v>
      </c>
      <c r="W960" t="str">
        <f t="shared" si="101"/>
        <v/>
      </c>
      <c r="AB960" s="28" t="str">
        <f t="shared" si="102"/>
        <v xml:space="preserve"> </v>
      </c>
      <c r="AE960" s="61" t="str">
        <f t="shared" si="103"/>
        <v/>
      </c>
      <c r="AF960" s="77" t="str">
        <f>_xlfn.XLOOKUP(AD960,menu!$K$2:$K$9,menu!$J$2:$J$9,"",1)</f>
        <v/>
      </c>
      <c r="AG960" s="80" t="str">
        <f>_xlfn.XLOOKUP(AH960,menu!$O$2:$O$9,menu!$H$2:$H$9,"")</f>
        <v/>
      </c>
      <c r="AI960" t="str">
        <f>_xlfn.LET(_xlpm.x,_xlfn.CONCAT(_xlfn.XLOOKUP(D960,beans!$A$2:$A$300,beans!$J$2:$J$300,"")," / ",_xlfn.XLOOKUP(D960,beans!$A$2:$A$300,beans!$K$2:$K$300,"")," - ",_xlfn.XLOOKUP(D960,beans!$A$2:$A$300,beans!$L$2:$L$300,"")),IF(_xlpm.x=" /  - ","",_xlpm.x))</f>
        <v/>
      </c>
    </row>
    <row r="961" spans="1:35" x14ac:dyDescent="0.3">
      <c r="A961">
        <v>944</v>
      </c>
      <c r="E961" t="str">
        <f>_xlfn.LET(_xlpm.x,_xlfn.XLOOKUP(D961,beans!$A$2:$A$300,beans!$H$2:$H$300,""),IF(_xlpm.x="","",_xlpm.x))</f>
        <v/>
      </c>
      <c r="F961" s="22" t="str">
        <f>_xlfn.XLOOKUP(E961,menu!$A$2:$A$37,menu!$B$2:$B$37,"")</f>
        <v/>
      </c>
      <c r="G961" t="str">
        <f>_xlfn.XLOOKUP(E961,menu!$A$2:$A$37,menu!$C$2:$C$37,"")</f>
        <v/>
      </c>
      <c r="H961" t="str">
        <f>_xlfn.LET(_xlpm.x,_xlfn.XLOOKUP(_xlfn.XLOOKUP(D961,beans!$A$2:$A$300,beans!$I$2:$I$300),menu!$E$2:$E$20,menu!$F$2:$F$20),IF(_xlpm.x="","",_xlpm.x))</f>
        <v/>
      </c>
      <c r="T961" s="68" t="str">
        <f t="shared" si="104"/>
        <v/>
      </c>
      <c r="U961" t="str">
        <f t="shared" si="100"/>
        <v/>
      </c>
      <c r="V961">
        <f t="shared" si="105"/>
        <v>0</v>
      </c>
      <c r="W961" t="str">
        <f t="shared" si="101"/>
        <v/>
      </c>
      <c r="AB961" s="28" t="str">
        <f t="shared" si="102"/>
        <v xml:space="preserve"> </v>
      </c>
      <c r="AE961" s="61" t="str">
        <f t="shared" si="103"/>
        <v/>
      </c>
      <c r="AF961" s="77" t="str">
        <f>_xlfn.XLOOKUP(AD961,menu!$K$2:$K$9,menu!$J$2:$J$9,"",1)</f>
        <v/>
      </c>
      <c r="AG961" s="80" t="str">
        <f>_xlfn.XLOOKUP(AH961,menu!$O$2:$O$9,menu!$H$2:$H$9,"")</f>
        <v/>
      </c>
      <c r="AI961" t="str">
        <f>_xlfn.LET(_xlpm.x,_xlfn.CONCAT(_xlfn.XLOOKUP(D961,beans!$A$2:$A$300,beans!$J$2:$J$300,"")," / ",_xlfn.XLOOKUP(D961,beans!$A$2:$A$300,beans!$K$2:$K$300,"")," - ",_xlfn.XLOOKUP(D961,beans!$A$2:$A$300,beans!$L$2:$L$300,"")),IF(_xlpm.x=" /  - ","",_xlpm.x))</f>
        <v/>
      </c>
    </row>
    <row r="962" spans="1:35" x14ac:dyDescent="0.3">
      <c r="A962">
        <v>945</v>
      </c>
      <c r="E962" t="str">
        <f>_xlfn.LET(_xlpm.x,_xlfn.XLOOKUP(D962,beans!$A$2:$A$300,beans!$H$2:$H$300,""),IF(_xlpm.x="","",_xlpm.x))</f>
        <v/>
      </c>
      <c r="F962" s="22" t="str">
        <f>_xlfn.XLOOKUP(E962,menu!$A$2:$A$37,menu!$B$2:$B$37,"")</f>
        <v/>
      </c>
      <c r="G962" t="str">
        <f>_xlfn.XLOOKUP(E962,menu!$A$2:$A$37,menu!$C$2:$C$37,"")</f>
        <v/>
      </c>
      <c r="H962" t="str">
        <f>_xlfn.LET(_xlpm.x,_xlfn.XLOOKUP(_xlfn.XLOOKUP(D962,beans!$A$2:$A$300,beans!$I$2:$I$300),menu!$E$2:$E$20,menu!$F$2:$F$20),IF(_xlpm.x="","",_xlpm.x))</f>
        <v/>
      </c>
      <c r="T962" s="68" t="str">
        <f t="shared" si="104"/>
        <v/>
      </c>
      <c r="U962" t="str">
        <f t="shared" ref="U962:U1025" si="106">_xlfn.LET(_xlpm.x,(TIMEVALUE("0:"&amp;SUBSTITUTE(R962,"'",":"))-TIMEVALUE("0:"&amp;SUBSTITUTE(P962,"'",":")))*86400,IF(_xlpm.x=0,"",ROUND(_xlpm.x,2)))</f>
        <v/>
      </c>
      <c r="V962">
        <f t="shared" si="105"/>
        <v>0</v>
      </c>
      <c r="W962" t="str">
        <f t="shared" ref="W962:W1025" si="107">_xlfn.LET(_xlpm.x,(TIMEVALUE("0:"&amp;SUBSTITUTE(R962,"'",":"))-TIMEVALUE("0:"&amp;SUBSTITUTE(P962,"'",":")))*86400,IF(_xlpm.x=0,"",ROUND(_xlpm.x/((TIMEVALUE("0:"&amp;SUBSTITUTE(R962,"'",":"))-TIMEVALUE("0:0:0"))*864),2)))</f>
        <v/>
      </c>
      <c r="AB962" s="28" t="str">
        <f t="shared" ref="AB962:AB1025" si="108">IF(Y962 &gt; 0,(B962-Y962)/B962," ")</f>
        <v xml:space="preserve"> </v>
      </c>
      <c r="AE962" s="61" t="str">
        <f t="shared" ref="AE962:AE1025" si="109">_xlfn.LET(_xlpm.x,AD962-AC962,IF(_xlpm.x=0,"",_xlpm.x))</f>
        <v/>
      </c>
      <c r="AF962" s="77" t="str">
        <f>_xlfn.XLOOKUP(AD962,menu!$K$2:$K$9,menu!$J$2:$J$9,"",1)</f>
        <v/>
      </c>
      <c r="AG962" s="80" t="str">
        <f>_xlfn.XLOOKUP(AH962,menu!$O$2:$O$9,menu!$H$2:$H$9,"")</f>
        <v/>
      </c>
      <c r="AI962" t="str">
        <f>_xlfn.LET(_xlpm.x,_xlfn.CONCAT(_xlfn.XLOOKUP(D962,beans!$A$2:$A$300,beans!$J$2:$J$300,"")," / ",_xlfn.XLOOKUP(D962,beans!$A$2:$A$300,beans!$K$2:$K$300,"")," - ",_xlfn.XLOOKUP(D962,beans!$A$2:$A$300,beans!$L$2:$L$300,"")),IF(_xlpm.x=" /  - ","",_xlpm.x))</f>
        <v/>
      </c>
    </row>
    <row r="963" spans="1:35" x14ac:dyDescent="0.3">
      <c r="A963">
        <v>946</v>
      </c>
      <c r="E963" t="str">
        <f>_xlfn.LET(_xlpm.x,_xlfn.XLOOKUP(D963,beans!$A$2:$A$300,beans!$H$2:$H$300,""),IF(_xlpm.x="","",_xlpm.x))</f>
        <v/>
      </c>
      <c r="F963" s="22" t="str">
        <f>_xlfn.XLOOKUP(E963,menu!$A$2:$A$37,menu!$B$2:$B$37,"")</f>
        <v/>
      </c>
      <c r="G963" t="str">
        <f>_xlfn.XLOOKUP(E963,menu!$A$2:$A$37,menu!$C$2:$C$37,"")</f>
        <v/>
      </c>
      <c r="H963" t="str">
        <f>_xlfn.LET(_xlpm.x,_xlfn.XLOOKUP(_xlfn.XLOOKUP(D963,beans!$A$2:$A$300,beans!$I$2:$I$300),menu!$E$2:$E$20,menu!$F$2:$F$20),IF(_xlpm.x="","",_xlpm.x))</f>
        <v/>
      </c>
      <c r="T963" s="68" t="str">
        <f t="shared" ref="T963:T1026" si="110">_xlfn.LET(_xlpm.x,S963-Q963,IF(_xlpm.x=0,"",_xlpm.x))</f>
        <v/>
      </c>
      <c r="U963" t="str">
        <f t="shared" si="106"/>
        <v/>
      </c>
      <c r="V963">
        <f t="shared" ref="V963:V1026" si="111">IFERROR(ROUND(T963*60/U963,1), )</f>
        <v>0</v>
      </c>
      <c r="W963" t="str">
        <f t="shared" si="107"/>
        <v/>
      </c>
      <c r="AB963" s="28" t="str">
        <f t="shared" si="108"/>
        <v xml:space="preserve"> </v>
      </c>
      <c r="AE963" s="61" t="str">
        <f t="shared" si="109"/>
        <v/>
      </c>
      <c r="AF963" s="77" t="str">
        <f>_xlfn.XLOOKUP(AD963,menu!$K$2:$K$9,menu!$J$2:$J$9,"",1)</f>
        <v/>
      </c>
      <c r="AG963" s="80" t="str">
        <f>_xlfn.XLOOKUP(AH963,menu!$O$2:$O$9,menu!$H$2:$H$9,"")</f>
        <v/>
      </c>
      <c r="AI963" t="str">
        <f>_xlfn.LET(_xlpm.x,_xlfn.CONCAT(_xlfn.XLOOKUP(D963,beans!$A$2:$A$300,beans!$J$2:$J$300,"")," / ",_xlfn.XLOOKUP(D963,beans!$A$2:$A$300,beans!$K$2:$K$300,"")," - ",_xlfn.XLOOKUP(D963,beans!$A$2:$A$300,beans!$L$2:$L$300,"")),IF(_xlpm.x=" /  - ","",_xlpm.x))</f>
        <v/>
      </c>
    </row>
    <row r="964" spans="1:35" x14ac:dyDescent="0.3">
      <c r="A964">
        <v>947</v>
      </c>
      <c r="E964" t="str">
        <f>_xlfn.LET(_xlpm.x,_xlfn.XLOOKUP(D964,beans!$A$2:$A$300,beans!$H$2:$H$300,""),IF(_xlpm.x="","",_xlpm.x))</f>
        <v/>
      </c>
      <c r="F964" s="22" t="str">
        <f>_xlfn.XLOOKUP(E964,menu!$A$2:$A$37,menu!$B$2:$B$37,"")</f>
        <v/>
      </c>
      <c r="G964" t="str">
        <f>_xlfn.XLOOKUP(E964,menu!$A$2:$A$37,menu!$C$2:$C$37,"")</f>
        <v/>
      </c>
      <c r="H964" t="str">
        <f>_xlfn.LET(_xlpm.x,_xlfn.XLOOKUP(_xlfn.XLOOKUP(D964,beans!$A$2:$A$300,beans!$I$2:$I$300),menu!$E$2:$E$20,menu!$F$2:$F$20),IF(_xlpm.x="","",_xlpm.x))</f>
        <v/>
      </c>
      <c r="T964" s="68" t="str">
        <f t="shared" si="110"/>
        <v/>
      </c>
      <c r="U964" t="str">
        <f t="shared" si="106"/>
        <v/>
      </c>
      <c r="V964">
        <f t="shared" si="111"/>
        <v>0</v>
      </c>
      <c r="W964" t="str">
        <f t="shared" si="107"/>
        <v/>
      </c>
      <c r="AB964" s="28" t="str">
        <f t="shared" si="108"/>
        <v xml:space="preserve"> </v>
      </c>
      <c r="AE964" s="61" t="str">
        <f t="shared" si="109"/>
        <v/>
      </c>
      <c r="AF964" s="77" t="str">
        <f>_xlfn.XLOOKUP(AD964,menu!$K$2:$K$9,menu!$J$2:$J$9,"",1)</f>
        <v/>
      </c>
      <c r="AG964" s="80" t="str">
        <f>_xlfn.XLOOKUP(AH964,menu!$O$2:$O$9,menu!$H$2:$H$9,"")</f>
        <v/>
      </c>
      <c r="AI964" t="str">
        <f>_xlfn.LET(_xlpm.x,_xlfn.CONCAT(_xlfn.XLOOKUP(D964,beans!$A$2:$A$300,beans!$J$2:$J$300,"")," / ",_xlfn.XLOOKUP(D964,beans!$A$2:$A$300,beans!$K$2:$K$300,"")," - ",_xlfn.XLOOKUP(D964,beans!$A$2:$A$300,beans!$L$2:$L$300,"")),IF(_xlpm.x=" /  - ","",_xlpm.x))</f>
        <v/>
      </c>
    </row>
    <row r="965" spans="1:35" x14ac:dyDescent="0.3">
      <c r="A965">
        <v>948</v>
      </c>
      <c r="E965" t="str">
        <f>_xlfn.LET(_xlpm.x,_xlfn.XLOOKUP(D965,beans!$A$2:$A$300,beans!$H$2:$H$300,""),IF(_xlpm.x="","",_xlpm.x))</f>
        <v/>
      </c>
      <c r="F965" s="22" t="str">
        <f>_xlfn.XLOOKUP(E965,menu!$A$2:$A$37,menu!$B$2:$B$37,"")</f>
        <v/>
      </c>
      <c r="G965" t="str">
        <f>_xlfn.XLOOKUP(E965,menu!$A$2:$A$37,menu!$C$2:$C$37,"")</f>
        <v/>
      </c>
      <c r="H965" t="str">
        <f>_xlfn.LET(_xlpm.x,_xlfn.XLOOKUP(_xlfn.XLOOKUP(D965,beans!$A$2:$A$300,beans!$I$2:$I$300),menu!$E$2:$E$20,menu!$F$2:$F$20),IF(_xlpm.x="","",_xlpm.x))</f>
        <v/>
      </c>
      <c r="T965" s="68" t="str">
        <f t="shared" si="110"/>
        <v/>
      </c>
      <c r="U965" t="str">
        <f t="shared" si="106"/>
        <v/>
      </c>
      <c r="V965">
        <f t="shared" si="111"/>
        <v>0</v>
      </c>
      <c r="W965" t="str">
        <f t="shared" si="107"/>
        <v/>
      </c>
      <c r="AB965" s="28" t="str">
        <f t="shared" si="108"/>
        <v xml:space="preserve"> </v>
      </c>
      <c r="AE965" s="61" t="str">
        <f t="shared" si="109"/>
        <v/>
      </c>
      <c r="AF965" s="77" t="str">
        <f>_xlfn.XLOOKUP(AD965,menu!$K$2:$K$9,menu!$J$2:$J$9,"",1)</f>
        <v/>
      </c>
      <c r="AG965" s="80" t="str">
        <f>_xlfn.XLOOKUP(AH965,menu!$O$2:$O$9,menu!$H$2:$H$9,"")</f>
        <v/>
      </c>
      <c r="AI965" t="str">
        <f>_xlfn.LET(_xlpm.x,_xlfn.CONCAT(_xlfn.XLOOKUP(D965,beans!$A$2:$A$300,beans!$J$2:$J$300,"")," / ",_xlfn.XLOOKUP(D965,beans!$A$2:$A$300,beans!$K$2:$K$300,"")," - ",_xlfn.XLOOKUP(D965,beans!$A$2:$A$300,beans!$L$2:$L$300,"")),IF(_xlpm.x=" /  - ","",_xlpm.x))</f>
        <v/>
      </c>
    </row>
    <row r="966" spans="1:35" x14ac:dyDescent="0.3">
      <c r="A966">
        <v>949</v>
      </c>
      <c r="E966" t="str">
        <f>_xlfn.LET(_xlpm.x,_xlfn.XLOOKUP(D966,beans!$A$2:$A$300,beans!$H$2:$H$300,""),IF(_xlpm.x="","",_xlpm.x))</f>
        <v/>
      </c>
      <c r="F966" s="22" t="str">
        <f>_xlfn.XLOOKUP(E966,menu!$A$2:$A$37,menu!$B$2:$B$37,"")</f>
        <v/>
      </c>
      <c r="G966" t="str">
        <f>_xlfn.XLOOKUP(E966,menu!$A$2:$A$37,menu!$C$2:$C$37,"")</f>
        <v/>
      </c>
      <c r="H966" t="str">
        <f>_xlfn.LET(_xlpm.x,_xlfn.XLOOKUP(_xlfn.XLOOKUP(D966,beans!$A$2:$A$300,beans!$I$2:$I$300),menu!$E$2:$E$20,menu!$F$2:$F$20),IF(_xlpm.x="","",_xlpm.x))</f>
        <v/>
      </c>
      <c r="T966" s="68" t="str">
        <f t="shared" si="110"/>
        <v/>
      </c>
      <c r="U966" t="str">
        <f t="shared" si="106"/>
        <v/>
      </c>
      <c r="V966">
        <f t="shared" si="111"/>
        <v>0</v>
      </c>
      <c r="W966" t="str">
        <f t="shared" si="107"/>
        <v/>
      </c>
      <c r="AB966" s="28" t="str">
        <f t="shared" si="108"/>
        <v xml:space="preserve"> </v>
      </c>
      <c r="AE966" s="61" t="str">
        <f t="shared" si="109"/>
        <v/>
      </c>
      <c r="AF966" s="77" t="str">
        <f>_xlfn.XLOOKUP(AD966,menu!$K$2:$K$9,menu!$J$2:$J$9,"",1)</f>
        <v/>
      </c>
      <c r="AG966" s="80" t="str">
        <f>_xlfn.XLOOKUP(AH966,menu!$O$2:$O$9,menu!$H$2:$H$9,"")</f>
        <v/>
      </c>
      <c r="AI966" t="str">
        <f>_xlfn.LET(_xlpm.x,_xlfn.CONCAT(_xlfn.XLOOKUP(D966,beans!$A$2:$A$300,beans!$J$2:$J$300,"")," / ",_xlfn.XLOOKUP(D966,beans!$A$2:$A$300,beans!$K$2:$K$300,"")," - ",_xlfn.XLOOKUP(D966,beans!$A$2:$A$300,beans!$L$2:$L$300,"")),IF(_xlpm.x=" /  - ","",_xlpm.x))</f>
        <v/>
      </c>
    </row>
    <row r="967" spans="1:35" x14ac:dyDescent="0.3">
      <c r="A967">
        <v>950</v>
      </c>
      <c r="E967" t="str">
        <f>_xlfn.LET(_xlpm.x,_xlfn.XLOOKUP(D967,beans!$A$2:$A$300,beans!$H$2:$H$300,""),IF(_xlpm.x="","",_xlpm.x))</f>
        <v/>
      </c>
      <c r="F967" s="22" t="str">
        <f>_xlfn.XLOOKUP(E967,menu!$A$2:$A$37,menu!$B$2:$B$37,"")</f>
        <v/>
      </c>
      <c r="G967" t="str">
        <f>_xlfn.XLOOKUP(E967,menu!$A$2:$A$37,menu!$C$2:$C$37,"")</f>
        <v/>
      </c>
      <c r="H967" t="str">
        <f>_xlfn.LET(_xlpm.x,_xlfn.XLOOKUP(_xlfn.XLOOKUP(D967,beans!$A$2:$A$300,beans!$I$2:$I$300),menu!$E$2:$E$20,menu!$F$2:$F$20),IF(_xlpm.x="","",_xlpm.x))</f>
        <v/>
      </c>
      <c r="T967" s="68" t="str">
        <f t="shared" si="110"/>
        <v/>
      </c>
      <c r="U967" t="str">
        <f t="shared" si="106"/>
        <v/>
      </c>
      <c r="V967">
        <f t="shared" si="111"/>
        <v>0</v>
      </c>
      <c r="W967" t="str">
        <f t="shared" si="107"/>
        <v/>
      </c>
      <c r="AB967" s="28" t="str">
        <f t="shared" si="108"/>
        <v xml:space="preserve"> </v>
      </c>
      <c r="AE967" s="61" t="str">
        <f t="shared" si="109"/>
        <v/>
      </c>
      <c r="AF967" s="77" t="str">
        <f>_xlfn.XLOOKUP(AD967,menu!$K$2:$K$9,menu!$J$2:$J$9,"",1)</f>
        <v/>
      </c>
      <c r="AG967" s="80" t="str">
        <f>_xlfn.XLOOKUP(AH967,menu!$O$2:$O$9,menu!$H$2:$H$9,"")</f>
        <v/>
      </c>
      <c r="AI967" t="str">
        <f>_xlfn.LET(_xlpm.x,_xlfn.CONCAT(_xlfn.XLOOKUP(D967,beans!$A$2:$A$300,beans!$J$2:$J$300,"")," / ",_xlfn.XLOOKUP(D967,beans!$A$2:$A$300,beans!$K$2:$K$300,"")," - ",_xlfn.XLOOKUP(D967,beans!$A$2:$A$300,beans!$L$2:$L$300,"")),IF(_xlpm.x=" /  - ","",_xlpm.x))</f>
        <v/>
      </c>
    </row>
    <row r="968" spans="1:35" x14ac:dyDescent="0.3">
      <c r="A968">
        <v>951</v>
      </c>
      <c r="E968" t="str">
        <f>_xlfn.LET(_xlpm.x,_xlfn.XLOOKUP(D968,beans!$A$2:$A$300,beans!$H$2:$H$300,""),IF(_xlpm.x="","",_xlpm.x))</f>
        <v/>
      </c>
      <c r="F968" s="22" t="str">
        <f>_xlfn.XLOOKUP(E968,menu!$A$2:$A$37,menu!$B$2:$B$37,"")</f>
        <v/>
      </c>
      <c r="G968" t="str">
        <f>_xlfn.XLOOKUP(E968,menu!$A$2:$A$37,menu!$C$2:$C$37,"")</f>
        <v/>
      </c>
      <c r="H968" t="str">
        <f>_xlfn.LET(_xlpm.x,_xlfn.XLOOKUP(_xlfn.XLOOKUP(D968,beans!$A$2:$A$300,beans!$I$2:$I$300),menu!$E$2:$E$20,menu!$F$2:$F$20),IF(_xlpm.x="","",_xlpm.x))</f>
        <v/>
      </c>
      <c r="T968" s="68" t="str">
        <f t="shared" si="110"/>
        <v/>
      </c>
      <c r="U968" t="str">
        <f t="shared" si="106"/>
        <v/>
      </c>
      <c r="V968">
        <f t="shared" si="111"/>
        <v>0</v>
      </c>
      <c r="W968" t="str">
        <f t="shared" si="107"/>
        <v/>
      </c>
      <c r="AB968" s="28" t="str">
        <f t="shared" si="108"/>
        <v xml:space="preserve"> </v>
      </c>
      <c r="AE968" s="61" t="str">
        <f t="shared" si="109"/>
        <v/>
      </c>
      <c r="AF968" s="77" t="str">
        <f>_xlfn.XLOOKUP(AD968,menu!$K$2:$K$9,menu!$J$2:$J$9,"",1)</f>
        <v/>
      </c>
      <c r="AG968" s="80" t="str">
        <f>_xlfn.XLOOKUP(AH968,menu!$O$2:$O$9,menu!$H$2:$H$9,"")</f>
        <v/>
      </c>
      <c r="AI968" t="str">
        <f>_xlfn.LET(_xlpm.x,_xlfn.CONCAT(_xlfn.XLOOKUP(D968,beans!$A$2:$A$300,beans!$J$2:$J$300,"")," / ",_xlfn.XLOOKUP(D968,beans!$A$2:$A$300,beans!$K$2:$K$300,"")," - ",_xlfn.XLOOKUP(D968,beans!$A$2:$A$300,beans!$L$2:$L$300,"")),IF(_xlpm.x=" /  - ","",_xlpm.x))</f>
        <v/>
      </c>
    </row>
    <row r="969" spans="1:35" x14ac:dyDescent="0.3">
      <c r="A969">
        <v>952</v>
      </c>
      <c r="E969" t="str">
        <f>_xlfn.LET(_xlpm.x,_xlfn.XLOOKUP(D969,beans!$A$2:$A$300,beans!$H$2:$H$300,""),IF(_xlpm.x="","",_xlpm.x))</f>
        <v/>
      </c>
      <c r="F969" s="22" t="str">
        <f>_xlfn.XLOOKUP(E969,menu!$A$2:$A$37,menu!$B$2:$B$37,"")</f>
        <v/>
      </c>
      <c r="G969" t="str">
        <f>_xlfn.XLOOKUP(E969,menu!$A$2:$A$37,menu!$C$2:$C$37,"")</f>
        <v/>
      </c>
      <c r="H969" t="str">
        <f>_xlfn.LET(_xlpm.x,_xlfn.XLOOKUP(_xlfn.XLOOKUP(D969,beans!$A$2:$A$300,beans!$I$2:$I$300),menu!$E$2:$E$20,menu!$F$2:$F$20),IF(_xlpm.x="","",_xlpm.x))</f>
        <v/>
      </c>
      <c r="T969" s="68" t="str">
        <f t="shared" si="110"/>
        <v/>
      </c>
      <c r="U969" t="str">
        <f t="shared" si="106"/>
        <v/>
      </c>
      <c r="V969">
        <f t="shared" si="111"/>
        <v>0</v>
      </c>
      <c r="W969" t="str">
        <f t="shared" si="107"/>
        <v/>
      </c>
      <c r="AB969" s="28" t="str">
        <f t="shared" si="108"/>
        <v xml:space="preserve"> </v>
      </c>
      <c r="AE969" s="61" t="str">
        <f t="shared" si="109"/>
        <v/>
      </c>
      <c r="AF969" s="77" t="str">
        <f>_xlfn.XLOOKUP(AD969,menu!$K$2:$K$9,menu!$J$2:$J$9,"",1)</f>
        <v/>
      </c>
      <c r="AG969" s="80" t="str">
        <f>_xlfn.XLOOKUP(AH969,menu!$O$2:$O$9,menu!$H$2:$H$9,"")</f>
        <v/>
      </c>
      <c r="AI969" t="str">
        <f>_xlfn.LET(_xlpm.x,_xlfn.CONCAT(_xlfn.XLOOKUP(D969,beans!$A$2:$A$300,beans!$J$2:$J$300,"")," / ",_xlfn.XLOOKUP(D969,beans!$A$2:$A$300,beans!$K$2:$K$300,"")," - ",_xlfn.XLOOKUP(D969,beans!$A$2:$A$300,beans!$L$2:$L$300,"")),IF(_xlpm.x=" /  - ","",_xlpm.x))</f>
        <v/>
      </c>
    </row>
    <row r="970" spans="1:35" x14ac:dyDescent="0.3">
      <c r="A970">
        <v>953</v>
      </c>
      <c r="E970" t="str">
        <f>_xlfn.LET(_xlpm.x,_xlfn.XLOOKUP(D970,beans!$A$2:$A$300,beans!$H$2:$H$300,""),IF(_xlpm.x="","",_xlpm.x))</f>
        <v/>
      </c>
      <c r="F970" s="22" t="str">
        <f>_xlfn.XLOOKUP(E970,menu!$A$2:$A$37,menu!$B$2:$B$37,"")</f>
        <v/>
      </c>
      <c r="G970" t="str">
        <f>_xlfn.XLOOKUP(E970,menu!$A$2:$A$37,menu!$C$2:$C$37,"")</f>
        <v/>
      </c>
      <c r="H970" t="str">
        <f>_xlfn.LET(_xlpm.x,_xlfn.XLOOKUP(_xlfn.XLOOKUP(D970,beans!$A$2:$A$300,beans!$I$2:$I$300),menu!$E$2:$E$20,menu!$F$2:$F$20),IF(_xlpm.x="","",_xlpm.x))</f>
        <v/>
      </c>
      <c r="T970" s="68" t="str">
        <f t="shared" si="110"/>
        <v/>
      </c>
      <c r="U970" t="str">
        <f t="shared" si="106"/>
        <v/>
      </c>
      <c r="V970">
        <f t="shared" si="111"/>
        <v>0</v>
      </c>
      <c r="W970" t="str">
        <f t="shared" si="107"/>
        <v/>
      </c>
      <c r="AB970" s="28" t="str">
        <f t="shared" si="108"/>
        <v xml:space="preserve"> </v>
      </c>
      <c r="AE970" s="61" t="str">
        <f t="shared" si="109"/>
        <v/>
      </c>
      <c r="AF970" s="77" t="str">
        <f>_xlfn.XLOOKUP(AD970,menu!$K$2:$K$9,menu!$J$2:$J$9,"",1)</f>
        <v/>
      </c>
      <c r="AG970" s="80" t="str">
        <f>_xlfn.XLOOKUP(AH970,menu!$O$2:$O$9,menu!$H$2:$H$9,"")</f>
        <v/>
      </c>
      <c r="AI970" t="str">
        <f>_xlfn.LET(_xlpm.x,_xlfn.CONCAT(_xlfn.XLOOKUP(D970,beans!$A$2:$A$300,beans!$J$2:$J$300,"")," / ",_xlfn.XLOOKUP(D970,beans!$A$2:$A$300,beans!$K$2:$K$300,"")," - ",_xlfn.XLOOKUP(D970,beans!$A$2:$A$300,beans!$L$2:$L$300,"")),IF(_xlpm.x=" /  - ","",_xlpm.x))</f>
        <v/>
      </c>
    </row>
    <row r="971" spans="1:35" x14ac:dyDescent="0.3">
      <c r="A971">
        <v>954</v>
      </c>
      <c r="E971" t="str">
        <f>_xlfn.LET(_xlpm.x,_xlfn.XLOOKUP(D971,beans!$A$2:$A$300,beans!$H$2:$H$300,""),IF(_xlpm.x="","",_xlpm.x))</f>
        <v/>
      </c>
      <c r="F971" s="22" t="str">
        <f>_xlfn.XLOOKUP(E971,menu!$A$2:$A$37,menu!$B$2:$B$37,"")</f>
        <v/>
      </c>
      <c r="G971" t="str">
        <f>_xlfn.XLOOKUP(E971,menu!$A$2:$A$37,menu!$C$2:$C$37,"")</f>
        <v/>
      </c>
      <c r="H971" t="str">
        <f>_xlfn.LET(_xlpm.x,_xlfn.XLOOKUP(_xlfn.XLOOKUP(D971,beans!$A$2:$A$300,beans!$I$2:$I$300),menu!$E$2:$E$20,menu!$F$2:$F$20),IF(_xlpm.x="","",_xlpm.x))</f>
        <v/>
      </c>
      <c r="T971" s="68" t="str">
        <f t="shared" si="110"/>
        <v/>
      </c>
      <c r="U971" t="str">
        <f t="shared" si="106"/>
        <v/>
      </c>
      <c r="V971">
        <f t="shared" si="111"/>
        <v>0</v>
      </c>
      <c r="W971" t="str">
        <f t="shared" si="107"/>
        <v/>
      </c>
      <c r="AB971" s="28" t="str">
        <f t="shared" si="108"/>
        <v xml:space="preserve"> </v>
      </c>
      <c r="AE971" s="61" t="str">
        <f t="shared" si="109"/>
        <v/>
      </c>
      <c r="AF971" s="77" t="str">
        <f>_xlfn.XLOOKUP(AD971,menu!$K$2:$K$9,menu!$J$2:$J$9,"",1)</f>
        <v/>
      </c>
      <c r="AG971" s="80" t="str">
        <f>_xlfn.XLOOKUP(AH971,menu!$O$2:$O$9,menu!$H$2:$H$9,"")</f>
        <v/>
      </c>
      <c r="AI971" t="str">
        <f>_xlfn.LET(_xlpm.x,_xlfn.CONCAT(_xlfn.XLOOKUP(D971,beans!$A$2:$A$300,beans!$J$2:$J$300,"")," / ",_xlfn.XLOOKUP(D971,beans!$A$2:$A$300,beans!$K$2:$K$300,"")," - ",_xlfn.XLOOKUP(D971,beans!$A$2:$A$300,beans!$L$2:$L$300,"")),IF(_xlpm.x=" /  - ","",_xlpm.x))</f>
        <v/>
      </c>
    </row>
    <row r="972" spans="1:35" x14ac:dyDescent="0.3">
      <c r="A972">
        <v>955</v>
      </c>
      <c r="E972" t="str">
        <f>_xlfn.LET(_xlpm.x,_xlfn.XLOOKUP(D972,beans!$A$2:$A$300,beans!$H$2:$H$300,""),IF(_xlpm.x="","",_xlpm.x))</f>
        <v/>
      </c>
      <c r="F972" s="22" t="str">
        <f>_xlfn.XLOOKUP(E972,menu!$A$2:$A$37,menu!$B$2:$B$37,"")</f>
        <v/>
      </c>
      <c r="G972" t="str">
        <f>_xlfn.XLOOKUP(E972,menu!$A$2:$A$37,menu!$C$2:$C$37,"")</f>
        <v/>
      </c>
      <c r="H972" t="str">
        <f>_xlfn.LET(_xlpm.x,_xlfn.XLOOKUP(_xlfn.XLOOKUP(D972,beans!$A$2:$A$300,beans!$I$2:$I$300),menu!$E$2:$E$20,menu!$F$2:$F$20),IF(_xlpm.x="","",_xlpm.x))</f>
        <v/>
      </c>
      <c r="T972" s="68" t="str">
        <f t="shared" si="110"/>
        <v/>
      </c>
      <c r="U972" t="str">
        <f t="shared" si="106"/>
        <v/>
      </c>
      <c r="V972">
        <f t="shared" si="111"/>
        <v>0</v>
      </c>
      <c r="W972" t="str">
        <f t="shared" si="107"/>
        <v/>
      </c>
      <c r="AB972" s="28" t="str">
        <f t="shared" si="108"/>
        <v xml:space="preserve"> </v>
      </c>
      <c r="AE972" s="61" t="str">
        <f t="shared" si="109"/>
        <v/>
      </c>
      <c r="AF972" s="77" t="str">
        <f>_xlfn.XLOOKUP(AD972,menu!$K$2:$K$9,menu!$J$2:$J$9,"",1)</f>
        <v/>
      </c>
      <c r="AG972" s="80" t="str">
        <f>_xlfn.XLOOKUP(AH972,menu!$O$2:$O$9,menu!$H$2:$H$9,"")</f>
        <v/>
      </c>
      <c r="AI972" t="str">
        <f>_xlfn.LET(_xlpm.x,_xlfn.CONCAT(_xlfn.XLOOKUP(D972,beans!$A$2:$A$300,beans!$J$2:$J$300,"")," / ",_xlfn.XLOOKUP(D972,beans!$A$2:$A$300,beans!$K$2:$K$300,"")," - ",_xlfn.XLOOKUP(D972,beans!$A$2:$A$300,beans!$L$2:$L$300,"")),IF(_xlpm.x=" /  - ","",_xlpm.x))</f>
        <v/>
      </c>
    </row>
    <row r="973" spans="1:35" x14ac:dyDescent="0.3">
      <c r="A973">
        <v>956</v>
      </c>
      <c r="E973" t="str">
        <f>_xlfn.LET(_xlpm.x,_xlfn.XLOOKUP(D973,beans!$A$2:$A$300,beans!$H$2:$H$300,""),IF(_xlpm.x="","",_xlpm.x))</f>
        <v/>
      </c>
      <c r="F973" s="22" t="str">
        <f>_xlfn.XLOOKUP(E973,menu!$A$2:$A$37,menu!$B$2:$B$37,"")</f>
        <v/>
      </c>
      <c r="G973" t="str">
        <f>_xlfn.XLOOKUP(E973,menu!$A$2:$A$37,menu!$C$2:$C$37,"")</f>
        <v/>
      </c>
      <c r="H973" t="str">
        <f>_xlfn.LET(_xlpm.x,_xlfn.XLOOKUP(_xlfn.XLOOKUP(D973,beans!$A$2:$A$300,beans!$I$2:$I$300),menu!$E$2:$E$20,menu!$F$2:$F$20),IF(_xlpm.x="","",_xlpm.x))</f>
        <v/>
      </c>
      <c r="T973" s="68" t="str">
        <f t="shared" si="110"/>
        <v/>
      </c>
      <c r="U973" t="str">
        <f t="shared" si="106"/>
        <v/>
      </c>
      <c r="V973">
        <f t="shared" si="111"/>
        <v>0</v>
      </c>
      <c r="W973" t="str">
        <f t="shared" si="107"/>
        <v/>
      </c>
      <c r="AB973" s="28" t="str">
        <f t="shared" si="108"/>
        <v xml:space="preserve"> </v>
      </c>
      <c r="AE973" s="61" t="str">
        <f t="shared" si="109"/>
        <v/>
      </c>
      <c r="AF973" s="77" t="str">
        <f>_xlfn.XLOOKUP(AD973,menu!$K$2:$K$9,menu!$J$2:$J$9,"",1)</f>
        <v/>
      </c>
      <c r="AG973" s="80" t="str">
        <f>_xlfn.XLOOKUP(AH973,menu!$O$2:$O$9,menu!$H$2:$H$9,"")</f>
        <v/>
      </c>
      <c r="AI973" t="str">
        <f>_xlfn.LET(_xlpm.x,_xlfn.CONCAT(_xlfn.XLOOKUP(D973,beans!$A$2:$A$300,beans!$J$2:$J$300,"")," / ",_xlfn.XLOOKUP(D973,beans!$A$2:$A$300,beans!$K$2:$K$300,"")," - ",_xlfn.XLOOKUP(D973,beans!$A$2:$A$300,beans!$L$2:$L$300,"")),IF(_xlpm.x=" /  - ","",_xlpm.x))</f>
        <v/>
      </c>
    </row>
    <row r="974" spans="1:35" x14ac:dyDescent="0.3">
      <c r="A974">
        <v>957</v>
      </c>
      <c r="E974" t="str">
        <f>_xlfn.LET(_xlpm.x,_xlfn.XLOOKUP(D974,beans!$A$2:$A$300,beans!$H$2:$H$300,""),IF(_xlpm.x="","",_xlpm.x))</f>
        <v/>
      </c>
      <c r="F974" s="22" t="str">
        <f>_xlfn.XLOOKUP(E974,menu!$A$2:$A$37,menu!$B$2:$B$37,"")</f>
        <v/>
      </c>
      <c r="G974" t="str">
        <f>_xlfn.XLOOKUP(E974,menu!$A$2:$A$37,menu!$C$2:$C$37,"")</f>
        <v/>
      </c>
      <c r="H974" t="str">
        <f>_xlfn.LET(_xlpm.x,_xlfn.XLOOKUP(_xlfn.XLOOKUP(D974,beans!$A$2:$A$300,beans!$I$2:$I$300),menu!$E$2:$E$20,menu!$F$2:$F$20),IF(_xlpm.x="","",_xlpm.x))</f>
        <v/>
      </c>
      <c r="T974" s="68" t="str">
        <f t="shared" si="110"/>
        <v/>
      </c>
      <c r="U974" t="str">
        <f t="shared" si="106"/>
        <v/>
      </c>
      <c r="V974">
        <f t="shared" si="111"/>
        <v>0</v>
      </c>
      <c r="W974" t="str">
        <f t="shared" si="107"/>
        <v/>
      </c>
      <c r="AB974" s="28" t="str">
        <f t="shared" si="108"/>
        <v xml:space="preserve"> </v>
      </c>
      <c r="AE974" s="61" t="str">
        <f t="shared" si="109"/>
        <v/>
      </c>
      <c r="AF974" s="77" t="str">
        <f>_xlfn.XLOOKUP(AD974,menu!$K$2:$K$9,menu!$J$2:$J$9,"",1)</f>
        <v/>
      </c>
      <c r="AG974" s="80" t="str">
        <f>_xlfn.XLOOKUP(AH974,menu!$O$2:$O$9,menu!$H$2:$H$9,"")</f>
        <v/>
      </c>
      <c r="AI974" t="str">
        <f>_xlfn.LET(_xlpm.x,_xlfn.CONCAT(_xlfn.XLOOKUP(D974,beans!$A$2:$A$300,beans!$J$2:$J$300,"")," / ",_xlfn.XLOOKUP(D974,beans!$A$2:$A$300,beans!$K$2:$K$300,"")," - ",_xlfn.XLOOKUP(D974,beans!$A$2:$A$300,beans!$L$2:$L$300,"")),IF(_xlpm.x=" /  - ","",_xlpm.x))</f>
        <v/>
      </c>
    </row>
    <row r="975" spans="1:35" x14ac:dyDescent="0.3">
      <c r="A975">
        <v>958</v>
      </c>
      <c r="E975" t="str">
        <f>_xlfn.LET(_xlpm.x,_xlfn.XLOOKUP(D975,beans!$A$2:$A$300,beans!$H$2:$H$300,""),IF(_xlpm.x="","",_xlpm.x))</f>
        <v/>
      </c>
      <c r="F975" s="22" t="str">
        <f>_xlfn.XLOOKUP(E975,menu!$A$2:$A$37,menu!$B$2:$B$37,"")</f>
        <v/>
      </c>
      <c r="G975" t="str">
        <f>_xlfn.XLOOKUP(E975,menu!$A$2:$A$37,menu!$C$2:$C$37,"")</f>
        <v/>
      </c>
      <c r="H975" t="str">
        <f>_xlfn.LET(_xlpm.x,_xlfn.XLOOKUP(_xlfn.XLOOKUP(D975,beans!$A$2:$A$300,beans!$I$2:$I$300),menu!$E$2:$E$20,menu!$F$2:$F$20),IF(_xlpm.x="","",_xlpm.x))</f>
        <v/>
      </c>
      <c r="T975" s="68" t="str">
        <f t="shared" si="110"/>
        <v/>
      </c>
      <c r="U975" t="str">
        <f t="shared" si="106"/>
        <v/>
      </c>
      <c r="V975">
        <f t="shared" si="111"/>
        <v>0</v>
      </c>
      <c r="W975" t="str">
        <f t="shared" si="107"/>
        <v/>
      </c>
      <c r="AB975" s="28" t="str">
        <f t="shared" si="108"/>
        <v xml:space="preserve"> </v>
      </c>
      <c r="AE975" s="61" t="str">
        <f t="shared" si="109"/>
        <v/>
      </c>
      <c r="AF975" s="77" t="str">
        <f>_xlfn.XLOOKUP(AD975,menu!$K$2:$K$9,menu!$J$2:$J$9,"",1)</f>
        <v/>
      </c>
      <c r="AG975" s="80" t="str">
        <f>_xlfn.XLOOKUP(AH975,menu!$O$2:$O$9,menu!$H$2:$H$9,"")</f>
        <v/>
      </c>
      <c r="AI975" t="str">
        <f>_xlfn.LET(_xlpm.x,_xlfn.CONCAT(_xlfn.XLOOKUP(D975,beans!$A$2:$A$300,beans!$J$2:$J$300,"")," / ",_xlfn.XLOOKUP(D975,beans!$A$2:$A$300,beans!$K$2:$K$300,"")," - ",_xlfn.XLOOKUP(D975,beans!$A$2:$A$300,beans!$L$2:$L$300,"")),IF(_xlpm.x=" /  - ","",_xlpm.x))</f>
        <v/>
      </c>
    </row>
    <row r="976" spans="1:35" x14ac:dyDescent="0.3">
      <c r="A976">
        <v>959</v>
      </c>
      <c r="E976" t="str">
        <f>_xlfn.LET(_xlpm.x,_xlfn.XLOOKUP(D976,beans!$A$2:$A$300,beans!$H$2:$H$300,""),IF(_xlpm.x="","",_xlpm.x))</f>
        <v/>
      </c>
      <c r="F976" s="22" t="str">
        <f>_xlfn.XLOOKUP(E976,menu!$A$2:$A$37,menu!$B$2:$B$37,"")</f>
        <v/>
      </c>
      <c r="G976" t="str">
        <f>_xlfn.XLOOKUP(E976,menu!$A$2:$A$37,menu!$C$2:$C$37,"")</f>
        <v/>
      </c>
      <c r="H976" t="str">
        <f>_xlfn.LET(_xlpm.x,_xlfn.XLOOKUP(_xlfn.XLOOKUP(D976,beans!$A$2:$A$300,beans!$I$2:$I$300),menu!$E$2:$E$20,menu!$F$2:$F$20),IF(_xlpm.x="","",_xlpm.x))</f>
        <v/>
      </c>
      <c r="T976" s="68" t="str">
        <f t="shared" si="110"/>
        <v/>
      </c>
      <c r="U976" t="str">
        <f t="shared" si="106"/>
        <v/>
      </c>
      <c r="V976">
        <f t="shared" si="111"/>
        <v>0</v>
      </c>
      <c r="W976" t="str">
        <f t="shared" si="107"/>
        <v/>
      </c>
      <c r="AB976" s="28" t="str">
        <f t="shared" si="108"/>
        <v xml:space="preserve"> </v>
      </c>
      <c r="AE976" s="61" t="str">
        <f t="shared" si="109"/>
        <v/>
      </c>
      <c r="AF976" s="77" t="str">
        <f>_xlfn.XLOOKUP(AD976,menu!$K$2:$K$9,menu!$J$2:$J$9,"",1)</f>
        <v/>
      </c>
      <c r="AG976" s="80" t="str">
        <f>_xlfn.XLOOKUP(AH976,menu!$O$2:$O$9,menu!$H$2:$H$9,"")</f>
        <v/>
      </c>
      <c r="AI976" t="str">
        <f>_xlfn.LET(_xlpm.x,_xlfn.CONCAT(_xlfn.XLOOKUP(D976,beans!$A$2:$A$300,beans!$J$2:$J$300,"")," / ",_xlfn.XLOOKUP(D976,beans!$A$2:$A$300,beans!$K$2:$K$300,"")," - ",_xlfn.XLOOKUP(D976,beans!$A$2:$A$300,beans!$L$2:$L$300,"")),IF(_xlpm.x=" /  - ","",_xlpm.x))</f>
        <v/>
      </c>
    </row>
    <row r="977" spans="1:35" x14ac:dyDescent="0.3">
      <c r="A977">
        <v>960</v>
      </c>
      <c r="E977" t="str">
        <f>_xlfn.LET(_xlpm.x,_xlfn.XLOOKUP(D977,beans!$A$2:$A$300,beans!$H$2:$H$300,""),IF(_xlpm.x="","",_xlpm.x))</f>
        <v/>
      </c>
      <c r="F977" s="22" t="str">
        <f>_xlfn.XLOOKUP(E977,menu!$A$2:$A$37,menu!$B$2:$B$37,"")</f>
        <v/>
      </c>
      <c r="G977" t="str">
        <f>_xlfn.XLOOKUP(E977,menu!$A$2:$A$37,menu!$C$2:$C$37,"")</f>
        <v/>
      </c>
      <c r="H977" t="str">
        <f>_xlfn.LET(_xlpm.x,_xlfn.XLOOKUP(_xlfn.XLOOKUP(D977,beans!$A$2:$A$300,beans!$I$2:$I$300),menu!$E$2:$E$20,menu!$F$2:$F$20),IF(_xlpm.x="","",_xlpm.x))</f>
        <v/>
      </c>
      <c r="T977" s="68" t="str">
        <f t="shared" si="110"/>
        <v/>
      </c>
      <c r="U977" t="str">
        <f t="shared" si="106"/>
        <v/>
      </c>
      <c r="V977">
        <f t="shared" si="111"/>
        <v>0</v>
      </c>
      <c r="W977" t="str">
        <f t="shared" si="107"/>
        <v/>
      </c>
      <c r="AB977" s="28" t="str">
        <f t="shared" si="108"/>
        <v xml:space="preserve"> </v>
      </c>
      <c r="AE977" s="61" t="str">
        <f t="shared" si="109"/>
        <v/>
      </c>
      <c r="AF977" s="77" t="str">
        <f>_xlfn.XLOOKUP(AD977,menu!$K$2:$K$9,menu!$J$2:$J$9,"",1)</f>
        <v/>
      </c>
      <c r="AG977" s="80" t="str">
        <f>_xlfn.XLOOKUP(AH977,menu!$O$2:$O$9,menu!$H$2:$H$9,"")</f>
        <v/>
      </c>
      <c r="AI977" t="str">
        <f>_xlfn.LET(_xlpm.x,_xlfn.CONCAT(_xlfn.XLOOKUP(D977,beans!$A$2:$A$300,beans!$J$2:$J$300,"")," / ",_xlfn.XLOOKUP(D977,beans!$A$2:$A$300,beans!$K$2:$K$300,"")," - ",_xlfn.XLOOKUP(D977,beans!$A$2:$A$300,beans!$L$2:$L$300,"")),IF(_xlpm.x=" /  - ","",_xlpm.x))</f>
        <v/>
      </c>
    </row>
    <row r="978" spans="1:35" x14ac:dyDescent="0.3">
      <c r="A978">
        <v>961</v>
      </c>
      <c r="E978" t="str">
        <f>_xlfn.LET(_xlpm.x,_xlfn.XLOOKUP(D978,beans!$A$2:$A$300,beans!$H$2:$H$300,""),IF(_xlpm.x="","",_xlpm.x))</f>
        <v/>
      </c>
      <c r="F978" s="22" t="str">
        <f>_xlfn.XLOOKUP(E978,menu!$A$2:$A$37,menu!$B$2:$B$37,"")</f>
        <v/>
      </c>
      <c r="G978" t="str">
        <f>_xlfn.XLOOKUP(E978,menu!$A$2:$A$37,menu!$C$2:$C$37,"")</f>
        <v/>
      </c>
      <c r="H978" t="str">
        <f>_xlfn.LET(_xlpm.x,_xlfn.XLOOKUP(_xlfn.XLOOKUP(D978,beans!$A$2:$A$300,beans!$I$2:$I$300),menu!$E$2:$E$20,menu!$F$2:$F$20),IF(_xlpm.x="","",_xlpm.x))</f>
        <v/>
      </c>
      <c r="T978" s="68" t="str">
        <f t="shared" si="110"/>
        <v/>
      </c>
      <c r="U978" t="str">
        <f t="shared" si="106"/>
        <v/>
      </c>
      <c r="V978">
        <f t="shared" si="111"/>
        <v>0</v>
      </c>
      <c r="W978" t="str">
        <f t="shared" si="107"/>
        <v/>
      </c>
      <c r="AB978" s="28" t="str">
        <f t="shared" si="108"/>
        <v xml:space="preserve"> </v>
      </c>
      <c r="AE978" s="61" t="str">
        <f t="shared" si="109"/>
        <v/>
      </c>
      <c r="AF978" s="77" t="str">
        <f>_xlfn.XLOOKUP(AD978,menu!$K$2:$K$9,menu!$J$2:$J$9,"",1)</f>
        <v/>
      </c>
      <c r="AG978" s="80" t="str">
        <f>_xlfn.XLOOKUP(AH978,menu!$O$2:$O$9,menu!$H$2:$H$9,"")</f>
        <v/>
      </c>
      <c r="AI978" t="str">
        <f>_xlfn.LET(_xlpm.x,_xlfn.CONCAT(_xlfn.XLOOKUP(D978,beans!$A$2:$A$300,beans!$J$2:$J$300,"")," / ",_xlfn.XLOOKUP(D978,beans!$A$2:$A$300,beans!$K$2:$K$300,"")," - ",_xlfn.XLOOKUP(D978,beans!$A$2:$A$300,beans!$L$2:$L$300,"")),IF(_xlpm.x=" /  - ","",_xlpm.x))</f>
        <v/>
      </c>
    </row>
    <row r="979" spans="1:35" x14ac:dyDescent="0.3">
      <c r="A979">
        <v>962</v>
      </c>
      <c r="E979" t="str">
        <f>_xlfn.LET(_xlpm.x,_xlfn.XLOOKUP(D979,beans!$A$2:$A$300,beans!$H$2:$H$300,""),IF(_xlpm.x="","",_xlpm.x))</f>
        <v/>
      </c>
      <c r="F979" s="22" t="str">
        <f>_xlfn.XLOOKUP(E979,menu!$A$2:$A$37,menu!$B$2:$B$37,"")</f>
        <v/>
      </c>
      <c r="G979" t="str">
        <f>_xlfn.XLOOKUP(E979,menu!$A$2:$A$37,menu!$C$2:$C$37,"")</f>
        <v/>
      </c>
      <c r="H979" t="str">
        <f>_xlfn.LET(_xlpm.x,_xlfn.XLOOKUP(_xlfn.XLOOKUP(D979,beans!$A$2:$A$300,beans!$I$2:$I$300),menu!$E$2:$E$20,menu!$F$2:$F$20),IF(_xlpm.x="","",_xlpm.x))</f>
        <v/>
      </c>
      <c r="T979" s="68" t="str">
        <f t="shared" si="110"/>
        <v/>
      </c>
      <c r="U979" t="str">
        <f t="shared" si="106"/>
        <v/>
      </c>
      <c r="V979">
        <f t="shared" si="111"/>
        <v>0</v>
      </c>
      <c r="W979" t="str">
        <f t="shared" si="107"/>
        <v/>
      </c>
      <c r="AB979" s="28" t="str">
        <f t="shared" si="108"/>
        <v xml:space="preserve"> </v>
      </c>
      <c r="AE979" s="61" t="str">
        <f t="shared" si="109"/>
        <v/>
      </c>
      <c r="AF979" s="77" t="str">
        <f>_xlfn.XLOOKUP(AD979,menu!$K$2:$K$9,menu!$J$2:$J$9,"",1)</f>
        <v/>
      </c>
      <c r="AG979" s="80" t="str">
        <f>_xlfn.XLOOKUP(AH979,menu!$O$2:$O$9,menu!$H$2:$H$9,"")</f>
        <v/>
      </c>
      <c r="AI979" t="str">
        <f>_xlfn.LET(_xlpm.x,_xlfn.CONCAT(_xlfn.XLOOKUP(D979,beans!$A$2:$A$300,beans!$J$2:$J$300,"")," / ",_xlfn.XLOOKUP(D979,beans!$A$2:$A$300,beans!$K$2:$K$300,"")," - ",_xlfn.XLOOKUP(D979,beans!$A$2:$A$300,beans!$L$2:$L$300,"")),IF(_xlpm.x=" /  - ","",_xlpm.x))</f>
        <v/>
      </c>
    </row>
    <row r="980" spans="1:35" x14ac:dyDescent="0.3">
      <c r="A980">
        <v>963</v>
      </c>
      <c r="E980" t="str">
        <f>_xlfn.LET(_xlpm.x,_xlfn.XLOOKUP(D980,beans!$A$2:$A$300,beans!$H$2:$H$300,""),IF(_xlpm.x="","",_xlpm.x))</f>
        <v/>
      </c>
      <c r="F980" s="22" t="str">
        <f>_xlfn.XLOOKUP(E980,menu!$A$2:$A$37,menu!$B$2:$B$37,"")</f>
        <v/>
      </c>
      <c r="G980" t="str">
        <f>_xlfn.XLOOKUP(E980,menu!$A$2:$A$37,menu!$C$2:$C$37,"")</f>
        <v/>
      </c>
      <c r="H980" t="str">
        <f>_xlfn.LET(_xlpm.x,_xlfn.XLOOKUP(_xlfn.XLOOKUP(D980,beans!$A$2:$A$300,beans!$I$2:$I$300),menu!$E$2:$E$20,menu!$F$2:$F$20),IF(_xlpm.x="","",_xlpm.x))</f>
        <v/>
      </c>
      <c r="T980" s="68" t="str">
        <f t="shared" si="110"/>
        <v/>
      </c>
      <c r="U980" t="str">
        <f t="shared" si="106"/>
        <v/>
      </c>
      <c r="V980">
        <f t="shared" si="111"/>
        <v>0</v>
      </c>
      <c r="W980" t="str">
        <f t="shared" si="107"/>
        <v/>
      </c>
      <c r="AB980" s="28" t="str">
        <f t="shared" si="108"/>
        <v xml:space="preserve"> </v>
      </c>
      <c r="AE980" s="61" t="str">
        <f t="shared" si="109"/>
        <v/>
      </c>
      <c r="AF980" s="77" t="str">
        <f>_xlfn.XLOOKUP(AD980,menu!$K$2:$K$9,menu!$J$2:$J$9,"",1)</f>
        <v/>
      </c>
      <c r="AG980" s="80" t="str">
        <f>_xlfn.XLOOKUP(AH980,menu!$O$2:$O$9,menu!$H$2:$H$9,"")</f>
        <v/>
      </c>
      <c r="AI980" t="str">
        <f>_xlfn.LET(_xlpm.x,_xlfn.CONCAT(_xlfn.XLOOKUP(D980,beans!$A$2:$A$300,beans!$J$2:$J$300,"")," / ",_xlfn.XLOOKUP(D980,beans!$A$2:$A$300,beans!$K$2:$K$300,"")," - ",_xlfn.XLOOKUP(D980,beans!$A$2:$A$300,beans!$L$2:$L$300,"")),IF(_xlpm.x=" /  - ","",_xlpm.x))</f>
        <v/>
      </c>
    </row>
    <row r="981" spans="1:35" x14ac:dyDescent="0.3">
      <c r="A981">
        <v>964</v>
      </c>
      <c r="E981" t="str">
        <f>_xlfn.LET(_xlpm.x,_xlfn.XLOOKUP(D981,beans!$A$2:$A$300,beans!$H$2:$H$300,""),IF(_xlpm.x="","",_xlpm.x))</f>
        <v/>
      </c>
      <c r="F981" s="22" t="str">
        <f>_xlfn.XLOOKUP(E981,menu!$A$2:$A$37,menu!$B$2:$B$37,"")</f>
        <v/>
      </c>
      <c r="G981" t="str">
        <f>_xlfn.XLOOKUP(E981,menu!$A$2:$A$37,menu!$C$2:$C$37,"")</f>
        <v/>
      </c>
      <c r="H981" t="str">
        <f>_xlfn.LET(_xlpm.x,_xlfn.XLOOKUP(_xlfn.XLOOKUP(D981,beans!$A$2:$A$300,beans!$I$2:$I$300),menu!$E$2:$E$20,menu!$F$2:$F$20),IF(_xlpm.x="","",_xlpm.x))</f>
        <v/>
      </c>
      <c r="T981" s="68" t="str">
        <f t="shared" si="110"/>
        <v/>
      </c>
      <c r="U981" t="str">
        <f t="shared" si="106"/>
        <v/>
      </c>
      <c r="V981">
        <f t="shared" si="111"/>
        <v>0</v>
      </c>
      <c r="W981" t="str">
        <f t="shared" si="107"/>
        <v/>
      </c>
      <c r="AB981" s="28" t="str">
        <f t="shared" si="108"/>
        <v xml:space="preserve"> </v>
      </c>
      <c r="AE981" s="61" t="str">
        <f t="shared" si="109"/>
        <v/>
      </c>
      <c r="AF981" s="77" t="str">
        <f>_xlfn.XLOOKUP(AD981,menu!$K$2:$K$9,menu!$J$2:$J$9,"",1)</f>
        <v/>
      </c>
      <c r="AG981" s="80" t="str">
        <f>_xlfn.XLOOKUP(AH981,menu!$O$2:$O$9,menu!$H$2:$H$9,"")</f>
        <v/>
      </c>
      <c r="AI981" t="str">
        <f>_xlfn.LET(_xlpm.x,_xlfn.CONCAT(_xlfn.XLOOKUP(D981,beans!$A$2:$A$300,beans!$J$2:$J$300,"")," / ",_xlfn.XLOOKUP(D981,beans!$A$2:$A$300,beans!$K$2:$K$300,"")," - ",_xlfn.XLOOKUP(D981,beans!$A$2:$A$300,beans!$L$2:$L$300,"")),IF(_xlpm.x=" /  - ","",_xlpm.x))</f>
        <v/>
      </c>
    </row>
    <row r="982" spans="1:35" x14ac:dyDescent="0.3">
      <c r="A982">
        <v>965</v>
      </c>
      <c r="E982" t="str">
        <f>_xlfn.LET(_xlpm.x,_xlfn.XLOOKUP(D982,beans!$A$2:$A$300,beans!$H$2:$H$300,""),IF(_xlpm.x="","",_xlpm.x))</f>
        <v/>
      </c>
      <c r="F982" s="22" t="str">
        <f>_xlfn.XLOOKUP(E982,menu!$A$2:$A$37,menu!$B$2:$B$37,"")</f>
        <v/>
      </c>
      <c r="G982" t="str">
        <f>_xlfn.XLOOKUP(E982,menu!$A$2:$A$37,menu!$C$2:$C$37,"")</f>
        <v/>
      </c>
      <c r="H982" t="str">
        <f>_xlfn.LET(_xlpm.x,_xlfn.XLOOKUP(_xlfn.XLOOKUP(D982,beans!$A$2:$A$300,beans!$I$2:$I$300),menu!$E$2:$E$20,menu!$F$2:$F$20),IF(_xlpm.x="","",_xlpm.x))</f>
        <v/>
      </c>
      <c r="T982" s="68" t="str">
        <f t="shared" si="110"/>
        <v/>
      </c>
      <c r="U982" t="str">
        <f t="shared" si="106"/>
        <v/>
      </c>
      <c r="V982">
        <f t="shared" si="111"/>
        <v>0</v>
      </c>
      <c r="W982" t="str">
        <f t="shared" si="107"/>
        <v/>
      </c>
      <c r="AB982" s="28" t="str">
        <f t="shared" si="108"/>
        <v xml:space="preserve"> </v>
      </c>
      <c r="AE982" s="61" t="str">
        <f t="shared" si="109"/>
        <v/>
      </c>
      <c r="AF982" s="77" t="str">
        <f>_xlfn.XLOOKUP(AD982,menu!$K$2:$K$9,menu!$J$2:$J$9,"",1)</f>
        <v/>
      </c>
      <c r="AG982" s="80" t="str">
        <f>_xlfn.XLOOKUP(AH982,menu!$O$2:$O$9,menu!$H$2:$H$9,"")</f>
        <v/>
      </c>
      <c r="AI982" t="str">
        <f>_xlfn.LET(_xlpm.x,_xlfn.CONCAT(_xlfn.XLOOKUP(D982,beans!$A$2:$A$300,beans!$J$2:$J$300,"")," / ",_xlfn.XLOOKUP(D982,beans!$A$2:$A$300,beans!$K$2:$K$300,"")," - ",_xlfn.XLOOKUP(D982,beans!$A$2:$A$300,beans!$L$2:$L$300,"")),IF(_xlpm.x=" /  - ","",_xlpm.x))</f>
        <v/>
      </c>
    </row>
    <row r="983" spans="1:35" x14ac:dyDescent="0.3">
      <c r="A983">
        <v>966</v>
      </c>
      <c r="E983" t="str">
        <f>_xlfn.LET(_xlpm.x,_xlfn.XLOOKUP(D983,beans!$A$2:$A$300,beans!$H$2:$H$300,""),IF(_xlpm.x="","",_xlpm.x))</f>
        <v/>
      </c>
      <c r="F983" s="22" t="str">
        <f>_xlfn.XLOOKUP(E983,menu!$A$2:$A$37,menu!$B$2:$B$37,"")</f>
        <v/>
      </c>
      <c r="G983" t="str">
        <f>_xlfn.XLOOKUP(E983,menu!$A$2:$A$37,menu!$C$2:$C$37,"")</f>
        <v/>
      </c>
      <c r="H983" t="str">
        <f>_xlfn.LET(_xlpm.x,_xlfn.XLOOKUP(_xlfn.XLOOKUP(D983,beans!$A$2:$A$300,beans!$I$2:$I$300),menu!$E$2:$E$20,menu!$F$2:$F$20),IF(_xlpm.x="","",_xlpm.x))</f>
        <v/>
      </c>
      <c r="T983" s="68" t="str">
        <f t="shared" si="110"/>
        <v/>
      </c>
      <c r="U983" t="str">
        <f t="shared" si="106"/>
        <v/>
      </c>
      <c r="V983">
        <f t="shared" si="111"/>
        <v>0</v>
      </c>
      <c r="W983" t="str">
        <f t="shared" si="107"/>
        <v/>
      </c>
      <c r="AB983" s="28" t="str">
        <f t="shared" si="108"/>
        <v xml:space="preserve"> </v>
      </c>
      <c r="AE983" s="61" t="str">
        <f t="shared" si="109"/>
        <v/>
      </c>
      <c r="AF983" s="77" t="str">
        <f>_xlfn.XLOOKUP(AD983,menu!$K$2:$K$9,menu!$J$2:$J$9,"",1)</f>
        <v/>
      </c>
      <c r="AG983" s="80" t="str">
        <f>_xlfn.XLOOKUP(AH983,menu!$O$2:$O$9,menu!$H$2:$H$9,"")</f>
        <v/>
      </c>
      <c r="AI983" t="str">
        <f>_xlfn.LET(_xlpm.x,_xlfn.CONCAT(_xlfn.XLOOKUP(D983,beans!$A$2:$A$300,beans!$J$2:$J$300,"")," / ",_xlfn.XLOOKUP(D983,beans!$A$2:$A$300,beans!$K$2:$K$300,"")," - ",_xlfn.XLOOKUP(D983,beans!$A$2:$A$300,beans!$L$2:$L$300,"")),IF(_xlpm.x=" /  - ","",_xlpm.x))</f>
        <v/>
      </c>
    </row>
    <row r="984" spans="1:35" x14ac:dyDescent="0.3">
      <c r="A984">
        <v>967</v>
      </c>
      <c r="E984" t="str">
        <f>_xlfn.LET(_xlpm.x,_xlfn.XLOOKUP(D984,beans!$A$2:$A$300,beans!$H$2:$H$300,""),IF(_xlpm.x="","",_xlpm.x))</f>
        <v/>
      </c>
      <c r="F984" s="22" t="str">
        <f>_xlfn.XLOOKUP(E984,menu!$A$2:$A$37,menu!$B$2:$B$37,"")</f>
        <v/>
      </c>
      <c r="G984" t="str">
        <f>_xlfn.XLOOKUP(E984,menu!$A$2:$A$37,menu!$C$2:$C$37,"")</f>
        <v/>
      </c>
      <c r="H984" t="str">
        <f>_xlfn.LET(_xlpm.x,_xlfn.XLOOKUP(_xlfn.XLOOKUP(D984,beans!$A$2:$A$300,beans!$I$2:$I$300),menu!$E$2:$E$20,menu!$F$2:$F$20),IF(_xlpm.x="","",_xlpm.x))</f>
        <v/>
      </c>
      <c r="T984" s="68" t="str">
        <f t="shared" si="110"/>
        <v/>
      </c>
      <c r="U984" t="str">
        <f t="shared" si="106"/>
        <v/>
      </c>
      <c r="V984">
        <f t="shared" si="111"/>
        <v>0</v>
      </c>
      <c r="W984" t="str">
        <f t="shared" si="107"/>
        <v/>
      </c>
      <c r="AB984" s="28" t="str">
        <f t="shared" si="108"/>
        <v xml:space="preserve"> </v>
      </c>
      <c r="AE984" s="61" t="str">
        <f t="shared" si="109"/>
        <v/>
      </c>
      <c r="AF984" s="77" t="str">
        <f>_xlfn.XLOOKUP(AD984,menu!$K$2:$K$9,menu!$J$2:$J$9,"",1)</f>
        <v/>
      </c>
      <c r="AG984" s="80" t="str">
        <f>_xlfn.XLOOKUP(AH984,menu!$O$2:$O$9,menu!$H$2:$H$9,"")</f>
        <v/>
      </c>
      <c r="AI984" t="str">
        <f>_xlfn.LET(_xlpm.x,_xlfn.CONCAT(_xlfn.XLOOKUP(D984,beans!$A$2:$A$300,beans!$J$2:$J$300,"")," / ",_xlfn.XLOOKUP(D984,beans!$A$2:$A$300,beans!$K$2:$K$300,"")," - ",_xlfn.XLOOKUP(D984,beans!$A$2:$A$300,beans!$L$2:$L$300,"")),IF(_xlpm.x=" /  - ","",_xlpm.x))</f>
        <v/>
      </c>
    </row>
    <row r="985" spans="1:35" x14ac:dyDescent="0.3">
      <c r="A985">
        <v>968</v>
      </c>
      <c r="E985" t="str">
        <f>_xlfn.LET(_xlpm.x,_xlfn.XLOOKUP(D985,beans!$A$2:$A$300,beans!$H$2:$H$300,""),IF(_xlpm.x="","",_xlpm.x))</f>
        <v/>
      </c>
      <c r="F985" s="22" t="str">
        <f>_xlfn.XLOOKUP(E985,menu!$A$2:$A$37,menu!$B$2:$B$37,"")</f>
        <v/>
      </c>
      <c r="G985" t="str">
        <f>_xlfn.XLOOKUP(E985,menu!$A$2:$A$37,menu!$C$2:$C$37,"")</f>
        <v/>
      </c>
      <c r="H985" t="str">
        <f>_xlfn.LET(_xlpm.x,_xlfn.XLOOKUP(_xlfn.XLOOKUP(D985,beans!$A$2:$A$300,beans!$I$2:$I$300),menu!$E$2:$E$20,menu!$F$2:$F$20),IF(_xlpm.x="","",_xlpm.x))</f>
        <v/>
      </c>
      <c r="T985" s="68" t="str">
        <f t="shared" si="110"/>
        <v/>
      </c>
      <c r="U985" t="str">
        <f t="shared" si="106"/>
        <v/>
      </c>
      <c r="V985">
        <f t="shared" si="111"/>
        <v>0</v>
      </c>
      <c r="W985" t="str">
        <f t="shared" si="107"/>
        <v/>
      </c>
      <c r="AB985" s="28" t="str">
        <f t="shared" si="108"/>
        <v xml:space="preserve"> </v>
      </c>
      <c r="AE985" s="61" t="str">
        <f t="shared" si="109"/>
        <v/>
      </c>
      <c r="AF985" s="77" t="str">
        <f>_xlfn.XLOOKUP(AD985,menu!$K$2:$K$9,menu!$J$2:$J$9,"",1)</f>
        <v/>
      </c>
      <c r="AG985" s="80" t="str">
        <f>_xlfn.XLOOKUP(AH985,menu!$O$2:$O$9,menu!$H$2:$H$9,"")</f>
        <v/>
      </c>
      <c r="AI985" t="str">
        <f>_xlfn.LET(_xlpm.x,_xlfn.CONCAT(_xlfn.XLOOKUP(D985,beans!$A$2:$A$300,beans!$J$2:$J$300,"")," / ",_xlfn.XLOOKUP(D985,beans!$A$2:$A$300,beans!$K$2:$K$300,"")," - ",_xlfn.XLOOKUP(D985,beans!$A$2:$A$300,beans!$L$2:$L$300,"")),IF(_xlpm.x=" /  - ","",_xlpm.x))</f>
        <v/>
      </c>
    </row>
    <row r="986" spans="1:35" x14ac:dyDescent="0.3">
      <c r="A986">
        <v>969</v>
      </c>
      <c r="E986" t="str">
        <f>_xlfn.LET(_xlpm.x,_xlfn.XLOOKUP(D986,beans!$A$2:$A$300,beans!$H$2:$H$300,""),IF(_xlpm.x="","",_xlpm.x))</f>
        <v/>
      </c>
      <c r="F986" s="22" t="str">
        <f>_xlfn.XLOOKUP(E986,menu!$A$2:$A$37,menu!$B$2:$B$37,"")</f>
        <v/>
      </c>
      <c r="G986" t="str">
        <f>_xlfn.XLOOKUP(E986,menu!$A$2:$A$37,menu!$C$2:$C$37,"")</f>
        <v/>
      </c>
      <c r="H986" t="str">
        <f>_xlfn.LET(_xlpm.x,_xlfn.XLOOKUP(_xlfn.XLOOKUP(D986,beans!$A$2:$A$300,beans!$I$2:$I$300),menu!$E$2:$E$20,menu!$F$2:$F$20),IF(_xlpm.x="","",_xlpm.x))</f>
        <v/>
      </c>
      <c r="T986" s="68" t="str">
        <f t="shared" si="110"/>
        <v/>
      </c>
      <c r="U986" t="str">
        <f t="shared" si="106"/>
        <v/>
      </c>
      <c r="V986">
        <f t="shared" si="111"/>
        <v>0</v>
      </c>
      <c r="W986" t="str">
        <f t="shared" si="107"/>
        <v/>
      </c>
      <c r="AB986" s="28" t="str">
        <f t="shared" si="108"/>
        <v xml:space="preserve"> </v>
      </c>
      <c r="AE986" s="61" t="str">
        <f t="shared" si="109"/>
        <v/>
      </c>
      <c r="AF986" s="77" t="str">
        <f>_xlfn.XLOOKUP(AD986,menu!$K$2:$K$9,menu!$J$2:$J$9,"",1)</f>
        <v/>
      </c>
      <c r="AG986" s="80" t="str">
        <f>_xlfn.XLOOKUP(AH986,menu!$O$2:$O$9,menu!$H$2:$H$9,"")</f>
        <v/>
      </c>
      <c r="AI986" t="str">
        <f>_xlfn.LET(_xlpm.x,_xlfn.CONCAT(_xlfn.XLOOKUP(D986,beans!$A$2:$A$300,beans!$J$2:$J$300,"")," / ",_xlfn.XLOOKUP(D986,beans!$A$2:$A$300,beans!$K$2:$K$300,"")," - ",_xlfn.XLOOKUP(D986,beans!$A$2:$A$300,beans!$L$2:$L$300,"")),IF(_xlpm.x=" /  - ","",_xlpm.x))</f>
        <v/>
      </c>
    </row>
    <row r="987" spans="1:35" x14ac:dyDescent="0.3">
      <c r="A987">
        <v>970</v>
      </c>
      <c r="E987" t="str">
        <f>_xlfn.LET(_xlpm.x,_xlfn.XLOOKUP(D987,beans!$A$2:$A$300,beans!$H$2:$H$300,""),IF(_xlpm.x="","",_xlpm.x))</f>
        <v/>
      </c>
      <c r="F987" s="22" t="str">
        <f>_xlfn.XLOOKUP(E987,menu!$A$2:$A$37,menu!$B$2:$B$37,"")</f>
        <v/>
      </c>
      <c r="G987" t="str">
        <f>_xlfn.XLOOKUP(E987,menu!$A$2:$A$37,menu!$C$2:$C$37,"")</f>
        <v/>
      </c>
      <c r="H987" t="str">
        <f>_xlfn.LET(_xlpm.x,_xlfn.XLOOKUP(_xlfn.XLOOKUP(D987,beans!$A$2:$A$300,beans!$I$2:$I$300),menu!$E$2:$E$20,menu!$F$2:$F$20),IF(_xlpm.x="","",_xlpm.x))</f>
        <v/>
      </c>
      <c r="T987" s="68" t="str">
        <f t="shared" si="110"/>
        <v/>
      </c>
      <c r="U987" t="str">
        <f t="shared" si="106"/>
        <v/>
      </c>
      <c r="V987">
        <f t="shared" si="111"/>
        <v>0</v>
      </c>
      <c r="W987" t="str">
        <f t="shared" si="107"/>
        <v/>
      </c>
      <c r="AB987" s="28" t="str">
        <f t="shared" si="108"/>
        <v xml:space="preserve"> </v>
      </c>
      <c r="AE987" s="61" t="str">
        <f t="shared" si="109"/>
        <v/>
      </c>
      <c r="AF987" s="77" t="str">
        <f>_xlfn.XLOOKUP(AD987,menu!$K$2:$K$9,menu!$J$2:$J$9,"",1)</f>
        <v/>
      </c>
      <c r="AG987" s="80" t="str">
        <f>_xlfn.XLOOKUP(AH987,menu!$O$2:$O$9,menu!$H$2:$H$9,"")</f>
        <v/>
      </c>
      <c r="AI987" t="str">
        <f>_xlfn.LET(_xlpm.x,_xlfn.CONCAT(_xlfn.XLOOKUP(D987,beans!$A$2:$A$300,beans!$J$2:$J$300,"")," / ",_xlfn.XLOOKUP(D987,beans!$A$2:$A$300,beans!$K$2:$K$300,"")," - ",_xlfn.XLOOKUP(D987,beans!$A$2:$A$300,beans!$L$2:$L$300,"")),IF(_xlpm.x=" /  - ","",_xlpm.x))</f>
        <v/>
      </c>
    </row>
    <row r="988" spans="1:35" x14ac:dyDescent="0.3">
      <c r="A988">
        <v>971</v>
      </c>
      <c r="E988" t="str">
        <f>_xlfn.LET(_xlpm.x,_xlfn.XLOOKUP(D988,beans!$A$2:$A$300,beans!$H$2:$H$300,""),IF(_xlpm.x="","",_xlpm.x))</f>
        <v/>
      </c>
      <c r="F988" s="22" t="str">
        <f>_xlfn.XLOOKUP(E988,menu!$A$2:$A$37,menu!$B$2:$B$37,"")</f>
        <v/>
      </c>
      <c r="G988" t="str">
        <f>_xlfn.XLOOKUP(E988,menu!$A$2:$A$37,menu!$C$2:$C$37,"")</f>
        <v/>
      </c>
      <c r="H988" t="str">
        <f>_xlfn.LET(_xlpm.x,_xlfn.XLOOKUP(_xlfn.XLOOKUP(D988,beans!$A$2:$A$300,beans!$I$2:$I$300),menu!$E$2:$E$20,menu!$F$2:$F$20),IF(_xlpm.x="","",_xlpm.x))</f>
        <v/>
      </c>
      <c r="T988" s="68" t="str">
        <f t="shared" si="110"/>
        <v/>
      </c>
      <c r="U988" t="str">
        <f t="shared" si="106"/>
        <v/>
      </c>
      <c r="V988">
        <f t="shared" si="111"/>
        <v>0</v>
      </c>
      <c r="W988" t="str">
        <f t="shared" si="107"/>
        <v/>
      </c>
      <c r="AB988" s="28" t="str">
        <f t="shared" si="108"/>
        <v xml:space="preserve"> </v>
      </c>
      <c r="AE988" s="61" t="str">
        <f t="shared" si="109"/>
        <v/>
      </c>
      <c r="AF988" s="77" t="str">
        <f>_xlfn.XLOOKUP(AD988,menu!$K$2:$K$9,menu!$J$2:$J$9,"",1)</f>
        <v/>
      </c>
      <c r="AG988" s="80" t="str">
        <f>_xlfn.XLOOKUP(AH988,menu!$O$2:$O$9,menu!$H$2:$H$9,"")</f>
        <v/>
      </c>
      <c r="AI988" t="str">
        <f>_xlfn.LET(_xlpm.x,_xlfn.CONCAT(_xlfn.XLOOKUP(D988,beans!$A$2:$A$300,beans!$J$2:$J$300,"")," / ",_xlfn.XLOOKUP(D988,beans!$A$2:$A$300,beans!$K$2:$K$300,"")," - ",_xlfn.XLOOKUP(D988,beans!$A$2:$A$300,beans!$L$2:$L$300,"")),IF(_xlpm.x=" /  - ","",_xlpm.x))</f>
        <v/>
      </c>
    </row>
    <row r="989" spans="1:35" x14ac:dyDescent="0.3">
      <c r="A989">
        <v>972</v>
      </c>
      <c r="E989" t="str">
        <f>_xlfn.LET(_xlpm.x,_xlfn.XLOOKUP(D989,beans!$A$2:$A$300,beans!$H$2:$H$300,""),IF(_xlpm.x="","",_xlpm.x))</f>
        <v/>
      </c>
      <c r="F989" s="22" t="str">
        <f>_xlfn.XLOOKUP(E989,menu!$A$2:$A$37,menu!$B$2:$B$37,"")</f>
        <v/>
      </c>
      <c r="G989" t="str">
        <f>_xlfn.XLOOKUP(E989,menu!$A$2:$A$37,menu!$C$2:$C$37,"")</f>
        <v/>
      </c>
      <c r="H989" t="str">
        <f>_xlfn.LET(_xlpm.x,_xlfn.XLOOKUP(_xlfn.XLOOKUP(D989,beans!$A$2:$A$300,beans!$I$2:$I$300),menu!$E$2:$E$20,menu!$F$2:$F$20),IF(_xlpm.x="","",_xlpm.x))</f>
        <v/>
      </c>
      <c r="T989" s="68" t="str">
        <f t="shared" si="110"/>
        <v/>
      </c>
      <c r="U989" t="str">
        <f t="shared" si="106"/>
        <v/>
      </c>
      <c r="V989">
        <f t="shared" si="111"/>
        <v>0</v>
      </c>
      <c r="W989" t="str">
        <f t="shared" si="107"/>
        <v/>
      </c>
      <c r="AB989" s="28" t="str">
        <f t="shared" si="108"/>
        <v xml:space="preserve"> </v>
      </c>
      <c r="AE989" s="61" t="str">
        <f t="shared" si="109"/>
        <v/>
      </c>
      <c r="AF989" s="77" t="str">
        <f>_xlfn.XLOOKUP(AD989,menu!$K$2:$K$9,menu!$J$2:$J$9,"",1)</f>
        <v/>
      </c>
      <c r="AG989" s="80" t="str">
        <f>_xlfn.XLOOKUP(AH989,menu!$O$2:$O$9,menu!$H$2:$H$9,"")</f>
        <v/>
      </c>
      <c r="AI989" t="str">
        <f>_xlfn.LET(_xlpm.x,_xlfn.CONCAT(_xlfn.XLOOKUP(D989,beans!$A$2:$A$300,beans!$J$2:$J$300,"")," / ",_xlfn.XLOOKUP(D989,beans!$A$2:$A$300,beans!$K$2:$K$300,"")," - ",_xlfn.XLOOKUP(D989,beans!$A$2:$A$300,beans!$L$2:$L$300,"")),IF(_xlpm.x=" /  - ","",_xlpm.x))</f>
        <v/>
      </c>
    </row>
    <row r="990" spans="1:35" x14ac:dyDescent="0.3">
      <c r="A990">
        <v>973</v>
      </c>
      <c r="E990" t="str">
        <f>_xlfn.LET(_xlpm.x,_xlfn.XLOOKUP(D990,beans!$A$2:$A$300,beans!$H$2:$H$300,""),IF(_xlpm.x="","",_xlpm.x))</f>
        <v/>
      </c>
      <c r="F990" s="22" t="str">
        <f>_xlfn.XLOOKUP(E990,menu!$A$2:$A$37,menu!$B$2:$B$37,"")</f>
        <v/>
      </c>
      <c r="G990" t="str">
        <f>_xlfn.XLOOKUP(E990,menu!$A$2:$A$37,menu!$C$2:$C$37,"")</f>
        <v/>
      </c>
      <c r="H990" t="str">
        <f>_xlfn.LET(_xlpm.x,_xlfn.XLOOKUP(_xlfn.XLOOKUP(D990,beans!$A$2:$A$300,beans!$I$2:$I$300),menu!$E$2:$E$20,menu!$F$2:$F$20),IF(_xlpm.x="","",_xlpm.x))</f>
        <v/>
      </c>
      <c r="T990" s="68" t="str">
        <f t="shared" si="110"/>
        <v/>
      </c>
      <c r="U990" t="str">
        <f t="shared" si="106"/>
        <v/>
      </c>
      <c r="V990">
        <f t="shared" si="111"/>
        <v>0</v>
      </c>
      <c r="W990" t="str">
        <f t="shared" si="107"/>
        <v/>
      </c>
      <c r="AB990" s="28" t="str">
        <f t="shared" si="108"/>
        <v xml:space="preserve"> </v>
      </c>
      <c r="AE990" s="61" t="str">
        <f t="shared" si="109"/>
        <v/>
      </c>
      <c r="AF990" s="77" t="str">
        <f>_xlfn.XLOOKUP(AD990,menu!$K$2:$K$9,menu!$J$2:$J$9,"",1)</f>
        <v/>
      </c>
      <c r="AG990" s="80" t="str">
        <f>_xlfn.XLOOKUP(AH990,menu!$O$2:$O$9,menu!$H$2:$H$9,"")</f>
        <v/>
      </c>
      <c r="AI990" t="str">
        <f>_xlfn.LET(_xlpm.x,_xlfn.CONCAT(_xlfn.XLOOKUP(D990,beans!$A$2:$A$300,beans!$J$2:$J$300,"")," / ",_xlfn.XLOOKUP(D990,beans!$A$2:$A$300,beans!$K$2:$K$300,"")," - ",_xlfn.XLOOKUP(D990,beans!$A$2:$A$300,beans!$L$2:$L$300,"")),IF(_xlpm.x=" /  - ","",_xlpm.x))</f>
        <v/>
      </c>
    </row>
    <row r="991" spans="1:35" x14ac:dyDescent="0.3">
      <c r="A991">
        <v>974</v>
      </c>
      <c r="E991" t="str">
        <f>_xlfn.LET(_xlpm.x,_xlfn.XLOOKUP(D991,beans!$A$2:$A$300,beans!$H$2:$H$300,""),IF(_xlpm.x="","",_xlpm.x))</f>
        <v/>
      </c>
      <c r="F991" s="22" t="str">
        <f>_xlfn.XLOOKUP(E991,menu!$A$2:$A$37,menu!$B$2:$B$37,"")</f>
        <v/>
      </c>
      <c r="G991" t="str">
        <f>_xlfn.XLOOKUP(E991,menu!$A$2:$A$37,menu!$C$2:$C$37,"")</f>
        <v/>
      </c>
      <c r="H991" t="str">
        <f>_xlfn.LET(_xlpm.x,_xlfn.XLOOKUP(_xlfn.XLOOKUP(D991,beans!$A$2:$A$300,beans!$I$2:$I$300),menu!$E$2:$E$20,menu!$F$2:$F$20),IF(_xlpm.x="","",_xlpm.x))</f>
        <v/>
      </c>
      <c r="T991" s="68" t="str">
        <f t="shared" si="110"/>
        <v/>
      </c>
      <c r="U991" t="str">
        <f t="shared" si="106"/>
        <v/>
      </c>
      <c r="V991">
        <f t="shared" si="111"/>
        <v>0</v>
      </c>
      <c r="W991" t="str">
        <f t="shared" si="107"/>
        <v/>
      </c>
      <c r="AB991" s="28" t="str">
        <f t="shared" si="108"/>
        <v xml:space="preserve"> </v>
      </c>
      <c r="AE991" s="61" t="str">
        <f t="shared" si="109"/>
        <v/>
      </c>
      <c r="AF991" s="77" t="str">
        <f>_xlfn.XLOOKUP(AD991,menu!$K$2:$K$9,menu!$J$2:$J$9,"",1)</f>
        <v/>
      </c>
      <c r="AG991" s="80" t="str">
        <f>_xlfn.XLOOKUP(AH991,menu!$O$2:$O$9,menu!$H$2:$H$9,"")</f>
        <v/>
      </c>
      <c r="AI991" t="str">
        <f>_xlfn.LET(_xlpm.x,_xlfn.CONCAT(_xlfn.XLOOKUP(D991,beans!$A$2:$A$300,beans!$J$2:$J$300,"")," / ",_xlfn.XLOOKUP(D991,beans!$A$2:$A$300,beans!$K$2:$K$300,"")," - ",_xlfn.XLOOKUP(D991,beans!$A$2:$A$300,beans!$L$2:$L$300,"")),IF(_xlpm.x=" /  - ","",_xlpm.x))</f>
        <v/>
      </c>
    </row>
    <row r="992" spans="1:35" x14ac:dyDescent="0.3">
      <c r="A992">
        <v>975</v>
      </c>
      <c r="E992" t="str">
        <f>_xlfn.LET(_xlpm.x,_xlfn.XLOOKUP(D992,beans!$A$2:$A$300,beans!$H$2:$H$300,""),IF(_xlpm.x="","",_xlpm.x))</f>
        <v/>
      </c>
      <c r="F992" s="22" t="str">
        <f>_xlfn.XLOOKUP(E992,menu!$A$2:$A$37,menu!$B$2:$B$37,"")</f>
        <v/>
      </c>
      <c r="G992" t="str">
        <f>_xlfn.XLOOKUP(E992,menu!$A$2:$A$37,menu!$C$2:$C$37,"")</f>
        <v/>
      </c>
      <c r="H992" t="str">
        <f>_xlfn.LET(_xlpm.x,_xlfn.XLOOKUP(_xlfn.XLOOKUP(D992,beans!$A$2:$A$300,beans!$I$2:$I$300),menu!$E$2:$E$20,menu!$F$2:$F$20),IF(_xlpm.x="","",_xlpm.x))</f>
        <v/>
      </c>
      <c r="T992" s="68" t="str">
        <f t="shared" si="110"/>
        <v/>
      </c>
      <c r="U992" t="str">
        <f t="shared" si="106"/>
        <v/>
      </c>
      <c r="V992">
        <f t="shared" si="111"/>
        <v>0</v>
      </c>
      <c r="W992" t="str">
        <f t="shared" si="107"/>
        <v/>
      </c>
      <c r="AB992" s="28" t="str">
        <f t="shared" si="108"/>
        <v xml:space="preserve"> </v>
      </c>
      <c r="AE992" s="61" t="str">
        <f t="shared" si="109"/>
        <v/>
      </c>
      <c r="AF992" s="77" t="str">
        <f>_xlfn.XLOOKUP(AD992,menu!$K$2:$K$9,menu!$J$2:$J$9,"",1)</f>
        <v/>
      </c>
      <c r="AG992" s="80" t="str">
        <f>_xlfn.XLOOKUP(AH992,menu!$O$2:$O$9,menu!$H$2:$H$9,"")</f>
        <v/>
      </c>
      <c r="AI992" t="str">
        <f>_xlfn.LET(_xlpm.x,_xlfn.CONCAT(_xlfn.XLOOKUP(D992,beans!$A$2:$A$300,beans!$J$2:$J$300,"")," / ",_xlfn.XLOOKUP(D992,beans!$A$2:$A$300,beans!$K$2:$K$300,"")," - ",_xlfn.XLOOKUP(D992,beans!$A$2:$A$300,beans!$L$2:$L$300,"")),IF(_xlpm.x=" /  - ","",_xlpm.x))</f>
        <v/>
      </c>
    </row>
    <row r="993" spans="1:35" x14ac:dyDescent="0.3">
      <c r="A993">
        <v>976</v>
      </c>
      <c r="E993" t="str">
        <f>_xlfn.LET(_xlpm.x,_xlfn.XLOOKUP(D993,beans!$A$2:$A$300,beans!$H$2:$H$300,""),IF(_xlpm.x="","",_xlpm.x))</f>
        <v/>
      </c>
      <c r="F993" s="22" t="str">
        <f>_xlfn.XLOOKUP(E993,menu!$A$2:$A$37,menu!$B$2:$B$37,"")</f>
        <v/>
      </c>
      <c r="G993" t="str">
        <f>_xlfn.XLOOKUP(E993,menu!$A$2:$A$37,menu!$C$2:$C$37,"")</f>
        <v/>
      </c>
      <c r="H993" t="str">
        <f>_xlfn.LET(_xlpm.x,_xlfn.XLOOKUP(_xlfn.XLOOKUP(D993,beans!$A$2:$A$300,beans!$I$2:$I$300),menu!$E$2:$E$20,menu!$F$2:$F$20),IF(_xlpm.x="","",_xlpm.x))</f>
        <v/>
      </c>
      <c r="T993" s="68" t="str">
        <f t="shared" si="110"/>
        <v/>
      </c>
      <c r="U993" t="str">
        <f t="shared" si="106"/>
        <v/>
      </c>
      <c r="V993">
        <f t="shared" si="111"/>
        <v>0</v>
      </c>
      <c r="W993" t="str">
        <f t="shared" si="107"/>
        <v/>
      </c>
      <c r="AB993" s="28" t="str">
        <f t="shared" si="108"/>
        <v xml:space="preserve"> </v>
      </c>
      <c r="AE993" s="61" t="str">
        <f t="shared" si="109"/>
        <v/>
      </c>
      <c r="AF993" s="77" t="str">
        <f>_xlfn.XLOOKUP(AD993,menu!$K$2:$K$9,menu!$J$2:$J$9,"",1)</f>
        <v/>
      </c>
      <c r="AG993" s="80" t="str">
        <f>_xlfn.XLOOKUP(AH993,menu!$O$2:$O$9,menu!$H$2:$H$9,"")</f>
        <v/>
      </c>
      <c r="AI993" t="str">
        <f>_xlfn.LET(_xlpm.x,_xlfn.CONCAT(_xlfn.XLOOKUP(D993,beans!$A$2:$A$300,beans!$J$2:$J$300,"")," / ",_xlfn.XLOOKUP(D993,beans!$A$2:$A$300,beans!$K$2:$K$300,"")," - ",_xlfn.XLOOKUP(D993,beans!$A$2:$A$300,beans!$L$2:$L$300,"")),IF(_xlpm.x=" /  - ","",_xlpm.x))</f>
        <v/>
      </c>
    </row>
    <row r="994" spans="1:35" x14ac:dyDescent="0.3">
      <c r="A994">
        <v>977</v>
      </c>
      <c r="E994" t="str">
        <f>_xlfn.LET(_xlpm.x,_xlfn.XLOOKUP(D994,beans!$A$2:$A$300,beans!$H$2:$H$300,""),IF(_xlpm.x="","",_xlpm.x))</f>
        <v/>
      </c>
      <c r="F994" s="22" t="str">
        <f>_xlfn.XLOOKUP(E994,menu!$A$2:$A$37,menu!$B$2:$B$37,"")</f>
        <v/>
      </c>
      <c r="G994" t="str">
        <f>_xlfn.XLOOKUP(E994,menu!$A$2:$A$37,menu!$C$2:$C$37,"")</f>
        <v/>
      </c>
      <c r="H994" t="str">
        <f>_xlfn.LET(_xlpm.x,_xlfn.XLOOKUP(_xlfn.XLOOKUP(D994,beans!$A$2:$A$300,beans!$I$2:$I$300),menu!$E$2:$E$20,menu!$F$2:$F$20),IF(_xlpm.x="","",_xlpm.x))</f>
        <v/>
      </c>
      <c r="T994" s="68" t="str">
        <f t="shared" si="110"/>
        <v/>
      </c>
      <c r="U994" t="str">
        <f t="shared" si="106"/>
        <v/>
      </c>
      <c r="V994">
        <f t="shared" si="111"/>
        <v>0</v>
      </c>
      <c r="W994" t="str">
        <f t="shared" si="107"/>
        <v/>
      </c>
      <c r="AB994" s="28" t="str">
        <f t="shared" si="108"/>
        <v xml:space="preserve"> </v>
      </c>
      <c r="AE994" s="61" t="str">
        <f t="shared" si="109"/>
        <v/>
      </c>
      <c r="AF994" s="77" t="str">
        <f>_xlfn.XLOOKUP(AD994,menu!$K$2:$K$9,menu!$J$2:$J$9,"",1)</f>
        <v/>
      </c>
      <c r="AG994" s="80" t="str">
        <f>_xlfn.XLOOKUP(AH994,menu!$O$2:$O$9,menu!$H$2:$H$9,"")</f>
        <v/>
      </c>
      <c r="AI994" t="str">
        <f>_xlfn.LET(_xlpm.x,_xlfn.CONCAT(_xlfn.XLOOKUP(D994,beans!$A$2:$A$300,beans!$J$2:$J$300,"")," / ",_xlfn.XLOOKUP(D994,beans!$A$2:$A$300,beans!$K$2:$K$300,"")," - ",_xlfn.XLOOKUP(D994,beans!$A$2:$A$300,beans!$L$2:$L$300,"")),IF(_xlpm.x=" /  - ","",_xlpm.x))</f>
        <v/>
      </c>
    </row>
    <row r="995" spans="1:35" x14ac:dyDescent="0.3">
      <c r="A995">
        <v>978</v>
      </c>
      <c r="E995" t="str">
        <f>_xlfn.LET(_xlpm.x,_xlfn.XLOOKUP(D995,beans!$A$2:$A$300,beans!$H$2:$H$300,""),IF(_xlpm.x="","",_xlpm.x))</f>
        <v/>
      </c>
      <c r="F995" s="22" t="str">
        <f>_xlfn.XLOOKUP(E995,menu!$A$2:$A$37,menu!$B$2:$B$37,"")</f>
        <v/>
      </c>
      <c r="G995" t="str">
        <f>_xlfn.XLOOKUP(E995,menu!$A$2:$A$37,menu!$C$2:$C$37,"")</f>
        <v/>
      </c>
      <c r="H995" t="str">
        <f>_xlfn.LET(_xlpm.x,_xlfn.XLOOKUP(_xlfn.XLOOKUP(D995,beans!$A$2:$A$300,beans!$I$2:$I$300),menu!$E$2:$E$20,menu!$F$2:$F$20),IF(_xlpm.x="","",_xlpm.x))</f>
        <v/>
      </c>
      <c r="T995" s="68" t="str">
        <f t="shared" si="110"/>
        <v/>
      </c>
      <c r="U995" t="str">
        <f t="shared" si="106"/>
        <v/>
      </c>
      <c r="V995">
        <f t="shared" si="111"/>
        <v>0</v>
      </c>
      <c r="W995" t="str">
        <f t="shared" si="107"/>
        <v/>
      </c>
      <c r="AB995" s="28" t="str">
        <f t="shared" si="108"/>
        <v xml:space="preserve"> </v>
      </c>
      <c r="AE995" s="61" t="str">
        <f t="shared" si="109"/>
        <v/>
      </c>
      <c r="AF995" s="77" t="str">
        <f>_xlfn.XLOOKUP(AD995,menu!$K$2:$K$9,menu!$J$2:$J$9,"",1)</f>
        <v/>
      </c>
      <c r="AG995" s="80" t="str">
        <f>_xlfn.XLOOKUP(AH995,menu!$O$2:$O$9,menu!$H$2:$H$9,"")</f>
        <v/>
      </c>
      <c r="AI995" t="str">
        <f>_xlfn.LET(_xlpm.x,_xlfn.CONCAT(_xlfn.XLOOKUP(D995,beans!$A$2:$A$300,beans!$J$2:$J$300,"")," / ",_xlfn.XLOOKUP(D995,beans!$A$2:$A$300,beans!$K$2:$K$300,"")," - ",_xlfn.XLOOKUP(D995,beans!$A$2:$A$300,beans!$L$2:$L$300,"")),IF(_xlpm.x=" /  - ","",_xlpm.x))</f>
        <v/>
      </c>
    </row>
    <row r="996" spans="1:35" x14ac:dyDescent="0.3">
      <c r="A996">
        <v>979</v>
      </c>
      <c r="E996" t="str">
        <f>_xlfn.LET(_xlpm.x,_xlfn.XLOOKUP(D996,beans!$A$2:$A$300,beans!$H$2:$H$300,""),IF(_xlpm.x="","",_xlpm.x))</f>
        <v/>
      </c>
      <c r="F996" s="22" t="str">
        <f>_xlfn.XLOOKUP(E996,menu!$A$2:$A$37,menu!$B$2:$B$37,"")</f>
        <v/>
      </c>
      <c r="G996" t="str">
        <f>_xlfn.XLOOKUP(E996,menu!$A$2:$A$37,menu!$C$2:$C$37,"")</f>
        <v/>
      </c>
      <c r="H996" t="str">
        <f>_xlfn.LET(_xlpm.x,_xlfn.XLOOKUP(_xlfn.XLOOKUP(D996,beans!$A$2:$A$300,beans!$I$2:$I$300),menu!$E$2:$E$20,menu!$F$2:$F$20),IF(_xlpm.x="","",_xlpm.x))</f>
        <v/>
      </c>
      <c r="T996" s="68" t="str">
        <f t="shared" si="110"/>
        <v/>
      </c>
      <c r="U996" t="str">
        <f t="shared" si="106"/>
        <v/>
      </c>
      <c r="V996">
        <f t="shared" si="111"/>
        <v>0</v>
      </c>
      <c r="W996" t="str">
        <f t="shared" si="107"/>
        <v/>
      </c>
      <c r="AB996" s="28" t="str">
        <f t="shared" si="108"/>
        <v xml:space="preserve"> </v>
      </c>
      <c r="AE996" s="61" t="str">
        <f t="shared" si="109"/>
        <v/>
      </c>
      <c r="AF996" s="77" t="str">
        <f>_xlfn.XLOOKUP(AD996,menu!$K$2:$K$9,menu!$J$2:$J$9,"",1)</f>
        <v/>
      </c>
      <c r="AG996" s="80" t="str">
        <f>_xlfn.XLOOKUP(AH996,menu!$O$2:$O$9,menu!$H$2:$H$9,"")</f>
        <v/>
      </c>
      <c r="AI996" t="str">
        <f>_xlfn.LET(_xlpm.x,_xlfn.CONCAT(_xlfn.XLOOKUP(D996,beans!$A$2:$A$300,beans!$J$2:$J$300,"")," / ",_xlfn.XLOOKUP(D996,beans!$A$2:$A$300,beans!$K$2:$K$300,"")," - ",_xlfn.XLOOKUP(D996,beans!$A$2:$A$300,beans!$L$2:$L$300,"")),IF(_xlpm.x=" /  - ","",_xlpm.x))</f>
        <v/>
      </c>
    </row>
    <row r="997" spans="1:35" x14ac:dyDescent="0.3">
      <c r="A997">
        <v>980</v>
      </c>
      <c r="E997" t="str">
        <f>_xlfn.LET(_xlpm.x,_xlfn.XLOOKUP(D997,beans!$A$2:$A$300,beans!$H$2:$H$300,""),IF(_xlpm.x="","",_xlpm.x))</f>
        <v/>
      </c>
      <c r="F997" s="22" t="str">
        <f>_xlfn.XLOOKUP(E997,menu!$A$2:$A$37,menu!$B$2:$B$37,"")</f>
        <v/>
      </c>
      <c r="G997" t="str">
        <f>_xlfn.XLOOKUP(E997,menu!$A$2:$A$37,menu!$C$2:$C$37,"")</f>
        <v/>
      </c>
      <c r="H997" t="str">
        <f>_xlfn.LET(_xlpm.x,_xlfn.XLOOKUP(_xlfn.XLOOKUP(D997,beans!$A$2:$A$300,beans!$I$2:$I$300),menu!$E$2:$E$20,menu!$F$2:$F$20),IF(_xlpm.x="","",_xlpm.x))</f>
        <v/>
      </c>
      <c r="T997" s="68" t="str">
        <f t="shared" si="110"/>
        <v/>
      </c>
      <c r="U997" t="str">
        <f t="shared" si="106"/>
        <v/>
      </c>
      <c r="V997">
        <f t="shared" si="111"/>
        <v>0</v>
      </c>
      <c r="W997" t="str">
        <f t="shared" si="107"/>
        <v/>
      </c>
      <c r="AB997" s="28" t="str">
        <f t="shared" si="108"/>
        <v xml:space="preserve"> </v>
      </c>
      <c r="AE997" s="61" t="str">
        <f t="shared" si="109"/>
        <v/>
      </c>
      <c r="AF997" s="77" t="str">
        <f>_xlfn.XLOOKUP(AD997,menu!$K$2:$K$9,menu!$J$2:$J$9,"",1)</f>
        <v/>
      </c>
      <c r="AG997" s="80" t="str">
        <f>_xlfn.XLOOKUP(AH997,menu!$O$2:$O$9,menu!$H$2:$H$9,"")</f>
        <v/>
      </c>
      <c r="AI997" t="str">
        <f>_xlfn.LET(_xlpm.x,_xlfn.CONCAT(_xlfn.XLOOKUP(D997,beans!$A$2:$A$300,beans!$J$2:$J$300,"")," / ",_xlfn.XLOOKUP(D997,beans!$A$2:$A$300,beans!$K$2:$K$300,"")," - ",_xlfn.XLOOKUP(D997,beans!$A$2:$A$300,beans!$L$2:$L$300,"")),IF(_xlpm.x=" /  - ","",_xlpm.x))</f>
        <v/>
      </c>
    </row>
    <row r="998" spans="1:35" x14ac:dyDescent="0.3">
      <c r="A998">
        <v>981</v>
      </c>
      <c r="E998" t="str">
        <f>_xlfn.LET(_xlpm.x,_xlfn.XLOOKUP(D998,beans!$A$2:$A$300,beans!$H$2:$H$300,""),IF(_xlpm.x="","",_xlpm.x))</f>
        <v/>
      </c>
      <c r="F998" s="22" t="str">
        <f>_xlfn.XLOOKUP(E998,menu!$A$2:$A$37,menu!$B$2:$B$37,"")</f>
        <v/>
      </c>
      <c r="G998" t="str">
        <f>_xlfn.XLOOKUP(E998,menu!$A$2:$A$37,menu!$C$2:$C$37,"")</f>
        <v/>
      </c>
      <c r="H998" t="str">
        <f>_xlfn.LET(_xlpm.x,_xlfn.XLOOKUP(_xlfn.XLOOKUP(D998,beans!$A$2:$A$300,beans!$I$2:$I$300),menu!$E$2:$E$20,menu!$F$2:$F$20),IF(_xlpm.x="","",_xlpm.x))</f>
        <v/>
      </c>
      <c r="T998" s="68" t="str">
        <f t="shared" si="110"/>
        <v/>
      </c>
      <c r="U998" t="str">
        <f t="shared" si="106"/>
        <v/>
      </c>
      <c r="V998">
        <f t="shared" si="111"/>
        <v>0</v>
      </c>
      <c r="W998" t="str">
        <f t="shared" si="107"/>
        <v/>
      </c>
      <c r="AB998" s="28" t="str">
        <f t="shared" si="108"/>
        <v xml:space="preserve"> </v>
      </c>
      <c r="AE998" s="61" t="str">
        <f t="shared" si="109"/>
        <v/>
      </c>
      <c r="AF998" s="77" t="str">
        <f>_xlfn.XLOOKUP(AD998,menu!$K$2:$K$9,menu!$J$2:$J$9,"",1)</f>
        <v/>
      </c>
      <c r="AG998" s="80" t="str">
        <f>_xlfn.XLOOKUP(AH998,menu!$O$2:$O$9,menu!$H$2:$H$9,"")</f>
        <v/>
      </c>
      <c r="AI998" t="str">
        <f>_xlfn.LET(_xlpm.x,_xlfn.CONCAT(_xlfn.XLOOKUP(D998,beans!$A$2:$A$300,beans!$J$2:$J$300,"")," / ",_xlfn.XLOOKUP(D998,beans!$A$2:$A$300,beans!$K$2:$K$300,"")," - ",_xlfn.XLOOKUP(D998,beans!$A$2:$A$300,beans!$L$2:$L$300,"")),IF(_xlpm.x=" /  - ","",_xlpm.x))</f>
        <v/>
      </c>
    </row>
    <row r="999" spans="1:35" x14ac:dyDescent="0.3">
      <c r="A999">
        <v>982</v>
      </c>
      <c r="E999" t="str">
        <f>_xlfn.LET(_xlpm.x,_xlfn.XLOOKUP(D999,beans!$A$2:$A$300,beans!$H$2:$H$300,""),IF(_xlpm.x="","",_xlpm.x))</f>
        <v/>
      </c>
      <c r="F999" s="22" t="str">
        <f>_xlfn.XLOOKUP(E999,menu!$A$2:$A$37,menu!$B$2:$B$37,"")</f>
        <v/>
      </c>
      <c r="G999" t="str">
        <f>_xlfn.XLOOKUP(E999,menu!$A$2:$A$37,menu!$C$2:$C$37,"")</f>
        <v/>
      </c>
      <c r="H999" t="str">
        <f>_xlfn.LET(_xlpm.x,_xlfn.XLOOKUP(_xlfn.XLOOKUP(D999,beans!$A$2:$A$300,beans!$I$2:$I$300),menu!$E$2:$E$20,menu!$F$2:$F$20),IF(_xlpm.x="","",_xlpm.x))</f>
        <v/>
      </c>
      <c r="T999" s="68" t="str">
        <f t="shared" si="110"/>
        <v/>
      </c>
      <c r="U999" t="str">
        <f t="shared" si="106"/>
        <v/>
      </c>
      <c r="V999">
        <f t="shared" si="111"/>
        <v>0</v>
      </c>
      <c r="W999" t="str">
        <f t="shared" si="107"/>
        <v/>
      </c>
      <c r="AB999" s="28" t="str">
        <f t="shared" si="108"/>
        <v xml:space="preserve"> </v>
      </c>
      <c r="AE999" s="61" t="str">
        <f t="shared" si="109"/>
        <v/>
      </c>
      <c r="AF999" s="77" t="str">
        <f>_xlfn.XLOOKUP(AD999,menu!$K$2:$K$9,menu!$J$2:$J$9,"",1)</f>
        <v/>
      </c>
      <c r="AG999" s="80" t="str">
        <f>_xlfn.XLOOKUP(AH999,menu!$O$2:$O$9,menu!$H$2:$H$9,"")</f>
        <v/>
      </c>
      <c r="AI999" t="str">
        <f>_xlfn.LET(_xlpm.x,_xlfn.CONCAT(_xlfn.XLOOKUP(D999,beans!$A$2:$A$300,beans!$J$2:$J$300,"")," / ",_xlfn.XLOOKUP(D999,beans!$A$2:$A$300,beans!$K$2:$K$300,"")," - ",_xlfn.XLOOKUP(D999,beans!$A$2:$A$300,beans!$L$2:$L$300,"")),IF(_xlpm.x=" /  - ","",_xlpm.x))</f>
        <v/>
      </c>
    </row>
    <row r="1000" spans="1:35" x14ac:dyDescent="0.3">
      <c r="A1000">
        <v>983</v>
      </c>
      <c r="E1000" t="str">
        <f>_xlfn.LET(_xlpm.x,_xlfn.XLOOKUP(D1000,beans!$A$2:$A$300,beans!$H$2:$H$300,""),IF(_xlpm.x="","",_xlpm.x))</f>
        <v/>
      </c>
      <c r="F1000" s="22" t="str">
        <f>_xlfn.XLOOKUP(E1000,menu!$A$2:$A$37,menu!$B$2:$B$37,"")</f>
        <v/>
      </c>
      <c r="G1000" t="str">
        <f>_xlfn.XLOOKUP(E1000,menu!$A$2:$A$37,menu!$C$2:$C$37,"")</f>
        <v/>
      </c>
      <c r="H1000" t="str">
        <f>_xlfn.LET(_xlpm.x,_xlfn.XLOOKUP(_xlfn.XLOOKUP(D1000,beans!$A$2:$A$300,beans!$I$2:$I$300),menu!$E$2:$E$20,menu!$F$2:$F$20),IF(_xlpm.x="","",_xlpm.x))</f>
        <v/>
      </c>
      <c r="T1000" s="68" t="str">
        <f t="shared" si="110"/>
        <v/>
      </c>
      <c r="U1000" t="str">
        <f t="shared" si="106"/>
        <v/>
      </c>
      <c r="V1000">
        <f t="shared" si="111"/>
        <v>0</v>
      </c>
      <c r="W1000" t="str">
        <f t="shared" si="107"/>
        <v/>
      </c>
      <c r="AB1000" s="28" t="str">
        <f t="shared" si="108"/>
        <v xml:space="preserve"> </v>
      </c>
      <c r="AE1000" s="61" t="str">
        <f t="shared" si="109"/>
        <v/>
      </c>
      <c r="AF1000" s="77" t="str">
        <f>_xlfn.XLOOKUP(AD1000,menu!$K$2:$K$9,menu!$J$2:$J$9,"",1)</f>
        <v/>
      </c>
      <c r="AG1000" s="80" t="str">
        <f>_xlfn.XLOOKUP(AH1000,menu!$O$2:$O$9,menu!$H$2:$H$9,"")</f>
        <v/>
      </c>
      <c r="AI1000" t="str">
        <f>_xlfn.LET(_xlpm.x,_xlfn.CONCAT(_xlfn.XLOOKUP(D1000,beans!$A$2:$A$300,beans!$J$2:$J$300,"")," / ",_xlfn.XLOOKUP(D1000,beans!$A$2:$A$300,beans!$K$2:$K$300,"")," - ",_xlfn.XLOOKUP(D1000,beans!$A$2:$A$300,beans!$L$2:$L$300,"")),IF(_xlpm.x=" /  - ","",_xlpm.x))</f>
        <v/>
      </c>
    </row>
    <row r="1001" spans="1:35" x14ac:dyDescent="0.3">
      <c r="A1001">
        <v>984</v>
      </c>
      <c r="E1001" t="str">
        <f>_xlfn.LET(_xlpm.x,_xlfn.XLOOKUP(D1001,beans!$A$2:$A$300,beans!$H$2:$H$300,""),IF(_xlpm.x="","",_xlpm.x))</f>
        <v/>
      </c>
      <c r="F1001" s="22" t="str">
        <f>_xlfn.XLOOKUP(E1001,menu!$A$2:$A$37,menu!$B$2:$B$37,"")</f>
        <v/>
      </c>
      <c r="G1001" t="str">
        <f>_xlfn.XLOOKUP(E1001,menu!$A$2:$A$37,menu!$C$2:$C$37,"")</f>
        <v/>
      </c>
      <c r="H1001" t="str">
        <f>_xlfn.LET(_xlpm.x,_xlfn.XLOOKUP(_xlfn.XLOOKUP(D1001,beans!$A$2:$A$300,beans!$I$2:$I$300),menu!$E$2:$E$20,menu!$F$2:$F$20),IF(_xlpm.x="","",_xlpm.x))</f>
        <v/>
      </c>
      <c r="T1001" s="68" t="str">
        <f t="shared" si="110"/>
        <v/>
      </c>
      <c r="U1001" t="str">
        <f t="shared" si="106"/>
        <v/>
      </c>
      <c r="V1001">
        <f t="shared" si="111"/>
        <v>0</v>
      </c>
      <c r="W1001" t="str">
        <f t="shared" si="107"/>
        <v/>
      </c>
      <c r="AB1001" s="28" t="str">
        <f t="shared" si="108"/>
        <v xml:space="preserve"> </v>
      </c>
      <c r="AE1001" s="61" t="str">
        <f t="shared" si="109"/>
        <v/>
      </c>
      <c r="AF1001" s="77" t="str">
        <f>_xlfn.XLOOKUP(AD1001,menu!$K$2:$K$9,menu!$J$2:$J$9,"",1)</f>
        <v/>
      </c>
      <c r="AG1001" s="80" t="str">
        <f>_xlfn.XLOOKUP(AH1001,menu!$O$2:$O$9,menu!$H$2:$H$9,"")</f>
        <v/>
      </c>
      <c r="AI1001" t="str">
        <f>_xlfn.LET(_xlpm.x,_xlfn.CONCAT(_xlfn.XLOOKUP(D1001,beans!$A$2:$A$300,beans!$J$2:$J$300,"")," / ",_xlfn.XLOOKUP(D1001,beans!$A$2:$A$300,beans!$K$2:$K$300,"")," - ",_xlfn.XLOOKUP(D1001,beans!$A$2:$A$300,beans!$L$2:$L$300,"")),IF(_xlpm.x=" /  - ","",_xlpm.x))</f>
        <v/>
      </c>
    </row>
    <row r="1002" spans="1:35" x14ac:dyDescent="0.3">
      <c r="A1002">
        <v>985</v>
      </c>
      <c r="E1002" t="str">
        <f>_xlfn.LET(_xlpm.x,_xlfn.XLOOKUP(D1002,beans!$A$2:$A$300,beans!$H$2:$H$300,""),IF(_xlpm.x="","",_xlpm.x))</f>
        <v/>
      </c>
      <c r="F1002" s="22" t="str">
        <f>_xlfn.XLOOKUP(E1002,menu!$A$2:$A$37,menu!$B$2:$B$37,"")</f>
        <v/>
      </c>
      <c r="G1002" t="str">
        <f>_xlfn.XLOOKUP(E1002,menu!$A$2:$A$37,menu!$C$2:$C$37,"")</f>
        <v/>
      </c>
      <c r="H1002" t="str">
        <f>_xlfn.LET(_xlpm.x,_xlfn.XLOOKUP(_xlfn.XLOOKUP(D1002,beans!$A$2:$A$300,beans!$I$2:$I$300),menu!$E$2:$E$20,menu!$F$2:$F$20),IF(_xlpm.x="","",_xlpm.x))</f>
        <v/>
      </c>
      <c r="T1002" s="68" t="str">
        <f t="shared" si="110"/>
        <v/>
      </c>
      <c r="U1002" t="str">
        <f t="shared" si="106"/>
        <v/>
      </c>
      <c r="V1002">
        <f t="shared" si="111"/>
        <v>0</v>
      </c>
      <c r="W1002" t="str">
        <f t="shared" si="107"/>
        <v/>
      </c>
      <c r="AB1002" s="28" t="str">
        <f t="shared" si="108"/>
        <v xml:space="preserve"> </v>
      </c>
      <c r="AE1002" s="61" t="str">
        <f t="shared" si="109"/>
        <v/>
      </c>
      <c r="AF1002" s="77" t="str">
        <f>_xlfn.XLOOKUP(AD1002,menu!$K$2:$K$9,menu!$J$2:$J$9,"",1)</f>
        <v/>
      </c>
      <c r="AG1002" s="80" t="str">
        <f>_xlfn.XLOOKUP(AH1002,menu!$O$2:$O$9,menu!$H$2:$H$9,"")</f>
        <v/>
      </c>
      <c r="AI1002" t="str">
        <f>_xlfn.LET(_xlpm.x,_xlfn.CONCAT(_xlfn.XLOOKUP(D1002,beans!$A$2:$A$300,beans!$J$2:$J$300,"")," / ",_xlfn.XLOOKUP(D1002,beans!$A$2:$A$300,beans!$K$2:$K$300,"")," - ",_xlfn.XLOOKUP(D1002,beans!$A$2:$A$300,beans!$L$2:$L$300,"")),IF(_xlpm.x=" /  - ","",_xlpm.x))</f>
        <v/>
      </c>
    </row>
    <row r="1003" spans="1:35" x14ac:dyDescent="0.3">
      <c r="A1003">
        <v>986</v>
      </c>
      <c r="E1003" t="str">
        <f>_xlfn.LET(_xlpm.x,_xlfn.XLOOKUP(D1003,beans!$A$2:$A$300,beans!$H$2:$H$300,""),IF(_xlpm.x="","",_xlpm.x))</f>
        <v/>
      </c>
      <c r="F1003" s="22" t="str">
        <f>_xlfn.XLOOKUP(E1003,menu!$A$2:$A$37,menu!$B$2:$B$37,"")</f>
        <v/>
      </c>
      <c r="G1003" t="str">
        <f>_xlfn.XLOOKUP(E1003,menu!$A$2:$A$37,menu!$C$2:$C$37,"")</f>
        <v/>
      </c>
      <c r="H1003" t="str">
        <f>_xlfn.LET(_xlpm.x,_xlfn.XLOOKUP(_xlfn.XLOOKUP(D1003,beans!$A$2:$A$300,beans!$I$2:$I$300),menu!$E$2:$E$20,menu!$F$2:$F$20),IF(_xlpm.x="","",_xlpm.x))</f>
        <v/>
      </c>
      <c r="T1003" s="68" t="str">
        <f t="shared" si="110"/>
        <v/>
      </c>
      <c r="U1003" t="str">
        <f t="shared" si="106"/>
        <v/>
      </c>
      <c r="V1003">
        <f t="shared" si="111"/>
        <v>0</v>
      </c>
      <c r="W1003" t="str">
        <f t="shared" si="107"/>
        <v/>
      </c>
      <c r="AB1003" s="28" t="str">
        <f t="shared" si="108"/>
        <v xml:space="preserve"> </v>
      </c>
      <c r="AE1003" s="61" t="str">
        <f t="shared" si="109"/>
        <v/>
      </c>
      <c r="AF1003" s="77" t="str">
        <f>_xlfn.XLOOKUP(AD1003,menu!$K$2:$K$9,menu!$J$2:$J$9,"",1)</f>
        <v/>
      </c>
      <c r="AG1003" s="80" t="str">
        <f>_xlfn.XLOOKUP(AH1003,menu!$O$2:$O$9,menu!$H$2:$H$9,"")</f>
        <v/>
      </c>
      <c r="AI1003" t="str">
        <f>_xlfn.LET(_xlpm.x,_xlfn.CONCAT(_xlfn.XLOOKUP(D1003,beans!$A$2:$A$300,beans!$J$2:$J$300,"")," / ",_xlfn.XLOOKUP(D1003,beans!$A$2:$A$300,beans!$K$2:$K$300,"")," - ",_xlfn.XLOOKUP(D1003,beans!$A$2:$A$300,beans!$L$2:$L$300,"")),IF(_xlpm.x=" /  - ","",_xlpm.x))</f>
        <v/>
      </c>
    </row>
    <row r="1004" spans="1:35" x14ac:dyDescent="0.3">
      <c r="A1004">
        <v>987</v>
      </c>
      <c r="E1004" t="str">
        <f>_xlfn.LET(_xlpm.x,_xlfn.XLOOKUP(D1004,beans!$A$2:$A$300,beans!$H$2:$H$300,""),IF(_xlpm.x="","",_xlpm.x))</f>
        <v/>
      </c>
      <c r="F1004" s="22" t="str">
        <f>_xlfn.XLOOKUP(E1004,menu!$A$2:$A$37,menu!$B$2:$B$37,"")</f>
        <v/>
      </c>
      <c r="G1004" t="str">
        <f>_xlfn.XLOOKUP(E1004,menu!$A$2:$A$37,menu!$C$2:$C$37,"")</f>
        <v/>
      </c>
      <c r="H1004" t="str">
        <f>_xlfn.LET(_xlpm.x,_xlfn.XLOOKUP(_xlfn.XLOOKUP(D1004,beans!$A$2:$A$300,beans!$I$2:$I$300),menu!$E$2:$E$20,menu!$F$2:$F$20),IF(_xlpm.x="","",_xlpm.x))</f>
        <v/>
      </c>
      <c r="T1004" s="68" t="str">
        <f t="shared" si="110"/>
        <v/>
      </c>
      <c r="U1004" t="str">
        <f t="shared" si="106"/>
        <v/>
      </c>
      <c r="V1004">
        <f t="shared" si="111"/>
        <v>0</v>
      </c>
      <c r="W1004" t="str">
        <f t="shared" si="107"/>
        <v/>
      </c>
      <c r="AB1004" s="28" t="str">
        <f t="shared" si="108"/>
        <v xml:space="preserve"> </v>
      </c>
      <c r="AE1004" s="61" t="str">
        <f t="shared" si="109"/>
        <v/>
      </c>
      <c r="AF1004" s="77" t="str">
        <f>_xlfn.XLOOKUP(AD1004,menu!$K$2:$K$9,menu!$J$2:$J$9,"",1)</f>
        <v/>
      </c>
      <c r="AG1004" s="80" t="str">
        <f>_xlfn.XLOOKUP(AH1004,menu!$O$2:$O$9,menu!$H$2:$H$9,"")</f>
        <v/>
      </c>
      <c r="AI1004" t="str">
        <f>_xlfn.LET(_xlpm.x,_xlfn.CONCAT(_xlfn.XLOOKUP(D1004,beans!$A$2:$A$300,beans!$J$2:$J$300,"")," / ",_xlfn.XLOOKUP(D1004,beans!$A$2:$A$300,beans!$K$2:$K$300,"")," - ",_xlfn.XLOOKUP(D1004,beans!$A$2:$A$300,beans!$L$2:$L$300,"")),IF(_xlpm.x=" /  - ","",_xlpm.x))</f>
        <v/>
      </c>
    </row>
    <row r="1005" spans="1:35" x14ac:dyDescent="0.3">
      <c r="A1005">
        <v>988</v>
      </c>
      <c r="E1005" t="str">
        <f>_xlfn.LET(_xlpm.x,_xlfn.XLOOKUP(D1005,beans!$A$2:$A$300,beans!$H$2:$H$300,""),IF(_xlpm.x="","",_xlpm.x))</f>
        <v/>
      </c>
      <c r="F1005" s="22" t="str">
        <f>_xlfn.XLOOKUP(E1005,menu!$A$2:$A$37,menu!$B$2:$B$37,"")</f>
        <v/>
      </c>
      <c r="G1005" t="str">
        <f>_xlfn.XLOOKUP(E1005,menu!$A$2:$A$37,menu!$C$2:$C$37,"")</f>
        <v/>
      </c>
      <c r="H1005" t="str">
        <f>_xlfn.LET(_xlpm.x,_xlfn.XLOOKUP(_xlfn.XLOOKUP(D1005,beans!$A$2:$A$300,beans!$I$2:$I$300),menu!$E$2:$E$20,menu!$F$2:$F$20),IF(_xlpm.x="","",_xlpm.x))</f>
        <v/>
      </c>
      <c r="T1005" s="68" t="str">
        <f t="shared" si="110"/>
        <v/>
      </c>
      <c r="U1005" t="str">
        <f t="shared" si="106"/>
        <v/>
      </c>
      <c r="V1005">
        <f t="shared" si="111"/>
        <v>0</v>
      </c>
      <c r="W1005" t="str">
        <f t="shared" si="107"/>
        <v/>
      </c>
      <c r="AB1005" s="28" t="str">
        <f t="shared" si="108"/>
        <v xml:space="preserve"> </v>
      </c>
      <c r="AE1005" s="61" t="str">
        <f t="shared" si="109"/>
        <v/>
      </c>
      <c r="AF1005" s="77" t="str">
        <f>_xlfn.XLOOKUP(AD1005,menu!$K$2:$K$9,menu!$J$2:$J$9,"",1)</f>
        <v/>
      </c>
      <c r="AG1005" s="80" t="str">
        <f>_xlfn.XLOOKUP(AH1005,menu!$O$2:$O$9,menu!$H$2:$H$9,"")</f>
        <v/>
      </c>
      <c r="AI1005" t="str">
        <f>_xlfn.LET(_xlpm.x,_xlfn.CONCAT(_xlfn.XLOOKUP(D1005,beans!$A$2:$A$300,beans!$J$2:$J$300,"")," / ",_xlfn.XLOOKUP(D1005,beans!$A$2:$A$300,beans!$K$2:$K$300,"")," - ",_xlfn.XLOOKUP(D1005,beans!$A$2:$A$300,beans!$L$2:$L$300,"")),IF(_xlpm.x=" /  - ","",_xlpm.x))</f>
        <v/>
      </c>
    </row>
    <row r="1006" spans="1:35" x14ac:dyDescent="0.3">
      <c r="A1006">
        <v>989</v>
      </c>
      <c r="E1006" t="str">
        <f>_xlfn.LET(_xlpm.x,_xlfn.XLOOKUP(D1006,beans!$A$2:$A$300,beans!$H$2:$H$300,""),IF(_xlpm.x="","",_xlpm.x))</f>
        <v/>
      </c>
      <c r="F1006" s="22" t="str">
        <f>_xlfn.XLOOKUP(E1006,menu!$A$2:$A$37,menu!$B$2:$B$37,"")</f>
        <v/>
      </c>
      <c r="G1006" t="str">
        <f>_xlfn.XLOOKUP(E1006,menu!$A$2:$A$37,menu!$C$2:$C$37,"")</f>
        <v/>
      </c>
      <c r="H1006" t="str">
        <f>_xlfn.LET(_xlpm.x,_xlfn.XLOOKUP(_xlfn.XLOOKUP(D1006,beans!$A$2:$A$300,beans!$I$2:$I$300),menu!$E$2:$E$20,menu!$F$2:$F$20),IF(_xlpm.x="","",_xlpm.x))</f>
        <v/>
      </c>
      <c r="T1006" s="68" t="str">
        <f t="shared" si="110"/>
        <v/>
      </c>
      <c r="U1006" t="str">
        <f t="shared" si="106"/>
        <v/>
      </c>
      <c r="V1006">
        <f t="shared" si="111"/>
        <v>0</v>
      </c>
      <c r="W1006" t="str">
        <f t="shared" si="107"/>
        <v/>
      </c>
      <c r="AB1006" s="28" t="str">
        <f t="shared" si="108"/>
        <v xml:space="preserve"> </v>
      </c>
      <c r="AE1006" s="61" t="str">
        <f t="shared" si="109"/>
        <v/>
      </c>
      <c r="AF1006" s="77" t="str">
        <f>_xlfn.XLOOKUP(AD1006,menu!$K$2:$K$9,menu!$J$2:$J$9,"",1)</f>
        <v/>
      </c>
      <c r="AG1006" s="80" t="str">
        <f>_xlfn.XLOOKUP(AH1006,menu!$O$2:$O$9,menu!$H$2:$H$9,"")</f>
        <v/>
      </c>
      <c r="AI1006" t="str">
        <f>_xlfn.LET(_xlpm.x,_xlfn.CONCAT(_xlfn.XLOOKUP(D1006,beans!$A$2:$A$300,beans!$J$2:$J$300,"")," / ",_xlfn.XLOOKUP(D1006,beans!$A$2:$A$300,beans!$K$2:$K$300,"")," - ",_xlfn.XLOOKUP(D1006,beans!$A$2:$A$300,beans!$L$2:$L$300,"")),IF(_xlpm.x=" /  - ","",_xlpm.x))</f>
        <v/>
      </c>
    </row>
    <row r="1007" spans="1:35" x14ac:dyDescent="0.3">
      <c r="A1007">
        <v>990</v>
      </c>
      <c r="E1007" t="str">
        <f>_xlfn.LET(_xlpm.x,_xlfn.XLOOKUP(D1007,beans!$A$2:$A$300,beans!$H$2:$H$300,""),IF(_xlpm.x="","",_xlpm.x))</f>
        <v/>
      </c>
      <c r="F1007" s="22" t="str">
        <f>_xlfn.XLOOKUP(E1007,menu!$A$2:$A$37,menu!$B$2:$B$37,"")</f>
        <v/>
      </c>
      <c r="G1007" t="str">
        <f>_xlfn.XLOOKUP(E1007,menu!$A$2:$A$37,menu!$C$2:$C$37,"")</f>
        <v/>
      </c>
      <c r="H1007" t="str">
        <f>_xlfn.LET(_xlpm.x,_xlfn.XLOOKUP(_xlfn.XLOOKUP(D1007,beans!$A$2:$A$300,beans!$I$2:$I$300),menu!$E$2:$E$20,menu!$F$2:$F$20),IF(_xlpm.x="","",_xlpm.x))</f>
        <v/>
      </c>
      <c r="T1007" s="68" t="str">
        <f t="shared" si="110"/>
        <v/>
      </c>
      <c r="U1007" t="str">
        <f t="shared" si="106"/>
        <v/>
      </c>
      <c r="V1007">
        <f t="shared" si="111"/>
        <v>0</v>
      </c>
      <c r="W1007" t="str">
        <f t="shared" si="107"/>
        <v/>
      </c>
      <c r="AB1007" s="28" t="str">
        <f t="shared" si="108"/>
        <v xml:space="preserve"> </v>
      </c>
      <c r="AE1007" s="61" t="str">
        <f t="shared" si="109"/>
        <v/>
      </c>
      <c r="AF1007" s="77" t="str">
        <f>_xlfn.XLOOKUP(AD1007,menu!$K$2:$K$9,menu!$J$2:$J$9,"",1)</f>
        <v/>
      </c>
      <c r="AG1007" s="80" t="str">
        <f>_xlfn.XLOOKUP(AH1007,menu!$O$2:$O$9,menu!$H$2:$H$9,"")</f>
        <v/>
      </c>
      <c r="AI1007" t="str">
        <f>_xlfn.LET(_xlpm.x,_xlfn.CONCAT(_xlfn.XLOOKUP(D1007,beans!$A$2:$A$300,beans!$J$2:$J$300,"")," / ",_xlfn.XLOOKUP(D1007,beans!$A$2:$A$300,beans!$K$2:$K$300,"")," - ",_xlfn.XLOOKUP(D1007,beans!$A$2:$A$300,beans!$L$2:$L$300,"")),IF(_xlpm.x=" /  - ","",_xlpm.x))</f>
        <v/>
      </c>
    </row>
    <row r="1008" spans="1:35" x14ac:dyDescent="0.3">
      <c r="A1008">
        <v>991</v>
      </c>
      <c r="E1008" t="str">
        <f>_xlfn.LET(_xlpm.x,_xlfn.XLOOKUP(D1008,beans!$A$2:$A$300,beans!$H$2:$H$300,""),IF(_xlpm.x="","",_xlpm.x))</f>
        <v/>
      </c>
      <c r="F1008" s="22" t="str">
        <f>_xlfn.XLOOKUP(E1008,menu!$A$2:$A$37,menu!$B$2:$B$37,"")</f>
        <v/>
      </c>
      <c r="G1008" t="str">
        <f>_xlfn.XLOOKUP(E1008,menu!$A$2:$A$37,menu!$C$2:$C$37,"")</f>
        <v/>
      </c>
      <c r="H1008" t="str">
        <f>_xlfn.LET(_xlpm.x,_xlfn.XLOOKUP(_xlfn.XLOOKUP(D1008,beans!$A$2:$A$300,beans!$I$2:$I$300),menu!$E$2:$E$20,menu!$F$2:$F$20),IF(_xlpm.x="","",_xlpm.x))</f>
        <v/>
      </c>
      <c r="T1008" s="68" t="str">
        <f t="shared" si="110"/>
        <v/>
      </c>
      <c r="U1008" t="str">
        <f t="shared" si="106"/>
        <v/>
      </c>
      <c r="V1008">
        <f t="shared" si="111"/>
        <v>0</v>
      </c>
      <c r="W1008" t="str">
        <f t="shared" si="107"/>
        <v/>
      </c>
      <c r="AB1008" s="28" t="str">
        <f t="shared" si="108"/>
        <v xml:space="preserve"> </v>
      </c>
      <c r="AE1008" s="61" t="str">
        <f t="shared" si="109"/>
        <v/>
      </c>
      <c r="AF1008" s="77" t="str">
        <f>_xlfn.XLOOKUP(AD1008,menu!$K$2:$K$9,menu!$J$2:$J$9,"",1)</f>
        <v/>
      </c>
      <c r="AG1008" s="80" t="str">
        <f>_xlfn.XLOOKUP(AH1008,menu!$O$2:$O$9,menu!$H$2:$H$9,"")</f>
        <v/>
      </c>
      <c r="AI1008" t="str">
        <f>_xlfn.LET(_xlpm.x,_xlfn.CONCAT(_xlfn.XLOOKUP(D1008,beans!$A$2:$A$300,beans!$J$2:$J$300,"")," / ",_xlfn.XLOOKUP(D1008,beans!$A$2:$A$300,beans!$K$2:$K$300,"")," - ",_xlfn.XLOOKUP(D1008,beans!$A$2:$A$300,beans!$L$2:$L$300,"")),IF(_xlpm.x=" /  - ","",_xlpm.x))</f>
        <v/>
      </c>
    </row>
    <row r="1009" spans="1:35" x14ac:dyDescent="0.3">
      <c r="A1009">
        <v>992</v>
      </c>
      <c r="E1009" t="str">
        <f>_xlfn.LET(_xlpm.x,_xlfn.XLOOKUP(D1009,beans!$A$2:$A$300,beans!$H$2:$H$300,""),IF(_xlpm.x="","",_xlpm.x))</f>
        <v/>
      </c>
      <c r="F1009" s="22" t="str">
        <f>_xlfn.XLOOKUP(E1009,menu!$A$2:$A$37,menu!$B$2:$B$37,"")</f>
        <v/>
      </c>
      <c r="G1009" t="str">
        <f>_xlfn.XLOOKUP(E1009,menu!$A$2:$A$37,menu!$C$2:$C$37,"")</f>
        <v/>
      </c>
      <c r="H1009" t="str">
        <f>_xlfn.LET(_xlpm.x,_xlfn.XLOOKUP(_xlfn.XLOOKUP(D1009,beans!$A$2:$A$300,beans!$I$2:$I$300),menu!$E$2:$E$20,menu!$F$2:$F$20),IF(_xlpm.x="","",_xlpm.x))</f>
        <v/>
      </c>
      <c r="T1009" s="68" t="str">
        <f t="shared" si="110"/>
        <v/>
      </c>
      <c r="U1009" t="str">
        <f t="shared" si="106"/>
        <v/>
      </c>
      <c r="V1009">
        <f t="shared" si="111"/>
        <v>0</v>
      </c>
      <c r="W1009" t="str">
        <f t="shared" si="107"/>
        <v/>
      </c>
      <c r="AB1009" s="28" t="str">
        <f t="shared" si="108"/>
        <v xml:space="preserve"> </v>
      </c>
      <c r="AE1009" s="61" t="str">
        <f t="shared" si="109"/>
        <v/>
      </c>
      <c r="AF1009" s="77" t="str">
        <f>_xlfn.XLOOKUP(AD1009,menu!$K$2:$K$9,menu!$J$2:$J$9,"",1)</f>
        <v/>
      </c>
      <c r="AG1009" s="80" t="str">
        <f>_xlfn.XLOOKUP(AH1009,menu!$O$2:$O$9,menu!$H$2:$H$9,"")</f>
        <v/>
      </c>
      <c r="AI1009" t="str">
        <f>_xlfn.LET(_xlpm.x,_xlfn.CONCAT(_xlfn.XLOOKUP(D1009,beans!$A$2:$A$300,beans!$J$2:$J$300,"")," / ",_xlfn.XLOOKUP(D1009,beans!$A$2:$A$300,beans!$K$2:$K$300,"")," - ",_xlfn.XLOOKUP(D1009,beans!$A$2:$A$300,beans!$L$2:$L$300,"")),IF(_xlpm.x=" /  - ","",_xlpm.x))</f>
        <v/>
      </c>
    </row>
    <row r="1010" spans="1:35" x14ac:dyDescent="0.3">
      <c r="A1010">
        <v>993</v>
      </c>
      <c r="E1010" t="str">
        <f>_xlfn.LET(_xlpm.x,_xlfn.XLOOKUP(D1010,beans!$A$2:$A$300,beans!$H$2:$H$300,""),IF(_xlpm.x="","",_xlpm.x))</f>
        <v/>
      </c>
      <c r="F1010" s="22" t="str">
        <f>_xlfn.XLOOKUP(E1010,menu!$A$2:$A$37,menu!$B$2:$B$37,"")</f>
        <v/>
      </c>
      <c r="G1010" t="str">
        <f>_xlfn.XLOOKUP(E1010,menu!$A$2:$A$37,menu!$C$2:$C$37,"")</f>
        <v/>
      </c>
      <c r="H1010" t="str">
        <f>_xlfn.LET(_xlpm.x,_xlfn.XLOOKUP(_xlfn.XLOOKUP(D1010,beans!$A$2:$A$300,beans!$I$2:$I$300),menu!$E$2:$E$20,menu!$F$2:$F$20),IF(_xlpm.x="","",_xlpm.x))</f>
        <v/>
      </c>
      <c r="T1010" s="68" t="str">
        <f t="shared" si="110"/>
        <v/>
      </c>
      <c r="U1010" t="str">
        <f t="shared" si="106"/>
        <v/>
      </c>
      <c r="V1010">
        <f t="shared" si="111"/>
        <v>0</v>
      </c>
      <c r="W1010" t="str">
        <f t="shared" si="107"/>
        <v/>
      </c>
      <c r="AB1010" s="28" t="str">
        <f t="shared" si="108"/>
        <v xml:space="preserve"> </v>
      </c>
      <c r="AE1010" s="61" t="str">
        <f t="shared" si="109"/>
        <v/>
      </c>
      <c r="AF1010" s="77" t="str">
        <f>_xlfn.XLOOKUP(AD1010,menu!$K$2:$K$9,menu!$J$2:$J$9,"",1)</f>
        <v/>
      </c>
      <c r="AG1010" s="80" t="str">
        <f>_xlfn.XLOOKUP(AH1010,menu!$O$2:$O$9,menu!$H$2:$H$9,"")</f>
        <v/>
      </c>
      <c r="AI1010" t="str">
        <f>_xlfn.LET(_xlpm.x,_xlfn.CONCAT(_xlfn.XLOOKUP(D1010,beans!$A$2:$A$300,beans!$J$2:$J$300,"")," / ",_xlfn.XLOOKUP(D1010,beans!$A$2:$A$300,beans!$K$2:$K$300,"")," - ",_xlfn.XLOOKUP(D1010,beans!$A$2:$A$300,beans!$L$2:$L$300,"")),IF(_xlpm.x=" /  - ","",_xlpm.x))</f>
        <v/>
      </c>
    </row>
    <row r="1011" spans="1:35" x14ac:dyDescent="0.3">
      <c r="A1011">
        <v>994</v>
      </c>
      <c r="E1011" t="str">
        <f>_xlfn.LET(_xlpm.x,_xlfn.XLOOKUP(D1011,beans!$A$2:$A$300,beans!$H$2:$H$300,""),IF(_xlpm.x="","",_xlpm.x))</f>
        <v/>
      </c>
      <c r="F1011" s="22" t="str">
        <f>_xlfn.XLOOKUP(E1011,menu!$A$2:$A$37,menu!$B$2:$B$37,"")</f>
        <v/>
      </c>
      <c r="G1011" t="str">
        <f>_xlfn.XLOOKUP(E1011,menu!$A$2:$A$37,menu!$C$2:$C$37,"")</f>
        <v/>
      </c>
      <c r="H1011" t="str">
        <f>_xlfn.LET(_xlpm.x,_xlfn.XLOOKUP(_xlfn.XLOOKUP(D1011,beans!$A$2:$A$300,beans!$I$2:$I$300),menu!$E$2:$E$20,menu!$F$2:$F$20),IF(_xlpm.x="","",_xlpm.x))</f>
        <v/>
      </c>
      <c r="T1011" s="68" t="str">
        <f t="shared" si="110"/>
        <v/>
      </c>
      <c r="U1011" t="str">
        <f t="shared" si="106"/>
        <v/>
      </c>
      <c r="V1011">
        <f t="shared" si="111"/>
        <v>0</v>
      </c>
      <c r="W1011" t="str">
        <f t="shared" si="107"/>
        <v/>
      </c>
      <c r="AB1011" s="28" t="str">
        <f t="shared" si="108"/>
        <v xml:space="preserve"> </v>
      </c>
      <c r="AE1011" s="61" t="str">
        <f t="shared" si="109"/>
        <v/>
      </c>
      <c r="AF1011" s="77" t="str">
        <f>_xlfn.XLOOKUP(AD1011,menu!$K$2:$K$9,menu!$J$2:$J$9,"",1)</f>
        <v/>
      </c>
      <c r="AG1011" s="80" t="str">
        <f>_xlfn.XLOOKUP(AH1011,menu!$O$2:$O$9,menu!$H$2:$H$9,"")</f>
        <v/>
      </c>
      <c r="AI1011" t="str">
        <f>_xlfn.LET(_xlpm.x,_xlfn.CONCAT(_xlfn.XLOOKUP(D1011,beans!$A$2:$A$300,beans!$J$2:$J$300,"")," / ",_xlfn.XLOOKUP(D1011,beans!$A$2:$A$300,beans!$K$2:$K$300,"")," - ",_xlfn.XLOOKUP(D1011,beans!$A$2:$A$300,beans!$L$2:$L$300,"")),IF(_xlpm.x=" /  - ","",_xlpm.x))</f>
        <v/>
      </c>
    </row>
    <row r="1012" spans="1:35" x14ac:dyDescent="0.3">
      <c r="A1012">
        <v>995</v>
      </c>
      <c r="E1012" t="str">
        <f>_xlfn.LET(_xlpm.x,_xlfn.XLOOKUP(D1012,beans!$A$2:$A$300,beans!$H$2:$H$300,""),IF(_xlpm.x="","",_xlpm.x))</f>
        <v/>
      </c>
      <c r="F1012" s="22" t="str">
        <f>_xlfn.XLOOKUP(E1012,menu!$A$2:$A$37,menu!$B$2:$B$37,"")</f>
        <v/>
      </c>
      <c r="G1012" t="str">
        <f>_xlfn.XLOOKUP(E1012,menu!$A$2:$A$37,menu!$C$2:$C$37,"")</f>
        <v/>
      </c>
      <c r="H1012" t="str">
        <f>_xlfn.LET(_xlpm.x,_xlfn.XLOOKUP(_xlfn.XLOOKUP(D1012,beans!$A$2:$A$300,beans!$I$2:$I$300),menu!$E$2:$E$20,menu!$F$2:$F$20),IF(_xlpm.x="","",_xlpm.x))</f>
        <v/>
      </c>
      <c r="T1012" s="68" t="str">
        <f t="shared" si="110"/>
        <v/>
      </c>
      <c r="U1012" t="str">
        <f t="shared" si="106"/>
        <v/>
      </c>
      <c r="V1012">
        <f t="shared" si="111"/>
        <v>0</v>
      </c>
      <c r="W1012" t="str">
        <f t="shared" si="107"/>
        <v/>
      </c>
      <c r="AB1012" s="28" t="str">
        <f t="shared" si="108"/>
        <v xml:space="preserve"> </v>
      </c>
      <c r="AE1012" s="61" t="str">
        <f t="shared" si="109"/>
        <v/>
      </c>
      <c r="AF1012" s="77" t="str">
        <f>_xlfn.XLOOKUP(AD1012,menu!$K$2:$K$9,menu!$J$2:$J$9,"",1)</f>
        <v/>
      </c>
      <c r="AG1012" s="80" t="str">
        <f>_xlfn.XLOOKUP(AH1012,menu!$O$2:$O$9,menu!$H$2:$H$9,"")</f>
        <v/>
      </c>
      <c r="AI1012" t="str">
        <f>_xlfn.LET(_xlpm.x,_xlfn.CONCAT(_xlfn.XLOOKUP(D1012,beans!$A$2:$A$300,beans!$J$2:$J$300,"")," / ",_xlfn.XLOOKUP(D1012,beans!$A$2:$A$300,beans!$K$2:$K$300,"")," - ",_xlfn.XLOOKUP(D1012,beans!$A$2:$A$300,beans!$L$2:$L$300,"")),IF(_xlpm.x=" /  - ","",_xlpm.x))</f>
        <v/>
      </c>
    </row>
    <row r="1013" spans="1:35" x14ac:dyDescent="0.3">
      <c r="A1013">
        <v>996</v>
      </c>
      <c r="E1013" t="str">
        <f>_xlfn.LET(_xlpm.x,_xlfn.XLOOKUP(D1013,beans!$A$2:$A$300,beans!$H$2:$H$300,""),IF(_xlpm.x="","",_xlpm.x))</f>
        <v/>
      </c>
      <c r="F1013" s="22" t="str">
        <f>_xlfn.XLOOKUP(E1013,menu!$A$2:$A$37,menu!$B$2:$B$37,"")</f>
        <v/>
      </c>
      <c r="G1013" t="str">
        <f>_xlfn.XLOOKUP(E1013,menu!$A$2:$A$37,menu!$C$2:$C$37,"")</f>
        <v/>
      </c>
      <c r="H1013" t="str">
        <f>_xlfn.LET(_xlpm.x,_xlfn.XLOOKUP(_xlfn.XLOOKUP(D1013,beans!$A$2:$A$300,beans!$I$2:$I$300),menu!$E$2:$E$20,menu!$F$2:$F$20),IF(_xlpm.x="","",_xlpm.x))</f>
        <v/>
      </c>
      <c r="T1013" s="68" t="str">
        <f t="shared" si="110"/>
        <v/>
      </c>
      <c r="U1013" t="str">
        <f t="shared" si="106"/>
        <v/>
      </c>
      <c r="V1013">
        <f t="shared" si="111"/>
        <v>0</v>
      </c>
      <c r="W1013" t="str">
        <f t="shared" si="107"/>
        <v/>
      </c>
      <c r="AB1013" s="28" t="str">
        <f t="shared" si="108"/>
        <v xml:space="preserve"> </v>
      </c>
      <c r="AE1013" s="61" t="str">
        <f t="shared" si="109"/>
        <v/>
      </c>
      <c r="AF1013" s="77" t="str">
        <f>_xlfn.XLOOKUP(AD1013,menu!$K$2:$K$9,menu!$J$2:$J$9,"",1)</f>
        <v/>
      </c>
      <c r="AG1013" s="80" t="str">
        <f>_xlfn.XLOOKUP(AH1013,menu!$O$2:$O$9,menu!$H$2:$H$9,"")</f>
        <v/>
      </c>
      <c r="AI1013" t="str">
        <f>_xlfn.LET(_xlpm.x,_xlfn.CONCAT(_xlfn.XLOOKUP(D1013,beans!$A$2:$A$300,beans!$J$2:$J$300,"")," / ",_xlfn.XLOOKUP(D1013,beans!$A$2:$A$300,beans!$K$2:$K$300,"")," - ",_xlfn.XLOOKUP(D1013,beans!$A$2:$A$300,beans!$L$2:$L$300,"")),IF(_xlpm.x=" /  - ","",_xlpm.x))</f>
        <v/>
      </c>
    </row>
    <row r="1014" spans="1:35" x14ac:dyDescent="0.3">
      <c r="A1014">
        <v>997</v>
      </c>
      <c r="E1014" t="str">
        <f>_xlfn.LET(_xlpm.x,_xlfn.XLOOKUP(D1014,beans!$A$2:$A$300,beans!$H$2:$H$300,""),IF(_xlpm.x="","",_xlpm.x))</f>
        <v/>
      </c>
      <c r="F1014" s="22" t="str">
        <f>_xlfn.XLOOKUP(E1014,menu!$A$2:$A$37,menu!$B$2:$B$37,"")</f>
        <v/>
      </c>
      <c r="G1014" t="str">
        <f>_xlfn.XLOOKUP(E1014,menu!$A$2:$A$37,menu!$C$2:$C$37,"")</f>
        <v/>
      </c>
      <c r="H1014" t="str">
        <f>_xlfn.LET(_xlpm.x,_xlfn.XLOOKUP(_xlfn.XLOOKUP(D1014,beans!$A$2:$A$300,beans!$I$2:$I$300),menu!$E$2:$E$20,menu!$F$2:$F$20),IF(_xlpm.x="","",_xlpm.x))</f>
        <v/>
      </c>
      <c r="T1014" s="68" t="str">
        <f t="shared" si="110"/>
        <v/>
      </c>
      <c r="U1014" t="str">
        <f t="shared" si="106"/>
        <v/>
      </c>
      <c r="V1014">
        <f t="shared" si="111"/>
        <v>0</v>
      </c>
      <c r="W1014" t="str">
        <f t="shared" si="107"/>
        <v/>
      </c>
      <c r="AB1014" s="28" t="str">
        <f t="shared" si="108"/>
        <v xml:space="preserve"> </v>
      </c>
      <c r="AE1014" s="61" t="str">
        <f t="shared" si="109"/>
        <v/>
      </c>
      <c r="AF1014" s="77" t="str">
        <f>_xlfn.XLOOKUP(AD1014,menu!$K$2:$K$9,menu!$J$2:$J$9,"",1)</f>
        <v/>
      </c>
      <c r="AG1014" s="80" t="str">
        <f>_xlfn.XLOOKUP(AH1014,menu!$O$2:$O$9,menu!$H$2:$H$9,"")</f>
        <v/>
      </c>
      <c r="AI1014" t="str">
        <f>_xlfn.LET(_xlpm.x,_xlfn.CONCAT(_xlfn.XLOOKUP(D1014,beans!$A$2:$A$300,beans!$J$2:$J$300,"")," / ",_xlfn.XLOOKUP(D1014,beans!$A$2:$A$300,beans!$K$2:$K$300,"")," - ",_xlfn.XLOOKUP(D1014,beans!$A$2:$A$300,beans!$L$2:$L$300,"")),IF(_xlpm.x=" /  - ","",_xlpm.x))</f>
        <v/>
      </c>
    </row>
    <row r="1015" spans="1:35" x14ac:dyDescent="0.3">
      <c r="A1015">
        <v>998</v>
      </c>
      <c r="E1015" t="str">
        <f>_xlfn.LET(_xlpm.x,_xlfn.XLOOKUP(D1015,beans!$A$2:$A$300,beans!$H$2:$H$300,""),IF(_xlpm.x="","",_xlpm.x))</f>
        <v/>
      </c>
      <c r="F1015" s="22" t="str">
        <f>_xlfn.XLOOKUP(E1015,menu!$A$2:$A$37,menu!$B$2:$B$37,"")</f>
        <v/>
      </c>
      <c r="G1015" t="str">
        <f>_xlfn.XLOOKUP(E1015,menu!$A$2:$A$37,menu!$C$2:$C$37,"")</f>
        <v/>
      </c>
      <c r="H1015" t="str">
        <f>_xlfn.LET(_xlpm.x,_xlfn.XLOOKUP(_xlfn.XLOOKUP(D1015,beans!$A$2:$A$300,beans!$I$2:$I$300),menu!$E$2:$E$20,menu!$F$2:$F$20),IF(_xlpm.x="","",_xlpm.x))</f>
        <v/>
      </c>
      <c r="T1015" s="68" t="str">
        <f t="shared" si="110"/>
        <v/>
      </c>
      <c r="U1015" t="str">
        <f t="shared" si="106"/>
        <v/>
      </c>
      <c r="V1015">
        <f t="shared" si="111"/>
        <v>0</v>
      </c>
      <c r="W1015" t="str">
        <f t="shared" si="107"/>
        <v/>
      </c>
      <c r="AB1015" s="28" t="str">
        <f t="shared" si="108"/>
        <v xml:space="preserve"> </v>
      </c>
      <c r="AE1015" s="61" t="str">
        <f t="shared" si="109"/>
        <v/>
      </c>
      <c r="AF1015" s="77" t="str">
        <f>_xlfn.XLOOKUP(AD1015,menu!$K$2:$K$9,menu!$J$2:$J$9,"",1)</f>
        <v/>
      </c>
      <c r="AG1015" s="80" t="str">
        <f>_xlfn.XLOOKUP(AH1015,menu!$O$2:$O$9,menu!$H$2:$H$9,"")</f>
        <v/>
      </c>
      <c r="AI1015" t="str">
        <f>_xlfn.LET(_xlpm.x,_xlfn.CONCAT(_xlfn.XLOOKUP(D1015,beans!$A$2:$A$300,beans!$J$2:$J$300,"")," / ",_xlfn.XLOOKUP(D1015,beans!$A$2:$A$300,beans!$K$2:$K$300,"")," - ",_xlfn.XLOOKUP(D1015,beans!$A$2:$A$300,beans!$L$2:$L$300,"")),IF(_xlpm.x=" /  - ","",_xlpm.x))</f>
        <v/>
      </c>
    </row>
    <row r="1016" spans="1:35" x14ac:dyDescent="0.3">
      <c r="A1016">
        <v>999</v>
      </c>
      <c r="E1016" t="str">
        <f>_xlfn.LET(_xlpm.x,_xlfn.XLOOKUP(D1016,beans!$A$2:$A$300,beans!$H$2:$H$300,""),IF(_xlpm.x="","",_xlpm.x))</f>
        <v/>
      </c>
      <c r="F1016" s="22" t="str">
        <f>_xlfn.XLOOKUP(E1016,menu!$A$2:$A$37,menu!$B$2:$B$37,"")</f>
        <v/>
      </c>
      <c r="G1016" t="str">
        <f>_xlfn.XLOOKUP(E1016,menu!$A$2:$A$37,menu!$C$2:$C$37,"")</f>
        <v/>
      </c>
      <c r="H1016" t="str">
        <f>_xlfn.LET(_xlpm.x,_xlfn.XLOOKUP(_xlfn.XLOOKUP(D1016,beans!$A$2:$A$300,beans!$I$2:$I$300),menu!$E$2:$E$20,menu!$F$2:$F$20),IF(_xlpm.x="","",_xlpm.x))</f>
        <v/>
      </c>
      <c r="T1016" s="68" t="str">
        <f t="shared" si="110"/>
        <v/>
      </c>
      <c r="U1016" t="str">
        <f t="shared" si="106"/>
        <v/>
      </c>
      <c r="V1016">
        <f t="shared" si="111"/>
        <v>0</v>
      </c>
      <c r="W1016" t="str">
        <f t="shared" si="107"/>
        <v/>
      </c>
      <c r="AB1016" s="28" t="str">
        <f t="shared" si="108"/>
        <v xml:space="preserve"> </v>
      </c>
      <c r="AE1016" s="61" t="str">
        <f t="shared" si="109"/>
        <v/>
      </c>
      <c r="AF1016" s="77" t="str">
        <f>_xlfn.XLOOKUP(AD1016,menu!$K$2:$K$9,menu!$J$2:$J$9,"",1)</f>
        <v/>
      </c>
      <c r="AG1016" s="80" t="str">
        <f>_xlfn.XLOOKUP(AH1016,menu!$O$2:$O$9,menu!$H$2:$H$9,"")</f>
        <v/>
      </c>
      <c r="AI1016" t="str">
        <f>_xlfn.LET(_xlpm.x,_xlfn.CONCAT(_xlfn.XLOOKUP(D1016,beans!$A$2:$A$300,beans!$J$2:$J$300,"")," / ",_xlfn.XLOOKUP(D1016,beans!$A$2:$A$300,beans!$K$2:$K$300,"")," - ",_xlfn.XLOOKUP(D1016,beans!$A$2:$A$300,beans!$L$2:$L$300,"")),IF(_xlpm.x=" /  - ","",_xlpm.x))</f>
        <v/>
      </c>
    </row>
    <row r="1017" spans="1:35" x14ac:dyDescent="0.3">
      <c r="A1017">
        <v>1000</v>
      </c>
      <c r="E1017" t="str">
        <f>_xlfn.LET(_xlpm.x,_xlfn.XLOOKUP(D1017,beans!$A$2:$A$300,beans!$H$2:$H$300,""),IF(_xlpm.x="","",_xlpm.x))</f>
        <v/>
      </c>
      <c r="F1017" s="22" t="str">
        <f>_xlfn.XLOOKUP(E1017,menu!$A$2:$A$37,menu!$B$2:$B$37,"")</f>
        <v/>
      </c>
      <c r="G1017" t="str">
        <f>_xlfn.XLOOKUP(E1017,menu!$A$2:$A$37,menu!$C$2:$C$37,"")</f>
        <v/>
      </c>
      <c r="H1017" t="str">
        <f>_xlfn.LET(_xlpm.x,_xlfn.XLOOKUP(_xlfn.XLOOKUP(D1017,beans!$A$2:$A$300,beans!$I$2:$I$300),menu!$E$2:$E$20,menu!$F$2:$F$20),IF(_xlpm.x="","",_xlpm.x))</f>
        <v/>
      </c>
      <c r="T1017" s="68" t="str">
        <f t="shared" si="110"/>
        <v/>
      </c>
      <c r="U1017" t="str">
        <f t="shared" si="106"/>
        <v/>
      </c>
      <c r="V1017">
        <f t="shared" si="111"/>
        <v>0</v>
      </c>
      <c r="W1017" t="str">
        <f t="shared" si="107"/>
        <v/>
      </c>
      <c r="AB1017" s="28" t="str">
        <f t="shared" si="108"/>
        <v xml:space="preserve"> </v>
      </c>
      <c r="AE1017" s="61" t="str">
        <f t="shared" si="109"/>
        <v/>
      </c>
      <c r="AF1017" s="77" t="str">
        <f>_xlfn.XLOOKUP(AD1017,menu!$K$2:$K$9,menu!$J$2:$J$9,"",1)</f>
        <v/>
      </c>
      <c r="AG1017" s="80" t="str">
        <f>_xlfn.XLOOKUP(AH1017,menu!$O$2:$O$9,menu!$H$2:$H$9,"")</f>
        <v/>
      </c>
      <c r="AI1017" t="str">
        <f>_xlfn.LET(_xlpm.x,_xlfn.CONCAT(_xlfn.XLOOKUP(D1017,beans!$A$2:$A$300,beans!$J$2:$J$300,"")," / ",_xlfn.XLOOKUP(D1017,beans!$A$2:$A$300,beans!$K$2:$K$300,"")," - ",_xlfn.XLOOKUP(D1017,beans!$A$2:$A$300,beans!$L$2:$L$300,"")),IF(_xlpm.x=" /  - ","",_xlpm.x))</f>
        <v/>
      </c>
    </row>
    <row r="1018" spans="1:35" x14ac:dyDescent="0.3">
      <c r="A1018">
        <v>1001</v>
      </c>
      <c r="E1018" t="str">
        <f>_xlfn.LET(_xlpm.x,_xlfn.XLOOKUP(D1018,beans!$A$2:$A$300,beans!$H$2:$H$300,""),IF(_xlpm.x="","",_xlpm.x))</f>
        <v/>
      </c>
      <c r="F1018" s="22" t="str">
        <f>_xlfn.XLOOKUP(E1018,menu!$A$2:$A$37,menu!$B$2:$B$37,"")</f>
        <v/>
      </c>
      <c r="G1018" t="str">
        <f>_xlfn.XLOOKUP(E1018,menu!$A$2:$A$37,menu!$C$2:$C$37,"")</f>
        <v/>
      </c>
      <c r="H1018" t="str">
        <f>_xlfn.LET(_xlpm.x,_xlfn.XLOOKUP(_xlfn.XLOOKUP(D1018,beans!$A$2:$A$300,beans!$I$2:$I$300),menu!$E$2:$E$20,menu!$F$2:$F$20),IF(_xlpm.x="","",_xlpm.x))</f>
        <v/>
      </c>
      <c r="T1018" s="68" t="str">
        <f t="shared" si="110"/>
        <v/>
      </c>
      <c r="U1018" t="str">
        <f t="shared" si="106"/>
        <v/>
      </c>
      <c r="V1018">
        <f t="shared" si="111"/>
        <v>0</v>
      </c>
      <c r="W1018" t="str">
        <f t="shared" si="107"/>
        <v/>
      </c>
      <c r="AB1018" s="28" t="str">
        <f t="shared" si="108"/>
        <v xml:space="preserve"> </v>
      </c>
      <c r="AE1018" s="61" t="str">
        <f t="shared" si="109"/>
        <v/>
      </c>
      <c r="AF1018" s="77" t="str">
        <f>_xlfn.XLOOKUP(AD1018,menu!$K$2:$K$9,menu!$J$2:$J$9,"",1)</f>
        <v/>
      </c>
      <c r="AG1018" s="80" t="str">
        <f>_xlfn.XLOOKUP(AH1018,menu!$O$2:$O$9,menu!$H$2:$H$9,"")</f>
        <v/>
      </c>
      <c r="AI1018" t="str">
        <f>_xlfn.LET(_xlpm.x,_xlfn.CONCAT(_xlfn.XLOOKUP(D1018,beans!$A$2:$A$300,beans!$J$2:$J$300,"")," / ",_xlfn.XLOOKUP(D1018,beans!$A$2:$A$300,beans!$K$2:$K$300,"")," - ",_xlfn.XLOOKUP(D1018,beans!$A$2:$A$300,beans!$L$2:$L$300,"")),IF(_xlpm.x=" /  - ","",_xlpm.x))</f>
        <v/>
      </c>
    </row>
    <row r="1019" spans="1:35" x14ac:dyDescent="0.3">
      <c r="A1019">
        <v>1002</v>
      </c>
      <c r="E1019" t="str">
        <f>_xlfn.LET(_xlpm.x,_xlfn.XLOOKUP(D1019,beans!$A$2:$A$300,beans!$H$2:$H$300,""),IF(_xlpm.x="","",_xlpm.x))</f>
        <v/>
      </c>
      <c r="F1019" s="22" t="str">
        <f>_xlfn.XLOOKUP(E1019,menu!$A$2:$A$37,menu!$B$2:$B$37,"")</f>
        <v/>
      </c>
      <c r="G1019" t="str">
        <f>_xlfn.XLOOKUP(E1019,menu!$A$2:$A$37,menu!$C$2:$C$37,"")</f>
        <v/>
      </c>
      <c r="H1019" t="str">
        <f>_xlfn.LET(_xlpm.x,_xlfn.XLOOKUP(_xlfn.XLOOKUP(D1019,beans!$A$2:$A$300,beans!$I$2:$I$300),menu!$E$2:$E$20,menu!$F$2:$F$20),IF(_xlpm.x="","",_xlpm.x))</f>
        <v/>
      </c>
      <c r="T1019" s="68" t="str">
        <f t="shared" si="110"/>
        <v/>
      </c>
      <c r="U1019" t="str">
        <f t="shared" si="106"/>
        <v/>
      </c>
      <c r="V1019">
        <f t="shared" si="111"/>
        <v>0</v>
      </c>
      <c r="W1019" t="str">
        <f t="shared" si="107"/>
        <v/>
      </c>
      <c r="AB1019" s="28" t="str">
        <f t="shared" si="108"/>
        <v xml:space="preserve"> </v>
      </c>
      <c r="AE1019" s="61" t="str">
        <f t="shared" si="109"/>
        <v/>
      </c>
      <c r="AF1019" s="77" t="str">
        <f>_xlfn.XLOOKUP(AD1019,menu!$K$2:$K$9,menu!$J$2:$J$9,"",1)</f>
        <v/>
      </c>
      <c r="AG1019" s="80" t="str">
        <f>_xlfn.XLOOKUP(AH1019,menu!$O$2:$O$9,menu!$H$2:$H$9,"")</f>
        <v/>
      </c>
      <c r="AI1019" t="str">
        <f>_xlfn.LET(_xlpm.x,_xlfn.CONCAT(_xlfn.XLOOKUP(D1019,beans!$A$2:$A$300,beans!$J$2:$J$300,"")," / ",_xlfn.XLOOKUP(D1019,beans!$A$2:$A$300,beans!$K$2:$K$300,"")," - ",_xlfn.XLOOKUP(D1019,beans!$A$2:$A$300,beans!$L$2:$L$300,"")),IF(_xlpm.x=" /  - ","",_xlpm.x))</f>
        <v/>
      </c>
    </row>
    <row r="1020" spans="1:35" x14ac:dyDescent="0.3">
      <c r="A1020">
        <v>1003</v>
      </c>
      <c r="E1020" t="str">
        <f>_xlfn.LET(_xlpm.x,_xlfn.XLOOKUP(D1020,beans!$A$2:$A$300,beans!$H$2:$H$300,""),IF(_xlpm.x="","",_xlpm.x))</f>
        <v/>
      </c>
      <c r="F1020" s="22" t="str">
        <f>_xlfn.XLOOKUP(E1020,menu!$A$2:$A$37,menu!$B$2:$B$37,"")</f>
        <v/>
      </c>
      <c r="G1020" t="str">
        <f>_xlfn.XLOOKUP(E1020,menu!$A$2:$A$37,menu!$C$2:$C$37,"")</f>
        <v/>
      </c>
      <c r="H1020" t="str">
        <f>_xlfn.LET(_xlpm.x,_xlfn.XLOOKUP(_xlfn.XLOOKUP(D1020,beans!$A$2:$A$300,beans!$I$2:$I$300),menu!$E$2:$E$20,menu!$F$2:$F$20),IF(_xlpm.x="","",_xlpm.x))</f>
        <v/>
      </c>
      <c r="T1020" s="68" t="str">
        <f t="shared" si="110"/>
        <v/>
      </c>
      <c r="U1020" t="str">
        <f t="shared" si="106"/>
        <v/>
      </c>
      <c r="V1020">
        <f t="shared" si="111"/>
        <v>0</v>
      </c>
      <c r="W1020" t="str">
        <f t="shared" si="107"/>
        <v/>
      </c>
      <c r="AB1020" s="28" t="str">
        <f t="shared" si="108"/>
        <v xml:space="preserve"> </v>
      </c>
      <c r="AE1020" s="61" t="str">
        <f t="shared" si="109"/>
        <v/>
      </c>
      <c r="AF1020" s="77" t="str">
        <f>_xlfn.XLOOKUP(AD1020,menu!$K$2:$K$9,menu!$J$2:$J$9,"",1)</f>
        <v/>
      </c>
      <c r="AG1020" s="80" t="str">
        <f>_xlfn.XLOOKUP(AH1020,menu!$O$2:$O$9,menu!$H$2:$H$9,"")</f>
        <v/>
      </c>
      <c r="AI1020" t="str">
        <f>_xlfn.LET(_xlpm.x,_xlfn.CONCAT(_xlfn.XLOOKUP(D1020,beans!$A$2:$A$300,beans!$J$2:$J$300,"")," / ",_xlfn.XLOOKUP(D1020,beans!$A$2:$A$300,beans!$K$2:$K$300,"")," - ",_xlfn.XLOOKUP(D1020,beans!$A$2:$A$300,beans!$L$2:$L$300,"")),IF(_xlpm.x=" /  - ","",_xlpm.x))</f>
        <v/>
      </c>
    </row>
    <row r="1021" spans="1:35" x14ac:dyDescent="0.3">
      <c r="A1021">
        <v>1004</v>
      </c>
      <c r="E1021" t="str">
        <f>_xlfn.LET(_xlpm.x,_xlfn.XLOOKUP(D1021,beans!$A$2:$A$300,beans!$H$2:$H$300,""),IF(_xlpm.x="","",_xlpm.x))</f>
        <v/>
      </c>
      <c r="F1021" s="22" t="str">
        <f>_xlfn.XLOOKUP(E1021,menu!$A$2:$A$37,menu!$B$2:$B$37,"")</f>
        <v/>
      </c>
      <c r="G1021" t="str">
        <f>_xlfn.XLOOKUP(E1021,menu!$A$2:$A$37,menu!$C$2:$C$37,"")</f>
        <v/>
      </c>
      <c r="H1021" t="str">
        <f>_xlfn.LET(_xlpm.x,_xlfn.XLOOKUP(_xlfn.XLOOKUP(D1021,beans!$A$2:$A$300,beans!$I$2:$I$300),menu!$E$2:$E$20,menu!$F$2:$F$20),IF(_xlpm.x="","",_xlpm.x))</f>
        <v/>
      </c>
      <c r="T1021" s="68" t="str">
        <f t="shared" si="110"/>
        <v/>
      </c>
      <c r="U1021" t="str">
        <f t="shared" si="106"/>
        <v/>
      </c>
      <c r="V1021">
        <f t="shared" si="111"/>
        <v>0</v>
      </c>
      <c r="W1021" t="str">
        <f t="shared" si="107"/>
        <v/>
      </c>
      <c r="AB1021" s="28" t="str">
        <f t="shared" si="108"/>
        <v xml:space="preserve"> </v>
      </c>
      <c r="AE1021" s="61" t="str">
        <f t="shared" si="109"/>
        <v/>
      </c>
      <c r="AF1021" s="77" t="str">
        <f>_xlfn.XLOOKUP(AD1021,menu!$K$2:$K$9,menu!$J$2:$J$9,"",1)</f>
        <v/>
      </c>
      <c r="AG1021" s="80" t="str">
        <f>_xlfn.XLOOKUP(AH1021,menu!$O$2:$O$9,menu!$H$2:$H$9,"")</f>
        <v/>
      </c>
      <c r="AI1021" t="str">
        <f>_xlfn.LET(_xlpm.x,_xlfn.CONCAT(_xlfn.XLOOKUP(D1021,beans!$A$2:$A$300,beans!$J$2:$J$300,"")," / ",_xlfn.XLOOKUP(D1021,beans!$A$2:$A$300,beans!$K$2:$K$300,"")," - ",_xlfn.XLOOKUP(D1021,beans!$A$2:$A$300,beans!$L$2:$L$300,"")),IF(_xlpm.x=" /  - ","",_xlpm.x))</f>
        <v/>
      </c>
    </row>
    <row r="1022" spans="1:35" x14ac:dyDescent="0.3">
      <c r="A1022">
        <v>1005</v>
      </c>
      <c r="E1022" t="str">
        <f>_xlfn.LET(_xlpm.x,_xlfn.XLOOKUP(D1022,beans!$A$2:$A$300,beans!$H$2:$H$300,""),IF(_xlpm.x="","",_xlpm.x))</f>
        <v/>
      </c>
      <c r="F1022" s="22" t="str">
        <f>_xlfn.XLOOKUP(E1022,menu!$A$2:$A$37,menu!$B$2:$B$37,"")</f>
        <v/>
      </c>
      <c r="G1022" t="str">
        <f>_xlfn.XLOOKUP(E1022,menu!$A$2:$A$37,menu!$C$2:$C$37,"")</f>
        <v/>
      </c>
      <c r="H1022" t="str">
        <f>_xlfn.LET(_xlpm.x,_xlfn.XLOOKUP(_xlfn.XLOOKUP(D1022,beans!$A$2:$A$300,beans!$I$2:$I$300),menu!$E$2:$E$20,menu!$F$2:$F$20),IF(_xlpm.x="","",_xlpm.x))</f>
        <v/>
      </c>
      <c r="T1022" s="68" t="str">
        <f t="shared" si="110"/>
        <v/>
      </c>
      <c r="U1022" t="str">
        <f t="shared" si="106"/>
        <v/>
      </c>
      <c r="V1022">
        <f t="shared" si="111"/>
        <v>0</v>
      </c>
      <c r="W1022" t="str">
        <f t="shared" si="107"/>
        <v/>
      </c>
      <c r="AB1022" s="28" t="str">
        <f t="shared" si="108"/>
        <v xml:space="preserve"> </v>
      </c>
      <c r="AE1022" s="61" t="str">
        <f t="shared" si="109"/>
        <v/>
      </c>
      <c r="AF1022" s="77" t="str">
        <f>_xlfn.XLOOKUP(AD1022,menu!$K$2:$K$9,menu!$J$2:$J$9,"",1)</f>
        <v/>
      </c>
      <c r="AG1022" s="80" t="str">
        <f>_xlfn.XLOOKUP(AH1022,menu!$O$2:$O$9,menu!$H$2:$H$9,"")</f>
        <v/>
      </c>
      <c r="AI1022" t="str">
        <f>_xlfn.LET(_xlpm.x,_xlfn.CONCAT(_xlfn.XLOOKUP(D1022,beans!$A$2:$A$300,beans!$J$2:$J$300,"")," / ",_xlfn.XLOOKUP(D1022,beans!$A$2:$A$300,beans!$K$2:$K$300,"")," - ",_xlfn.XLOOKUP(D1022,beans!$A$2:$A$300,beans!$L$2:$L$300,"")),IF(_xlpm.x=" /  - ","",_xlpm.x))</f>
        <v/>
      </c>
    </row>
    <row r="1023" spans="1:35" x14ac:dyDescent="0.3">
      <c r="A1023">
        <v>1006</v>
      </c>
      <c r="E1023" t="str">
        <f>_xlfn.LET(_xlpm.x,_xlfn.XLOOKUP(D1023,beans!$A$2:$A$300,beans!$H$2:$H$300,""),IF(_xlpm.x="","",_xlpm.x))</f>
        <v/>
      </c>
      <c r="F1023" s="22" t="str">
        <f>_xlfn.XLOOKUP(E1023,menu!$A$2:$A$37,menu!$B$2:$B$37,"")</f>
        <v/>
      </c>
      <c r="G1023" t="str">
        <f>_xlfn.XLOOKUP(E1023,menu!$A$2:$A$37,menu!$C$2:$C$37,"")</f>
        <v/>
      </c>
      <c r="H1023" t="str">
        <f>_xlfn.LET(_xlpm.x,_xlfn.XLOOKUP(_xlfn.XLOOKUP(D1023,beans!$A$2:$A$300,beans!$I$2:$I$300),menu!$E$2:$E$20,menu!$F$2:$F$20),IF(_xlpm.x="","",_xlpm.x))</f>
        <v/>
      </c>
      <c r="T1023" s="68" t="str">
        <f t="shared" si="110"/>
        <v/>
      </c>
      <c r="U1023" t="str">
        <f t="shared" si="106"/>
        <v/>
      </c>
      <c r="V1023">
        <f t="shared" si="111"/>
        <v>0</v>
      </c>
      <c r="W1023" t="str">
        <f t="shared" si="107"/>
        <v/>
      </c>
      <c r="AB1023" s="28" t="str">
        <f t="shared" si="108"/>
        <v xml:space="preserve"> </v>
      </c>
      <c r="AE1023" s="61" t="str">
        <f t="shared" si="109"/>
        <v/>
      </c>
      <c r="AF1023" s="77" t="str">
        <f>_xlfn.XLOOKUP(AD1023,menu!$K$2:$K$9,menu!$J$2:$J$9,"",1)</f>
        <v/>
      </c>
      <c r="AG1023" s="80" t="str">
        <f>_xlfn.XLOOKUP(AH1023,menu!$O$2:$O$9,menu!$H$2:$H$9,"")</f>
        <v/>
      </c>
      <c r="AI1023" t="str">
        <f>_xlfn.LET(_xlpm.x,_xlfn.CONCAT(_xlfn.XLOOKUP(D1023,beans!$A$2:$A$300,beans!$J$2:$J$300,"")," / ",_xlfn.XLOOKUP(D1023,beans!$A$2:$A$300,beans!$K$2:$K$300,"")," - ",_xlfn.XLOOKUP(D1023,beans!$A$2:$A$300,beans!$L$2:$L$300,"")),IF(_xlpm.x=" /  - ","",_xlpm.x))</f>
        <v/>
      </c>
    </row>
    <row r="1024" spans="1:35" x14ac:dyDescent="0.3">
      <c r="A1024">
        <v>1007</v>
      </c>
      <c r="E1024" t="str">
        <f>_xlfn.LET(_xlpm.x,_xlfn.XLOOKUP(D1024,beans!$A$2:$A$300,beans!$H$2:$H$300,""),IF(_xlpm.x="","",_xlpm.x))</f>
        <v/>
      </c>
      <c r="F1024" s="22" t="str">
        <f>_xlfn.XLOOKUP(E1024,menu!$A$2:$A$37,menu!$B$2:$B$37,"")</f>
        <v/>
      </c>
      <c r="G1024" t="str">
        <f>_xlfn.XLOOKUP(E1024,menu!$A$2:$A$37,menu!$C$2:$C$37,"")</f>
        <v/>
      </c>
      <c r="H1024" t="str">
        <f>_xlfn.LET(_xlpm.x,_xlfn.XLOOKUP(_xlfn.XLOOKUP(D1024,beans!$A$2:$A$300,beans!$I$2:$I$300),menu!$E$2:$E$20,menu!$F$2:$F$20),IF(_xlpm.x="","",_xlpm.x))</f>
        <v/>
      </c>
      <c r="T1024" s="68" t="str">
        <f t="shared" si="110"/>
        <v/>
      </c>
      <c r="U1024" t="str">
        <f t="shared" si="106"/>
        <v/>
      </c>
      <c r="V1024">
        <f t="shared" si="111"/>
        <v>0</v>
      </c>
      <c r="W1024" t="str">
        <f t="shared" si="107"/>
        <v/>
      </c>
      <c r="AB1024" s="28" t="str">
        <f t="shared" si="108"/>
        <v xml:space="preserve"> </v>
      </c>
      <c r="AE1024" s="61" t="str">
        <f t="shared" si="109"/>
        <v/>
      </c>
      <c r="AF1024" s="77" t="str">
        <f>_xlfn.XLOOKUP(AD1024,menu!$K$2:$K$9,menu!$J$2:$J$9,"",1)</f>
        <v/>
      </c>
      <c r="AG1024" s="80" t="str">
        <f>_xlfn.XLOOKUP(AH1024,menu!$O$2:$O$9,menu!$H$2:$H$9,"")</f>
        <v/>
      </c>
      <c r="AI1024" t="str">
        <f>_xlfn.LET(_xlpm.x,_xlfn.CONCAT(_xlfn.XLOOKUP(D1024,beans!$A$2:$A$300,beans!$J$2:$J$300,"")," / ",_xlfn.XLOOKUP(D1024,beans!$A$2:$A$300,beans!$K$2:$K$300,"")," - ",_xlfn.XLOOKUP(D1024,beans!$A$2:$A$300,beans!$L$2:$L$300,"")),IF(_xlpm.x=" /  - ","",_xlpm.x))</f>
        <v/>
      </c>
    </row>
    <row r="1025" spans="1:35" x14ac:dyDescent="0.3">
      <c r="A1025">
        <v>1008</v>
      </c>
      <c r="E1025" t="str">
        <f>_xlfn.LET(_xlpm.x,_xlfn.XLOOKUP(D1025,beans!$A$2:$A$300,beans!$H$2:$H$300,""),IF(_xlpm.x="","",_xlpm.x))</f>
        <v/>
      </c>
      <c r="F1025" s="22" t="str">
        <f>_xlfn.XLOOKUP(E1025,menu!$A$2:$A$37,menu!$B$2:$B$37,"")</f>
        <v/>
      </c>
      <c r="G1025" t="str">
        <f>_xlfn.XLOOKUP(E1025,menu!$A$2:$A$37,menu!$C$2:$C$37,"")</f>
        <v/>
      </c>
      <c r="H1025" t="str">
        <f>_xlfn.LET(_xlpm.x,_xlfn.XLOOKUP(_xlfn.XLOOKUP(D1025,beans!$A$2:$A$300,beans!$I$2:$I$300),menu!$E$2:$E$20,menu!$F$2:$F$20),IF(_xlpm.x="","",_xlpm.x))</f>
        <v/>
      </c>
      <c r="T1025" s="68" t="str">
        <f t="shared" si="110"/>
        <v/>
      </c>
      <c r="U1025" t="str">
        <f t="shared" si="106"/>
        <v/>
      </c>
      <c r="V1025">
        <f t="shared" si="111"/>
        <v>0</v>
      </c>
      <c r="W1025" t="str">
        <f t="shared" si="107"/>
        <v/>
      </c>
      <c r="AB1025" s="28" t="str">
        <f t="shared" si="108"/>
        <v xml:space="preserve"> </v>
      </c>
      <c r="AE1025" s="61" t="str">
        <f t="shared" si="109"/>
        <v/>
      </c>
      <c r="AF1025" s="77" t="str">
        <f>_xlfn.XLOOKUP(AD1025,menu!$K$2:$K$9,menu!$J$2:$J$9,"",1)</f>
        <v/>
      </c>
      <c r="AG1025" s="80" t="str">
        <f>_xlfn.XLOOKUP(AH1025,menu!$O$2:$O$9,menu!$H$2:$H$9,"")</f>
        <v/>
      </c>
      <c r="AI1025" t="str">
        <f>_xlfn.LET(_xlpm.x,_xlfn.CONCAT(_xlfn.XLOOKUP(D1025,beans!$A$2:$A$300,beans!$J$2:$J$300,"")," / ",_xlfn.XLOOKUP(D1025,beans!$A$2:$A$300,beans!$K$2:$K$300,"")," - ",_xlfn.XLOOKUP(D1025,beans!$A$2:$A$300,beans!$L$2:$L$300,"")),IF(_xlpm.x=" /  - ","",_xlpm.x))</f>
        <v/>
      </c>
    </row>
    <row r="1026" spans="1:35" x14ac:dyDescent="0.3">
      <c r="A1026">
        <v>1009</v>
      </c>
      <c r="E1026" t="str">
        <f>_xlfn.LET(_xlpm.x,_xlfn.XLOOKUP(D1026,beans!$A$2:$A$300,beans!$H$2:$H$300,""),IF(_xlpm.x="","",_xlpm.x))</f>
        <v/>
      </c>
      <c r="F1026" s="22" t="str">
        <f>_xlfn.XLOOKUP(E1026,menu!$A$2:$A$37,menu!$B$2:$B$37,"")</f>
        <v/>
      </c>
      <c r="G1026" t="str">
        <f>_xlfn.XLOOKUP(E1026,menu!$A$2:$A$37,menu!$C$2:$C$37,"")</f>
        <v/>
      </c>
      <c r="H1026" t="str">
        <f>_xlfn.LET(_xlpm.x,_xlfn.XLOOKUP(_xlfn.XLOOKUP(D1026,beans!$A$2:$A$300,beans!$I$2:$I$300),menu!$E$2:$E$20,menu!$F$2:$F$20),IF(_xlpm.x="","",_xlpm.x))</f>
        <v/>
      </c>
      <c r="T1026" s="68" t="str">
        <f t="shared" si="110"/>
        <v/>
      </c>
      <c r="U1026" t="str">
        <f t="shared" ref="U1026:U1089" si="112">_xlfn.LET(_xlpm.x,(TIMEVALUE("0:"&amp;SUBSTITUTE(R1026,"'",":"))-TIMEVALUE("0:"&amp;SUBSTITUTE(P1026,"'",":")))*86400,IF(_xlpm.x=0,"",ROUND(_xlpm.x,2)))</f>
        <v/>
      </c>
      <c r="V1026">
        <f t="shared" si="111"/>
        <v>0</v>
      </c>
      <c r="W1026" t="str">
        <f t="shared" ref="W1026:W1089" si="113">_xlfn.LET(_xlpm.x,(TIMEVALUE("0:"&amp;SUBSTITUTE(R1026,"'",":"))-TIMEVALUE("0:"&amp;SUBSTITUTE(P1026,"'",":")))*86400,IF(_xlpm.x=0,"",ROUND(_xlpm.x/((TIMEVALUE("0:"&amp;SUBSTITUTE(R1026,"'",":"))-TIMEVALUE("0:0:0"))*864),2)))</f>
        <v/>
      </c>
      <c r="AB1026" s="28" t="str">
        <f t="shared" ref="AB1026:AB1089" si="114">IF(Y1026 &gt; 0,(B1026-Y1026)/B1026," ")</f>
        <v xml:space="preserve"> </v>
      </c>
      <c r="AE1026" s="61" t="str">
        <f t="shared" ref="AE1026:AE1089" si="115">_xlfn.LET(_xlpm.x,AD1026-AC1026,IF(_xlpm.x=0,"",_xlpm.x))</f>
        <v/>
      </c>
      <c r="AF1026" s="77" t="str">
        <f>_xlfn.XLOOKUP(AD1026,menu!$K$2:$K$9,menu!$J$2:$J$9,"",1)</f>
        <v/>
      </c>
      <c r="AG1026" s="80" t="str">
        <f>_xlfn.XLOOKUP(AH1026,menu!$O$2:$O$9,menu!$H$2:$H$9,"")</f>
        <v/>
      </c>
      <c r="AI1026" t="str">
        <f>_xlfn.LET(_xlpm.x,_xlfn.CONCAT(_xlfn.XLOOKUP(D1026,beans!$A$2:$A$300,beans!$J$2:$J$300,"")," / ",_xlfn.XLOOKUP(D1026,beans!$A$2:$A$300,beans!$K$2:$K$300,"")," - ",_xlfn.XLOOKUP(D1026,beans!$A$2:$A$300,beans!$L$2:$L$300,"")),IF(_xlpm.x=" /  - ","",_xlpm.x))</f>
        <v/>
      </c>
    </row>
    <row r="1027" spans="1:35" x14ac:dyDescent="0.3">
      <c r="A1027">
        <v>1010</v>
      </c>
      <c r="E1027" t="str">
        <f>_xlfn.LET(_xlpm.x,_xlfn.XLOOKUP(D1027,beans!$A$2:$A$300,beans!$H$2:$H$300,""),IF(_xlpm.x="","",_xlpm.x))</f>
        <v/>
      </c>
      <c r="F1027" s="22" t="str">
        <f>_xlfn.XLOOKUP(E1027,menu!$A$2:$A$37,menu!$B$2:$B$37,"")</f>
        <v/>
      </c>
      <c r="G1027" t="str">
        <f>_xlfn.XLOOKUP(E1027,menu!$A$2:$A$37,menu!$C$2:$C$37,"")</f>
        <v/>
      </c>
      <c r="H1027" t="str">
        <f>_xlfn.LET(_xlpm.x,_xlfn.XLOOKUP(_xlfn.XLOOKUP(D1027,beans!$A$2:$A$300,beans!$I$2:$I$300),menu!$E$2:$E$20,menu!$F$2:$F$20),IF(_xlpm.x="","",_xlpm.x))</f>
        <v/>
      </c>
      <c r="T1027" s="68" t="str">
        <f t="shared" ref="T1027:T1090" si="116">_xlfn.LET(_xlpm.x,S1027-Q1027,IF(_xlpm.x=0,"",_xlpm.x))</f>
        <v/>
      </c>
      <c r="U1027" t="str">
        <f t="shared" si="112"/>
        <v/>
      </c>
      <c r="V1027">
        <f t="shared" ref="V1027:V1090" si="117">IFERROR(ROUND(T1027*60/U1027,1), )</f>
        <v>0</v>
      </c>
      <c r="W1027" t="str">
        <f t="shared" si="113"/>
        <v/>
      </c>
      <c r="AB1027" s="28" t="str">
        <f t="shared" si="114"/>
        <v xml:space="preserve"> </v>
      </c>
      <c r="AE1027" s="61" t="str">
        <f t="shared" si="115"/>
        <v/>
      </c>
      <c r="AF1027" s="77" t="str">
        <f>_xlfn.XLOOKUP(AD1027,menu!$K$2:$K$9,menu!$J$2:$J$9,"",1)</f>
        <v/>
      </c>
      <c r="AG1027" s="80" t="str">
        <f>_xlfn.XLOOKUP(AH1027,menu!$O$2:$O$9,menu!$H$2:$H$9,"")</f>
        <v/>
      </c>
      <c r="AI1027" t="str">
        <f>_xlfn.LET(_xlpm.x,_xlfn.CONCAT(_xlfn.XLOOKUP(D1027,beans!$A$2:$A$300,beans!$J$2:$J$300,"")," / ",_xlfn.XLOOKUP(D1027,beans!$A$2:$A$300,beans!$K$2:$K$300,"")," - ",_xlfn.XLOOKUP(D1027,beans!$A$2:$A$300,beans!$L$2:$L$300,"")),IF(_xlpm.x=" /  - ","",_xlpm.x))</f>
        <v/>
      </c>
    </row>
    <row r="1028" spans="1:35" x14ac:dyDescent="0.3">
      <c r="A1028">
        <v>1011</v>
      </c>
      <c r="E1028" t="str">
        <f>_xlfn.LET(_xlpm.x,_xlfn.XLOOKUP(D1028,beans!$A$2:$A$300,beans!$H$2:$H$300,""),IF(_xlpm.x="","",_xlpm.x))</f>
        <v/>
      </c>
      <c r="F1028" s="22" t="str">
        <f>_xlfn.XLOOKUP(E1028,menu!$A$2:$A$37,menu!$B$2:$B$37,"")</f>
        <v/>
      </c>
      <c r="G1028" t="str">
        <f>_xlfn.XLOOKUP(E1028,menu!$A$2:$A$37,menu!$C$2:$C$37,"")</f>
        <v/>
      </c>
      <c r="H1028" t="str">
        <f>_xlfn.LET(_xlpm.x,_xlfn.XLOOKUP(_xlfn.XLOOKUP(D1028,beans!$A$2:$A$300,beans!$I$2:$I$300),menu!$E$2:$E$20,menu!$F$2:$F$20),IF(_xlpm.x="","",_xlpm.x))</f>
        <v/>
      </c>
      <c r="T1028" s="68" t="str">
        <f t="shared" si="116"/>
        <v/>
      </c>
      <c r="U1028" t="str">
        <f t="shared" si="112"/>
        <v/>
      </c>
      <c r="V1028">
        <f t="shared" si="117"/>
        <v>0</v>
      </c>
      <c r="W1028" t="str">
        <f t="shared" si="113"/>
        <v/>
      </c>
      <c r="AB1028" s="28" t="str">
        <f t="shared" si="114"/>
        <v xml:space="preserve"> </v>
      </c>
      <c r="AE1028" s="61" t="str">
        <f t="shared" si="115"/>
        <v/>
      </c>
      <c r="AF1028" s="77" t="str">
        <f>_xlfn.XLOOKUP(AD1028,menu!$K$2:$K$9,menu!$J$2:$J$9,"",1)</f>
        <v/>
      </c>
      <c r="AG1028" s="80" t="str">
        <f>_xlfn.XLOOKUP(AH1028,menu!$O$2:$O$9,menu!$H$2:$H$9,"")</f>
        <v/>
      </c>
      <c r="AI1028" t="str">
        <f>_xlfn.LET(_xlpm.x,_xlfn.CONCAT(_xlfn.XLOOKUP(D1028,beans!$A$2:$A$300,beans!$J$2:$J$300,"")," / ",_xlfn.XLOOKUP(D1028,beans!$A$2:$A$300,beans!$K$2:$K$300,"")," - ",_xlfn.XLOOKUP(D1028,beans!$A$2:$A$300,beans!$L$2:$L$300,"")),IF(_xlpm.x=" /  - ","",_xlpm.x))</f>
        <v/>
      </c>
    </row>
    <row r="1029" spans="1:35" x14ac:dyDescent="0.3">
      <c r="A1029">
        <v>1012</v>
      </c>
      <c r="E1029" t="str">
        <f>_xlfn.LET(_xlpm.x,_xlfn.XLOOKUP(D1029,beans!$A$2:$A$300,beans!$H$2:$H$300,""),IF(_xlpm.x="","",_xlpm.x))</f>
        <v/>
      </c>
      <c r="F1029" s="22" t="str">
        <f>_xlfn.XLOOKUP(E1029,menu!$A$2:$A$37,menu!$B$2:$B$37,"")</f>
        <v/>
      </c>
      <c r="G1029" t="str">
        <f>_xlfn.XLOOKUP(E1029,menu!$A$2:$A$37,menu!$C$2:$C$37,"")</f>
        <v/>
      </c>
      <c r="H1029" t="str">
        <f>_xlfn.LET(_xlpm.x,_xlfn.XLOOKUP(_xlfn.XLOOKUP(D1029,beans!$A$2:$A$300,beans!$I$2:$I$300),menu!$E$2:$E$20,menu!$F$2:$F$20),IF(_xlpm.x="","",_xlpm.x))</f>
        <v/>
      </c>
      <c r="T1029" s="68" t="str">
        <f t="shared" si="116"/>
        <v/>
      </c>
      <c r="U1029" t="str">
        <f t="shared" si="112"/>
        <v/>
      </c>
      <c r="V1029">
        <f t="shared" si="117"/>
        <v>0</v>
      </c>
      <c r="W1029" t="str">
        <f t="shared" si="113"/>
        <v/>
      </c>
      <c r="AB1029" s="28" t="str">
        <f t="shared" si="114"/>
        <v xml:space="preserve"> </v>
      </c>
      <c r="AE1029" s="61" t="str">
        <f t="shared" si="115"/>
        <v/>
      </c>
      <c r="AF1029" s="77" t="str">
        <f>_xlfn.XLOOKUP(AD1029,menu!$K$2:$K$9,menu!$J$2:$J$9,"",1)</f>
        <v/>
      </c>
      <c r="AG1029" s="80" t="str">
        <f>_xlfn.XLOOKUP(AH1029,menu!$O$2:$O$9,menu!$H$2:$H$9,"")</f>
        <v/>
      </c>
      <c r="AI1029" t="str">
        <f>_xlfn.LET(_xlpm.x,_xlfn.CONCAT(_xlfn.XLOOKUP(D1029,beans!$A$2:$A$300,beans!$J$2:$J$300,"")," / ",_xlfn.XLOOKUP(D1029,beans!$A$2:$A$300,beans!$K$2:$K$300,"")," - ",_xlfn.XLOOKUP(D1029,beans!$A$2:$A$300,beans!$L$2:$L$300,"")),IF(_xlpm.x=" /  - ","",_xlpm.x))</f>
        <v/>
      </c>
    </row>
    <row r="1030" spans="1:35" x14ac:dyDescent="0.3">
      <c r="A1030">
        <v>1013</v>
      </c>
      <c r="E1030" t="str">
        <f>_xlfn.LET(_xlpm.x,_xlfn.XLOOKUP(D1030,beans!$A$2:$A$300,beans!$H$2:$H$300,""),IF(_xlpm.x="","",_xlpm.x))</f>
        <v/>
      </c>
      <c r="F1030" s="22" t="str">
        <f>_xlfn.XLOOKUP(E1030,menu!$A$2:$A$37,menu!$B$2:$B$37,"")</f>
        <v/>
      </c>
      <c r="G1030" t="str">
        <f>_xlfn.XLOOKUP(E1030,menu!$A$2:$A$37,menu!$C$2:$C$37,"")</f>
        <v/>
      </c>
      <c r="H1030" t="str">
        <f>_xlfn.LET(_xlpm.x,_xlfn.XLOOKUP(_xlfn.XLOOKUP(D1030,beans!$A$2:$A$300,beans!$I$2:$I$300),menu!$E$2:$E$20,menu!$F$2:$F$20),IF(_xlpm.x="","",_xlpm.x))</f>
        <v/>
      </c>
      <c r="T1030" s="68" t="str">
        <f t="shared" si="116"/>
        <v/>
      </c>
      <c r="U1030" t="str">
        <f t="shared" si="112"/>
        <v/>
      </c>
      <c r="V1030">
        <f t="shared" si="117"/>
        <v>0</v>
      </c>
      <c r="W1030" t="str">
        <f t="shared" si="113"/>
        <v/>
      </c>
      <c r="AB1030" s="28" t="str">
        <f t="shared" si="114"/>
        <v xml:space="preserve"> </v>
      </c>
      <c r="AE1030" s="61" t="str">
        <f t="shared" si="115"/>
        <v/>
      </c>
      <c r="AF1030" s="77" t="str">
        <f>_xlfn.XLOOKUP(AD1030,menu!$K$2:$K$9,menu!$J$2:$J$9,"",1)</f>
        <v/>
      </c>
      <c r="AG1030" s="80" t="str">
        <f>_xlfn.XLOOKUP(AH1030,menu!$O$2:$O$9,menu!$H$2:$H$9,"")</f>
        <v/>
      </c>
      <c r="AI1030" t="str">
        <f>_xlfn.LET(_xlpm.x,_xlfn.CONCAT(_xlfn.XLOOKUP(D1030,beans!$A$2:$A$300,beans!$J$2:$J$300,"")," / ",_xlfn.XLOOKUP(D1030,beans!$A$2:$A$300,beans!$K$2:$K$300,"")," - ",_xlfn.XLOOKUP(D1030,beans!$A$2:$A$300,beans!$L$2:$L$300,"")),IF(_xlpm.x=" /  - ","",_xlpm.x))</f>
        <v/>
      </c>
    </row>
    <row r="1031" spans="1:35" x14ac:dyDescent="0.3">
      <c r="A1031">
        <v>1014</v>
      </c>
      <c r="E1031" t="str">
        <f>_xlfn.LET(_xlpm.x,_xlfn.XLOOKUP(D1031,beans!$A$2:$A$300,beans!$H$2:$H$300,""),IF(_xlpm.x="","",_xlpm.x))</f>
        <v/>
      </c>
      <c r="F1031" s="22" t="str">
        <f>_xlfn.XLOOKUP(E1031,menu!$A$2:$A$37,menu!$B$2:$B$37,"")</f>
        <v/>
      </c>
      <c r="G1031" t="str">
        <f>_xlfn.XLOOKUP(E1031,menu!$A$2:$A$37,menu!$C$2:$C$37,"")</f>
        <v/>
      </c>
      <c r="H1031" t="str">
        <f>_xlfn.LET(_xlpm.x,_xlfn.XLOOKUP(_xlfn.XLOOKUP(D1031,beans!$A$2:$A$300,beans!$I$2:$I$300),menu!$E$2:$E$20,menu!$F$2:$F$20),IF(_xlpm.x="","",_xlpm.x))</f>
        <v/>
      </c>
      <c r="T1031" s="68" t="str">
        <f t="shared" si="116"/>
        <v/>
      </c>
      <c r="U1031" t="str">
        <f t="shared" si="112"/>
        <v/>
      </c>
      <c r="V1031">
        <f t="shared" si="117"/>
        <v>0</v>
      </c>
      <c r="W1031" t="str">
        <f t="shared" si="113"/>
        <v/>
      </c>
      <c r="AB1031" s="28" t="str">
        <f t="shared" si="114"/>
        <v xml:space="preserve"> </v>
      </c>
      <c r="AE1031" s="61" t="str">
        <f t="shared" si="115"/>
        <v/>
      </c>
      <c r="AF1031" s="77" t="str">
        <f>_xlfn.XLOOKUP(AD1031,menu!$K$2:$K$9,menu!$J$2:$J$9,"",1)</f>
        <v/>
      </c>
      <c r="AG1031" s="80" t="str">
        <f>_xlfn.XLOOKUP(AH1031,menu!$O$2:$O$9,menu!$H$2:$H$9,"")</f>
        <v/>
      </c>
      <c r="AI1031" t="str">
        <f>_xlfn.LET(_xlpm.x,_xlfn.CONCAT(_xlfn.XLOOKUP(D1031,beans!$A$2:$A$300,beans!$J$2:$J$300,"")," / ",_xlfn.XLOOKUP(D1031,beans!$A$2:$A$300,beans!$K$2:$K$300,"")," - ",_xlfn.XLOOKUP(D1031,beans!$A$2:$A$300,beans!$L$2:$L$300,"")),IF(_xlpm.x=" /  - ","",_xlpm.x))</f>
        <v/>
      </c>
    </row>
    <row r="1032" spans="1:35" x14ac:dyDescent="0.3">
      <c r="A1032">
        <v>1015</v>
      </c>
      <c r="E1032" t="str">
        <f>_xlfn.LET(_xlpm.x,_xlfn.XLOOKUP(D1032,beans!$A$2:$A$300,beans!$H$2:$H$300,""),IF(_xlpm.x="","",_xlpm.x))</f>
        <v/>
      </c>
      <c r="F1032" s="22" t="str">
        <f>_xlfn.XLOOKUP(E1032,menu!$A$2:$A$37,menu!$B$2:$B$37,"")</f>
        <v/>
      </c>
      <c r="G1032" t="str">
        <f>_xlfn.XLOOKUP(E1032,menu!$A$2:$A$37,menu!$C$2:$C$37,"")</f>
        <v/>
      </c>
      <c r="H1032" t="str">
        <f>_xlfn.LET(_xlpm.x,_xlfn.XLOOKUP(_xlfn.XLOOKUP(D1032,beans!$A$2:$A$300,beans!$I$2:$I$300),menu!$E$2:$E$20,menu!$F$2:$F$20),IF(_xlpm.x="","",_xlpm.x))</f>
        <v/>
      </c>
      <c r="T1032" s="68" t="str">
        <f t="shared" si="116"/>
        <v/>
      </c>
      <c r="U1032" t="str">
        <f t="shared" si="112"/>
        <v/>
      </c>
      <c r="V1032">
        <f t="shared" si="117"/>
        <v>0</v>
      </c>
      <c r="W1032" t="str">
        <f t="shared" si="113"/>
        <v/>
      </c>
      <c r="AB1032" s="28" t="str">
        <f t="shared" si="114"/>
        <v xml:space="preserve"> </v>
      </c>
      <c r="AE1032" s="61" t="str">
        <f t="shared" si="115"/>
        <v/>
      </c>
      <c r="AF1032" s="77" t="str">
        <f>_xlfn.XLOOKUP(AD1032,menu!$K$2:$K$9,menu!$J$2:$J$9,"",1)</f>
        <v/>
      </c>
      <c r="AG1032" s="80" t="str">
        <f>_xlfn.XLOOKUP(AH1032,menu!$O$2:$O$9,menu!$H$2:$H$9,"")</f>
        <v/>
      </c>
      <c r="AI1032" t="str">
        <f>_xlfn.LET(_xlpm.x,_xlfn.CONCAT(_xlfn.XLOOKUP(D1032,beans!$A$2:$A$300,beans!$J$2:$J$300,"")," / ",_xlfn.XLOOKUP(D1032,beans!$A$2:$A$300,beans!$K$2:$K$300,"")," - ",_xlfn.XLOOKUP(D1032,beans!$A$2:$A$300,beans!$L$2:$L$300,"")),IF(_xlpm.x=" /  - ","",_xlpm.x))</f>
        <v/>
      </c>
    </row>
    <row r="1033" spans="1:35" x14ac:dyDescent="0.3">
      <c r="A1033">
        <v>1016</v>
      </c>
      <c r="E1033" t="str">
        <f>_xlfn.LET(_xlpm.x,_xlfn.XLOOKUP(D1033,beans!$A$2:$A$300,beans!$H$2:$H$300,""),IF(_xlpm.x="","",_xlpm.x))</f>
        <v/>
      </c>
      <c r="F1033" s="22" t="str">
        <f>_xlfn.XLOOKUP(E1033,menu!$A$2:$A$37,menu!$B$2:$B$37,"")</f>
        <v/>
      </c>
      <c r="G1033" t="str">
        <f>_xlfn.XLOOKUP(E1033,menu!$A$2:$A$37,menu!$C$2:$C$37,"")</f>
        <v/>
      </c>
      <c r="H1033" t="str">
        <f>_xlfn.LET(_xlpm.x,_xlfn.XLOOKUP(_xlfn.XLOOKUP(D1033,beans!$A$2:$A$300,beans!$I$2:$I$300),menu!$E$2:$E$20,menu!$F$2:$F$20),IF(_xlpm.x="","",_xlpm.x))</f>
        <v/>
      </c>
      <c r="T1033" s="68" t="str">
        <f t="shared" si="116"/>
        <v/>
      </c>
      <c r="U1033" t="str">
        <f t="shared" si="112"/>
        <v/>
      </c>
      <c r="V1033">
        <f t="shared" si="117"/>
        <v>0</v>
      </c>
      <c r="W1033" t="str">
        <f t="shared" si="113"/>
        <v/>
      </c>
      <c r="AB1033" s="28" t="str">
        <f t="shared" si="114"/>
        <v xml:space="preserve"> </v>
      </c>
      <c r="AE1033" s="61" t="str">
        <f t="shared" si="115"/>
        <v/>
      </c>
      <c r="AF1033" s="77" t="str">
        <f>_xlfn.XLOOKUP(AD1033,menu!$K$2:$K$9,menu!$J$2:$J$9,"",1)</f>
        <v/>
      </c>
      <c r="AG1033" s="80" t="str">
        <f>_xlfn.XLOOKUP(AH1033,menu!$O$2:$O$9,menu!$H$2:$H$9,"")</f>
        <v/>
      </c>
      <c r="AI1033" t="str">
        <f>_xlfn.LET(_xlpm.x,_xlfn.CONCAT(_xlfn.XLOOKUP(D1033,beans!$A$2:$A$300,beans!$J$2:$J$300,"")," / ",_xlfn.XLOOKUP(D1033,beans!$A$2:$A$300,beans!$K$2:$K$300,"")," - ",_xlfn.XLOOKUP(D1033,beans!$A$2:$A$300,beans!$L$2:$L$300,"")),IF(_xlpm.x=" /  - ","",_xlpm.x))</f>
        <v/>
      </c>
    </row>
    <row r="1034" spans="1:35" x14ac:dyDescent="0.3">
      <c r="A1034">
        <v>1017</v>
      </c>
      <c r="E1034" t="str">
        <f>_xlfn.LET(_xlpm.x,_xlfn.XLOOKUP(D1034,beans!$A$2:$A$300,beans!$H$2:$H$300,""),IF(_xlpm.x="","",_xlpm.x))</f>
        <v/>
      </c>
      <c r="F1034" s="22" t="str">
        <f>_xlfn.XLOOKUP(E1034,menu!$A$2:$A$37,menu!$B$2:$B$37,"")</f>
        <v/>
      </c>
      <c r="G1034" t="str">
        <f>_xlfn.XLOOKUP(E1034,menu!$A$2:$A$37,menu!$C$2:$C$37,"")</f>
        <v/>
      </c>
      <c r="H1034" t="str">
        <f>_xlfn.LET(_xlpm.x,_xlfn.XLOOKUP(_xlfn.XLOOKUP(D1034,beans!$A$2:$A$300,beans!$I$2:$I$300),menu!$E$2:$E$20,menu!$F$2:$F$20),IF(_xlpm.x="","",_xlpm.x))</f>
        <v/>
      </c>
      <c r="T1034" s="68" t="str">
        <f t="shared" si="116"/>
        <v/>
      </c>
      <c r="U1034" t="str">
        <f t="shared" si="112"/>
        <v/>
      </c>
      <c r="V1034">
        <f t="shared" si="117"/>
        <v>0</v>
      </c>
      <c r="W1034" t="str">
        <f t="shared" si="113"/>
        <v/>
      </c>
      <c r="AB1034" s="28" t="str">
        <f t="shared" si="114"/>
        <v xml:space="preserve"> </v>
      </c>
      <c r="AE1034" s="61" t="str">
        <f t="shared" si="115"/>
        <v/>
      </c>
      <c r="AF1034" s="77" t="str">
        <f>_xlfn.XLOOKUP(AD1034,menu!$K$2:$K$9,menu!$J$2:$J$9,"",1)</f>
        <v/>
      </c>
      <c r="AG1034" s="80" t="str">
        <f>_xlfn.XLOOKUP(AH1034,menu!$O$2:$O$9,menu!$H$2:$H$9,"")</f>
        <v/>
      </c>
      <c r="AI1034" t="str">
        <f>_xlfn.LET(_xlpm.x,_xlfn.CONCAT(_xlfn.XLOOKUP(D1034,beans!$A$2:$A$300,beans!$J$2:$J$300,"")," / ",_xlfn.XLOOKUP(D1034,beans!$A$2:$A$300,beans!$K$2:$K$300,"")," - ",_xlfn.XLOOKUP(D1034,beans!$A$2:$A$300,beans!$L$2:$L$300,"")),IF(_xlpm.x=" /  - ","",_xlpm.x))</f>
        <v/>
      </c>
    </row>
    <row r="1035" spans="1:35" x14ac:dyDescent="0.3">
      <c r="A1035">
        <v>1018</v>
      </c>
      <c r="E1035" t="str">
        <f>_xlfn.LET(_xlpm.x,_xlfn.XLOOKUP(D1035,beans!$A$2:$A$300,beans!$H$2:$H$300,""),IF(_xlpm.x="","",_xlpm.x))</f>
        <v/>
      </c>
      <c r="F1035" s="22" t="str">
        <f>_xlfn.XLOOKUP(E1035,menu!$A$2:$A$37,menu!$B$2:$B$37,"")</f>
        <v/>
      </c>
      <c r="G1035" t="str">
        <f>_xlfn.XLOOKUP(E1035,menu!$A$2:$A$37,menu!$C$2:$C$37,"")</f>
        <v/>
      </c>
      <c r="H1035" t="str">
        <f>_xlfn.LET(_xlpm.x,_xlfn.XLOOKUP(_xlfn.XLOOKUP(D1035,beans!$A$2:$A$300,beans!$I$2:$I$300),menu!$E$2:$E$20,menu!$F$2:$F$20),IF(_xlpm.x="","",_xlpm.x))</f>
        <v/>
      </c>
      <c r="T1035" s="68" t="str">
        <f t="shared" si="116"/>
        <v/>
      </c>
      <c r="U1035" t="str">
        <f t="shared" si="112"/>
        <v/>
      </c>
      <c r="V1035">
        <f t="shared" si="117"/>
        <v>0</v>
      </c>
      <c r="W1035" t="str">
        <f t="shared" si="113"/>
        <v/>
      </c>
      <c r="AB1035" s="28" t="str">
        <f t="shared" si="114"/>
        <v xml:space="preserve"> </v>
      </c>
      <c r="AE1035" s="61" t="str">
        <f t="shared" si="115"/>
        <v/>
      </c>
      <c r="AF1035" s="77" t="str">
        <f>_xlfn.XLOOKUP(AD1035,menu!$K$2:$K$9,menu!$J$2:$J$9,"",1)</f>
        <v/>
      </c>
      <c r="AG1035" s="80" t="str">
        <f>_xlfn.XLOOKUP(AH1035,menu!$O$2:$O$9,menu!$H$2:$H$9,"")</f>
        <v/>
      </c>
      <c r="AI1035" t="str">
        <f>_xlfn.LET(_xlpm.x,_xlfn.CONCAT(_xlfn.XLOOKUP(D1035,beans!$A$2:$A$300,beans!$J$2:$J$300,"")," / ",_xlfn.XLOOKUP(D1035,beans!$A$2:$A$300,beans!$K$2:$K$300,"")," - ",_xlfn.XLOOKUP(D1035,beans!$A$2:$A$300,beans!$L$2:$L$300,"")),IF(_xlpm.x=" /  - ","",_xlpm.x))</f>
        <v/>
      </c>
    </row>
    <row r="1036" spans="1:35" x14ac:dyDescent="0.3">
      <c r="A1036">
        <v>1019</v>
      </c>
      <c r="E1036" t="str">
        <f>_xlfn.LET(_xlpm.x,_xlfn.XLOOKUP(D1036,beans!$A$2:$A$300,beans!$H$2:$H$300,""),IF(_xlpm.x="","",_xlpm.x))</f>
        <v/>
      </c>
      <c r="F1036" s="22" t="str">
        <f>_xlfn.XLOOKUP(E1036,menu!$A$2:$A$37,menu!$B$2:$B$37,"")</f>
        <v/>
      </c>
      <c r="G1036" t="str">
        <f>_xlfn.XLOOKUP(E1036,menu!$A$2:$A$37,menu!$C$2:$C$37,"")</f>
        <v/>
      </c>
      <c r="H1036" t="str">
        <f>_xlfn.LET(_xlpm.x,_xlfn.XLOOKUP(_xlfn.XLOOKUP(D1036,beans!$A$2:$A$300,beans!$I$2:$I$300),menu!$E$2:$E$20,menu!$F$2:$F$20),IF(_xlpm.x="","",_xlpm.x))</f>
        <v/>
      </c>
      <c r="T1036" s="68" t="str">
        <f t="shared" si="116"/>
        <v/>
      </c>
      <c r="U1036" t="str">
        <f t="shared" si="112"/>
        <v/>
      </c>
      <c r="V1036">
        <f t="shared" si="117"/>
        <v>0</v>
      </c>
      <c r="W1036" t="str">
        <f t="shared" si="113"/>
        <v/>
      </c>
      <c r="AB1036" s="28" t="str">
        <f t="shared" si="114"/>
        <v xml:space="preserve"> </v>
      </c>
      <c r="AE1036" s="61" t="str">
        <f t="shared" si="115"/>
        <v/>
      </c>
      <c r="AF1036" s="77" t="str">
        <f>_xlfn.XLOOKUP(AD1036,menu!$K$2:$K$9,menu!$J$2:$J$9,"",1)</f>
        <v/>
      </c>
      <c r="AG1036" s="80" t="str">
        <f>_xlfn.XLOOKUP(AH1036,menu!$O$2:$O$9,menu!$H$2:$H$9,"")</f>
        <v/>
      </c>
      <c r="AI1036" t="str">
        <f>_xlfn.LET(_xlpm.x,_xlfn.CONCAT(_xlfn.XLOOKUP(D1036,beans!$A$2:$A$300,beans!$J$2:$J$300,"")," / ",_xlfn.XLOOKUP(D1036,beans!$A$2:$A$300,beans!$K$2:$K$300,"")," - ",_xlfn.XLOOKUP(D1036,beans!$A$2:$A$300,beans!$L$2:$L$300,"")),IF(_xlpm.x=" /  - ","",_xlpm.x))</f>
        <v/>
      </c>
    </row>
    <row r="1037" spans="1:35" x14ac:dyDescent="0.3">
      <c r="A1037">
        <v>1020</v>
      </c>
      <c r="E1037" t="str">
        <f>_xlfn.LET(_xlpm.x,_xlfn.XLOOKUP(D1037,beans!$A$2:$A$300,beans!$H$2:$H$300,""),IF(_xlpm.x="","",_xlpm.x))</f>
        <v/>
      </c>
      <c r="F1037" s="22" t="str">
        <f>_xlfn.XLOOKUP(E1037,menu!$A$2:$A$37,menu!$B$2:$B$37,"")</f>
        <v/>
      </c>
      <c r="G1037" t="str">
        <f>_xlfn.XLOOKUP(E1037,menu!$A$2:$A$37,menu!$C$2:$C$37,"")</f>
        <v/>
      </c>
      <c r="H1037" t="str">
        <f>_xlfn.LET(_xlpm.x,_xlfn.XLOOKUP(_xlfn.XLOOKUP(D1037,beans!$A$2:$A$300,beans!$I$2:$I$300),menu!$E$2:$E$20,menu!$F$2:$F$20),IF(_xlpm.x="","",_xlpm.x))</f>
        <v/>
      </c>
      <c r="T1037" s="68" t="str">
        <f t="shared" si="116"/>
        <v/>
      </c>
      <c r="U1037" t="str">
        <f t="shared" si="112"/>
        <v/>
      </c>
      <c r="V1037">
        <f t="shared" si="117"/>
        <v>0</v>
      </c>
      <c r="W1037" t="str">
        <f t="shared" si="113"/>
        <v/>
      </c>
      <c r="AB1037" s="28" t="str">
        <f t="shared" si="114"/>
        <v xml:space="preserve"> </v>
      </c>
      <c r="AE1037" s="61" t="str">
        <f t="shared" si="115"/>
        <v/>
      </c>
      <c r="AF1037" s="77" t="str">
        <f>_xlfn.XLOOKUP(AD1037,menu!$K$2:$K$9,menu!$J$2:$J$9,"",1)</f>
        <v/>
      </c>
      <c r="AG1037" s="80" t="str">
        <f>_xlfn.XLOOKUP(AH1037,menu!$O$2:$O$9,menu!$H$2:$H$9,"")</f>
        <v/>
      </c>
      <c r="AI1037" t="str">
        <f>_xlfn.LET(_xlpm.x,_xlfn.CONCAT(_xlfn.XLOOKUP(D1037,beans!$A$2:$A$300,beans!$J$2:$J$300,"")," / ",_xlfn.XLOOKUP(D1037,beans!$A$2:$A$300,beans!$K$2:$K$300,"")," - ",_xlfn.XLOOKUP(D1037,beans!$A$2:$A$300,beans!$L$2:$L$300,"")),IF(_xlpm.x=" /  - ","",_xlpm.x))</f>
        <v/>
      </c>
    </row>
    <row r="1038" spans="1:35" x14ac:dyDescent="0.3">
      <c r="A1038">
        <v>1021</v>
      </c>
      <c r="E1038" t="str">
        <f>_xlfn.LET(_xlpm.x,_xlfn.XLOOKUP(D1038,beans!$A$2:$A$300,beans!$H$2:$H$300,""),IF(_xlpm.x="","",_xlpm.x))</f>
        <v/>
      </c>
      <c r="F1038" s="22" t="str">
        <f>_xlfn.XLOOKUP(E1038,menu!$A$2:$A$37,menu!$B$2:$B$37,"")</f>
        <v/>
      </c>
      <c r="G1038" t="str">
        <f>_xlfn.XLOOKUP(E1038,menu!$A$2:$A$37,menu!$C$2:$C$37,"")</f>
        <v/>
      </c>
      <c r="H1038" t="str">
        <f>_xlfn.LET(_xlpm.x,_xlfn.XLOOKUP(_xlfn.XLOOKUP(D1038,beans!$A$2:$A$300,beans!$I$2:$I$300),menu!$E$2:$E$20,menu!$F$2:$F$20),IF(_xlpm.x="","",_xlpm.x))</f>
        <v/>
      </c>
      <c r="T1038" s="68" t="str">
        <f t="shared" si="116"/>
        <v/>
      </c>
      <c r="U1038" t="str">
        <f t="shared" si="112"/>
        <v/>
      </c>
      <c r="V1038">
        <f t="shared" si="117"/>
        <v>0</v>
      </c>
      <c r="W1038" t="str">
        <f t="shared" si="113"/>
        <v/>
      </c>
      <c r="AB1038" s="28" t="str">
        <f t="shared" si="114"/>
        <v xml:space="preserve"> </v>
      </c>
      <c r="AE1038" s="61" t="str">
        <f t="shared" si="115"/>
        <v/>
      </c>
      <c r="AF1038" s="77" t="str">
        <f>_xlfn.XLOOKUP(AD1038,menu!$K$2:$K$9,menu!$J$2:$J$9,"",1)</f>
        <v/>
      </c>
      <c r="AG1038" s="80" t="str">
        <f>_xlfn.XLOOKUP(AH1038,menu!$O$2:$O$9,menu!$H$2:$H$9,"")</f>
        <v/>
      </c>
      <c r="AI1038" t="str">
        <f>_xlfn.LET(_xlpm.x,_xlfn.CONCAT(_xlfn.XLOOKUP(D1038,beans!$A$2:$A$300,beans!$J$2:$J$300,"")," / ",_xlfn.XLOOKUP(D1038,beans!$A$2:$A$300,beans!$K$2:$K$300,"")," - ",_xlfn.XLOOKUP(D1038,beans!$A$2:$A$300,beans!$L$2:$L$300,"")),IF(_xlpm.x=" /  - ","",_xlpm.x))</f>
        <v/>
      </c>
    </row>
    <row r="1039" spans="1:35" x14ac:dyDescent="0.3">
      <c r="A1039">
        <v>1022</v>
      </c>
      <c r="E1039" t="str">
        <f>_xlfn.LET(_xlpm.x,_xlfn.XLOOKUP(D1039,beans!$A$2:$A$300,beans!$H$2:$H$300,""),IF(_xlpm.x="","",_xlpm.x))</f>
        <v/>
      </c>
      <c r="F1039" s="22" t="str">
        <f>_xlfn.XLOOKUP(E1039,menu!$A$2:$A$37,menu!$B$2:$B$37,"")</f>
        <v/>
      </c>
      <c r="G1039" t="str">
        <f>_xlfn.XLOOKUP(E1039,menu!$A$2:$A$37,menu!$C$2:$C$37,"")</f>
        <v/>
      </c>
      <c r="H1039" t="str">
        <f>_xlfn.LET(_xlpm.x,_xlfn.XLOOKUP(_xlfn.XLOOKUP(D1039,beans!$A$2:$A$300,beans!$I$2:$I$300),menu!$E$2:$E$20,menu!$F$2:$F$20),IF(_xlpm.x="","",_xlpm.x))</f>
        <v/>
      </c>
      <c r="T1039" s="68" t="str">
        <f t="shared" si="116"/>
        <v/>
      </c>
      <c r="U1039" t="str">
        <f t="shared" si="112"/>
        <v/>
      </c>
      <c r="V1039">
        <f t="shared" si="117"/>
        <v>0</v>
      </c>
      <c r="W1039" t="str">
        <f t="shared" si="113"/>
        <v/>
      </c>
      <c r="AB1039" s="28" t="str">
        <f t="shared" si="114"/>
        <v xml:space="preserve"> </v>
      </c>
      <c r="AE1039" s="61" t="str">
        <f t="shared" si="115"/>
        <v/>
      </c>
      <c r="AF1039" s="77" t="str">
        <f>_xlfn.XLOOKUP(AD1039,menu!$K$2:$K$9,menu!$J$2:$J$9,"",1)</f>
        <v/>
      </c>
      <c r="AG1039" s="80" t="str">
        <f>_xlfn.XLOOKUP(AH1039,menu!$O$2:$O$9,menu!$H$2:$H$9,"")</f>
        <v/>
      </c>
      <c r="AI1039" t="str">
        <f>_xlfn.LET(_xlpm.x,_xlfn.CONCAT(_xlfn.XLOOKUP(D1039,beans!$A$2:$A$300,beans!$J$2:$J$300,"")," / ",_xlfn.XLOOKUP(D1039,beans!$A$2:$A$300,beans!$K$2:$K$300,"")," - ",_xlfn.XLOOKUP(D1039,beans!$A$2:$A$300,beans!$L$2:$L$300,"")),IF(_xlpm.x=" /  - ","",_xlpm.x))</f>
        <v/>
      </c>
    </row>
    <row r="1040" spans="1:35" x14ac:dyDescent="0.3">
      <c r="A1040">
        <v>1023</v>
      </c>
      <c r="E1040" t="str">
        <f>_xlfn.LET(_xlpm.x,_xlfn.XLOOKUP(D1040,beans!$A$2:$A$300,beans!$H$2:$H$300,""),IF(_xlpm.x="","",_xlpm.x))</f>
        <v/>
      </c>
      <c r="F1040" s="22" t="str">
        <f>_xlfn.XLOOKUP(E1040,menu!$A$2:$A$37,menu!$B$2:$B$37,"")</f>
        <v/>
      </c>
      <c r="G1040" t="str">
        <f>_xlfn.XLOOKUP(E1040,menu!$A$2:$A$37,menu!$C$2:$C$37,"")</f>
        <v/>
      </c>
      <c r="H1040" t="str">
        <f>_xlfn.LET(_xlpm.x,_xlfn.XLOOKUP(_xlfn.XLOOKUP(D1040,beans!$A$2:$A$300,beans!$I$2:$I$300),menu!$E$2:$E$20,menu!$F$2:$F$20),IF(_xlpm.x="","",_xlpm.x))</f>
        <v/>
      </c>
      <c r="T1040" s="68" t="str">
        <f t="shared" si="116"/>
        <v/>
      </c>
      <c r="U1040" t="str">
        <f t="shared" si="112"/>
        <v/>
      </c>
      <c r="V1040">
        <f t="shared" si="117"/>
        <v>0</v>
      </c>
      <c r="W1040" t="str">
        <f t="shared" si="113"/>
        <v/>
      </c>
      <c r="AB1040" s="28" t="str">
        <f t="shared" si="114"/>
        <v xml:space="preserve"> </v>
      </c>
      <c r="AE1040" s="61" t="str">
        <f t="shared" si="115"/>
        <v/>
      </c>
      <c r="AF1040" s="77" t="str">
        <f>_xlfn.XLOOKUP(AD1040,menu!$K$2:$K$9,menu!$J$2:$J$9,"",1)</f>
        <v/>
      </c>
      <c r="AG1040" s="80" t="str">
        <f>_xlfn.XLOOKUP(AH1040,menu!$O$2:$O$9,menu!$H$2:$H$9,"")</f>
        <v/>
      </c>
      <c r="AI1040" t="str">
        <f>_xlfn.LET(_xlpm.x,_xlfn.CONCAT(_xlfn.XLOOKUP(D1040,beans!$A$2:$A$300,beans!$J$2:$J$300,"")," / ",_xlfn.XLOOKUP(D1040,beans!$A$2:$A$300,beans!$K$2:$K$300,"")," - ",_xlfn.XLOOKUP(D1040,beans!$A$2:$A$300,beans!$L$2:$L$300,"")),IF(_xlpm.x=" /  - ","",_xlpm.x))</f>
        <v/>
      </c>
    </row>
    <row r="1041" spans="1:35" x14ac:dyDescent="0.3">
      <c r="A1041">
        <v>1024</v>
      </c>
      <c r="E1041" t="str">
        <f>_xlfn.LET(_xlpm.x,_xlfn.XLOOKUP(D1041,beans!$A$2:$A$300,beans!$H$2:$H$300,""),IF(_xlpm.x="","",_xlpm.x))</f>
        <v/>
      </c>
      <c r="F1041" s="22" t="str">
        <f>_xlfn.XLOOKUP(E1041,menu!$A$2:$A$37,menu!$B$2:$B$37,"")</f>
        <v/>
      </c>
      <c r="G1041" t="str">
        <f>_xlfn.XLOOKUP(E1041,menu!$A$2:$A$37,menu!$C$2:$C$37,"")</f>
        <v/>
      </c>
      <c r="H1041" t="str">
        <f>_xlfn.LET(_xlpm.x,_xlfn.XLOOKUP(_xlfn.XLOOKUP(D1041,beans!$A$2:$A$300,beans!$I$2:$I$300),menu!$E$2:$E$20,menu!$F$2:$F$20),IF(_xlpm.x="","",_xlpm.x))</f>
        <v/>
      </c>
      <c r="T1041" s="68" t="str">
        <f t="shared" si="116"/>
        <v/>
      </c>
      <c r="U1041" t="str">
        <f t="shared" si="112"/>
        <v/>
      </c>
      <c r="V1041">
        <f t="shared" si="117"/>
        <v>0</v>
      </c>
      <c r="W1041" t="str">
        <f t="shared" si="113"/>
        <v/>
      </c>
      <c r="AB1041" s="28" t="str">
        <f t="shared" si="114"/>
        <v xml:space="preserve"> </v>
      </c>
      <c r="AE1041" s="61" t="str">
        <f t="shared" si="115"/>
        <v/>
      </c>
      <c r="AF1041" s="77" t="str">
        <f>_xlfn.XLOOKUP(AD1041,menu!$K$2:$K$9,menu!$J$2:$J$9,"",1)</f>
        <v/>
      </c>
      <c r="AG1041" s="80" t="str">
        <f>_xlfn.XLOOKUP(AH1041,menu!$O$2:$O$9,menu!$H$2:$H$9,"")</f>
        <v/>
      </c>
      <c r="AI1041" t="str">
        <f>_xlfn.LET(_xlpm.x,_xlfn.CONCAT(_xlfn.XLOOKUP(D1041,beans!$A$2:$A$300,beans!$J$2:$J$300,"")," / ",_xlfn.XLOOKUP(D1041,beans!$A$2:$A$300,beans!$K$2:$K$300,"")," - ",_xlfn.XLOOKUP(D1041,beans!$A$2:$A$300,beans!$L$2:$L$300,"")),IF(_xlpm.x=" /  - ","",_xlpm.x))</f>
        <v/>
      </c>
    </row>
    <row r="1042" spans="1:35" x14ac:dyDescent="0.3">
      <c r="A1042">
        <v>1025</v>
      </c>
      <c r="E1042" t="str">
        <f>_xlfn.LET(_xlpm.x,_xlfn.XLOOKUP(D1042,beans!$A$2:$A$300,beans!$H$2:$H$300,""),IF(_xlpm.x="","",_xlpm.x))</f>
        <v/>
      </c>
      <c r="F1042" s="22" t="str">
        <f>_xlfn.XLOOKUP(E1042,menu!$A$2:$A$37,menu!$B$2:$B$37,"")</f>
        <v/>
      </c>
      <c r="G1042" t="str">
        <f>_xlfn.XLOOKUP(E1042,menu!$A$2:$A$37,menu!$C$2:$C$37,"")</f>
        <v/>
      </c>
      <c r="H1042" t="str">
        <f>_xlfn.LET(_xlpm.x,_xlfn.XLOOKUP(_xlfn.XLOOKUP(D1042,beans!$A$2:$A$300,beans!$I$2:$I$300),menu!$E$2:$E$20,menu!$F$2:$F$20),IF(_xlpm.x="","",_xlpm.x))</f>
        <v/>
      </c>
      <c r="T1042" s="68" t="str">
        <f t="shared" si="116"/>
        <v/>
      </c>
      <c r="U1042" t="str">
        <f t="shared" si="112"/>
        <v/>
      </c>
      <c r="V1042">
        <f t="shared" si="117"/>
        <v>0</v>
      </c>
      <c r="W1042" t="str">
        <f t="shared" si="113"/>
        <v/>
      </c>
      <c r="AB1042" s="28" t="str">
        <f t="shared" si="114"/>
        <v xml:space="preserve"> </v>
      </c>
      <c r="AE1042" s="61" t="str">
        <f t="shared" si="115"/>
        <v/>
      </c>
      <c r="AF1042" s="77" t="str">
        <f>_xlfn.XLOOKUP(AD1042,menu!$K$2:$K$9,menu!$J$2:$J$9,"",1)</f>
        <v/>
      </c>
      <c r="AG1042" s="80" t="str">
        <f>_xlfn.XLOOKUP(AH1042,menu!$O$2:$O$9,menu!$H$2:$H$9,"")</f>
        <v/>
      </c>
      <c r="AI1042" t="str">
        <f>_xlfn.LET(_xlpm.x,_xlfn.CONCAT(_xlfn.XLOOKUP(D1042,beans!$A$2:$A$300,beans!$J$2:$J$300,"")," / ",_xlfn.XLOOKUP(D1042,beans!$A$2:$A$300,beans!$K$2:$K$300,"")," - ",_xlfn.XLOOKUP(D1042,beans!$A$2:$A$300,beans!$L$2:$L$300,"")),IF(_xlpm.x=" /  - ","",_xlpm.x))</f>
        <v/>
      </c>
    </row>
    <row r="1043" spans="1:35" x14ac:dyDescent="0.3">
      <c r="A1043">
        <v>1026</v>
      </c>
      <c r="E1043" t="str">
        <f>_xlfn.LET(_xlpm.x,_xlfn.XLOOKUP(D1043,beans!$A$2:$A$300,beans!$H$2:$H$300,""),IF(_xlpm.x="","",_xlpm.x))</f>
        <v/>
      </c>
      <c r="F1043" s="22" t="str">
        <f>_xlfn.XLOOKUP(E1043,menu!$A$2:$A$37,menu!$B$2:$B$37,"")</f>
        <v/>
      </c>
      <c r="G1043" t="str">
        <f>_xlfn.XLOOKUP(E1043,menu!$A$2:$A$37,menu!$C$2:$C$37,"")</f>
        <v/>
      </c>
      <c r="H1043" t="str">
        <f>_xlfn.LET(_xlpm.x,_xlfn.XLOOKUP(_xlfn.XLOOKUP(D1043,beans!$A$2:$A$300,beans!$I$2:$I$300),menu!$E$2:$E$20,menu!$F$2:$F$20),IF(_xlpm.x="","",_xlpm.x))</f>
        <v/>
      </c>
      <c r="T1043" s="68" t="str">
        <f t="shared" si="116"/>
        <v/>
      </c>
      <c r="U1043" t="str">
        <f t="shared" si="112"/>
        <v/>
      </c>
      <c r="V1043">
        <f t="shared" si="117"/>
        <v>0</v>
      </c>
      <c r="W1043" t="str">
        <f t="shared" si="113"/>
        <v/>
      </c>
      <c r="AB1043" s="28" t="str">
        <f t="shared" si="114"/>
        <v xml:space="preserve"> </v>
      </c>
      <c r="AE1043" s="61" t="str">
        <f t="shared" si="115"/>
        <v/>
      </c>
      <c r="AF1043" s="77" t="str">
        <f>_xlfn.XLOOKUP(AD1043,menu!$K$2:$K$9,menu!$J$2:$J$9,"",1)</f>
        <v/>
      </c>
      <c r="AG1043" s="80" t="str">
        <f>_xlfn.XLOOKUP(AH1043,menu!$O$2:$O$9,menu!$H$2:$H$9,"")</f>
        <v/>
      </c>
      <c r="AI1043" t="str">
        <f>_xlfn.LET(_xlpm.x,_xlfn.CONCAT(_xlfn.XLOOKUP(D1043,beans!$A$2:$A$300,beans!$J$2:$J$300,"")," / ",_xlfn.XLOOKUP(D1043,beans!$A$2:$A$300,beans!$K$2:$K$300,"")," - ",_xlfn.XLOOKUP(D1043,beans!$A$2:$A$300,beans!$L$2:$L$300,"")),IF(_xlpm.x=" /  - ","",_xlpm.x))</f>
        <v/>
      </c>
    </row>
    <row r="1044" spans="1:35" x14ac:dyDescent="0.3">
      <c r="A1044">
        <v>1027</v>
      </c>
      <c r="E1044" t="str">
        <f>_xlfn.LET(_xlpm.x,_xlfn.XLOOKUP(D1044,beans!$A$2:$A$300,beans!$H$2:$H$300,""),IF(_xlpm.x="","",_xlpm.x))</f>
        <v/>
      </c>
      <c r="F1044" s="22" t="str">
        <f>_xlfn.XLOOKUP(E1044,menu!$A$2:$A$37,menu!$B$2:$B$37,"")</f>
        <v/>
      </c>
      <c r="G1044" t="str">
        <f>_xlfn.XLOOKUP(E1044,menu!$A$2:$A$37,menu!$C$2:$C$37,"")</f>
        <v/>
      </c>
      <c r="H1044" t="str">
        <f>_xlfn.LET(_xlpm.x,_xlfn.XLOOKUP(_xlfn.XLOOKUP(D1044,beans!$A$2:$A$300,beans!$I$2:$I$300),menu!$E$2:$E$20,menu!$F$2:$F$20),IF(_xlpm.x="","",_xlpm.x))</f>
        <v/>
      </c>
      <c r="T1044" s="68" t="str">
        <f t="shared" si="116"/>
        <v/>
      </c>
      <c r="U1044" t="str">
        <f t="shared" si="112"/>
        <v/>
      </c>
      <c r="V1044">
        <f t="shared" si="117"/>
        <v>0</v>
      </c>
      <c r="W1044" t="str">
        <f t="shared" si="113"/>
        <v/>
      </c>
      <c r="AB1044" s="28" t="str">
        <f t="shared" si="114"/>
        <v xml:space="preserve"> </v>
      </c>
      <c r="AE1044" s="61" t="str">
        <f t="shared" si="115"/>
        <v/>
      </c>
      <c r="AF1044" s="77" t="str">
        <f>_xlfn.XLOOKUP(AD1044,menu!$K$2:$K$9,menu!$J$2:$J$9,"",1)</f>
        <v/>
      </c>
      <c r="AG1044" s="80" t="str">
        <f>_xlfn.XLOOKUP(AH1044,menu!$O$2:$O$9,menu!$H$2:$H$9,"")</f>
        <v/>
      </c>
      <c r="AI1044" t="str">
        <f>_xlfn.LET(_xlpm.x,_xlfn.CONCAT(_xlfn.XLOOKUP(D1044,beans!$A$2:$A$300,beans!$J$2:$J$300,"")," / ",_xlfn.XLOOKUP(D1044,beans!$A$2:$A$300,beans!$K$2:$K$300,"")," - ",_xlfn.XLOOKUP(D1044,beans!$A$2:$A$300,beans!$L$2:$L$300,"")),IF(_xlpm.x=" /  - ","",_xlpm.x))</f>
        <v/>
      </c>
    </row>
    <row r="1045" spans="1:35" x14ac:dyDescent="0.3">
      <c r="A1045">
        <v>1028</v>
      </c>
      <c r="E1045" t="str">
        <f>_xlfn.LET(_xlpm.x,_xlfn.XLOOKUP(D1045,beans!$A$2:$A$300,beans!$H$2:$H$300,""),IF(_xlpm.x="","",_xlpm.x))</f>
        <v/>
      </c>
      <c r="F1045" s="22" t="str">
        <f>_xlfn.XLOOKUP(E1045,menu!$A$2:$A$37,menu!$B$2:$B$37,"")</f>
        <v/>
      </c>
      <c r="G1045" t="str">
        <f>_xlfn.XLOOKUP(E1045,menu!$A$2:$A$37,menu!$C$2:$C$37,"")</f>
        <v/>
      </c>
      <c r="H1045" t="str">
        <f>_xlfn.LET(_xlpm.x,_xlfn.XLOOKUP(_xlfn.XLOOKUP(D1045,beans!$A$2:$A$300,beans!$I$2:$I$300),menu!$E$2:$E$20,menu!$F$2:$F$20),IF(_xlpm.x="","",_xlpm.x))</f>
        <v/>
      </c>
      <c r="T1045" s="68" t="str">
        <f t="shared" si="116"/>
        <v/>
      </c>
      <c r="U1045" t="str">
        <f t="shared" si="112"/>
        <v/>
      </c>
      <c r="V1045">
        <f t="shared" si="117"/>
        <v>0</v>
      </c>
      <c r="W1045" t="str">
        <f t="shared" si="113"/>
        <v/>
      </c>
      <c r="AB1045" s="28" t="str">
        <f t="shared" si="114"/>
        <v xml:space="preserve"> </v>
      </c>
      <c r="AE1045" s="61" t="str">
        <f t="shared" si="115"/>
        <v/>
      </c>
      <c r="AF1045" s="77" t="str">
        <f>_xlfn.XLOOKUP(AD1045,menu!$K$2:$K$9,menu!$J$2:$J$9,"",1)</f>
        <v/>
      </c>
      <c r="AG1045" s="80" t="str">
        <f>_xlfn.XLOOKUP(AH1045,menu!$O$2:$O$9,menu!$H$2:$H$9,"")</f>
        <v/>
      </c>
      <c r="AI1045" t="str">
        <f>_xlfn.LET(_xlpm.x,_xlfn.CONCAT(_xlfn.XLOOKUP(D1045,beans!$A$2:$A$300,beans!$J$2:$J$300,"")," / ",_xlfn.XLOOKUP(D1045,beans!$A$2:$A$300,beans!$K$2:$K$300,"")," - ",_xlfn.XLOOKUP(D1045,beans!$A$2:$A$300,beans!$L$2:$L$300,"")),IF(_xlpm.x=" /  - ","",_xlpm.x))</f>
        <v/>
      </c>
    </row>
    <row r="1046" spans="1:35" x14ac:dyDescent="0.3">
      <c r="A1046">
        <v>1029</v>
      </c>
      <c r="E1046" t="str">
        <f>_xlfn.LET(_xlpm.x,_xlfn.XLOOKUP(D1046,beans!$A$2:$A$300,beans!$H$2:$H$300,""),IF(_xlpm.x="","",_xlpm.x))</f>
        <v/>
      </c>
      <c r="F1046" s="22" t="str">
        <f>_xlfn.XLOOKUP(E1046,menu!$A$2:$A$37,menu!$B$2:$B$37,"")</f>
        <v/>
      </c>
      <c r="G1046" t="str">
        <f>_xlfn.XLOOKUP(E1046,menu!$A$2:$A$37,menu!$C$2:$C$37,"")</f>
        <v/>
      </c>
      <c r="H1046" t="str">
        <f>_xlfn.LET(_xlpm.x,_xlfn.XLOOKUP(_xlfn.XLOOKUP(D1046,beans!$A$2:$A$300,beans!$I$2:$I$300),menu!$E$2:$E$20,menu!$F$2:$F$20),IF(_xlpm.x="","",_xlpm.x))</f>
        <v/>
      </c>
      <c r="T1046" s="68" t="str">
        <f t="shared" si="116"/>
        <v/>
      </c>
      <c r="U1046" t="str">
        <f t="shared" si="112"/>
        <v/>
      </c>
      <c r="V1046">
        <f t="shared" si="117"/>
        <v>0</v>
      </c>
      <c r="W1046" t="str">
        <f t="shared" si="113"/>
        <v/>
      </c>
      <c r="AB1046" s="28" t="str">
        <f t="shared" si="114"/>
        <v xml:space="preserve"> </v>
      </c>
      <c r="AE1046" s="61" t="str">
        <f t="shared" si="115"/>
        <v/>
      </c>
      <c r="AF1046" s="77" t="str">
        <f>_xlfn.XLOOKUP(AD1046,menu!$K$2:$K$9,menu!$J$2:$J$9,"",1)</f>
        <v/>
      </c>
      <c r="AG1046" s="80" t="str">
        <f>_xlfn.XLOOKUP(AH1046,menu!$O$2:$O$9,menu!$H$2:$H$9,"")</f>
        <v/>
      </c>
      <c r="AI1046" t="str">
        <f>_xlfn.LET(_xlpm.x,_xlfn.CONCAT(_xlfn.XLOOKUP(D1046,beans!$A$2:$A$300,beans!$J$2:$J$300,"")," / ",_xlfn.XLOOKUP(D1046,beans!$A$2:$A$300,beans!$K$2:$K$300,"")," - ",_xlfn.XLOOKUP(D1046,beans!$A$2:$A$300,beans!$L$2:$L$300,"")),IF(_xlpm.x=" /  - ","",_xlpm.x))</f>
        <v/>
      </c>
    </row>
    <row r="1047" spans="1:35" x14ac:dyDescent="0.3">
      <c r="A1047">
        <v>1030</v>
      </c>
      <c r="E1047" t="str">
        <f>_xlfn.LET(_xlpm.x,_xlfn.XLOOKUP(D1047,beans!$A$2:$A$300,beans!$H$2:$H$300,""),IF(_xlpm.x="","",_xlpm.x))</f>
        <v/>
      </c>
      <c r="F1047" s="22" t="str">
        <f>_xlfn.XLOOKUP(E1047,menu!$A$2:$A$37,menu!$B$2:$B$37,"")</f>
        <v/>
      </c>
      <c r="G1047" t="str">
        <f>_xlfn.XLOOKUP(E1047,menu!$A$2:$A$37,menu!$C$2:$C$37,"")</f>
        <v/>
      </c>
      <c r="H1047" t="str">
        <f>_xlfn.LET(_xlpm.x,_xlfn.XLOOKUP(_xlfn.XLOOKUP(D1047,beans!$A$2:$A$300,beans!$I$2:$I$300),menu!$E$2:$E$20,menu!$F$2:$F$20),IF(_xlpm.x="","",_xlpm.x))</f>
        <v/>
      </c>
      <c r="T1047" s="68" t="str">
        <f t="shared" si="116"/>
        <v/>
      </c>
      <c r="U1047" t="str">
        <f t="shared" si="112"/>
        <v/>
      </c>
      <c r="V1047">
        <f t="shared" si="117"/>
        <v>0</v>
      </c>
      <c r="W1047" t="str">
        <f t="shared" si="113"/>
        <v/>
      </c>
      <c r="AB1047" s="28" t="str">
        <f t="shared" si="114"/>
        <v xml:space="preserve"> </v>
      </c>
      <c r="AE1047" s="61" t="str">
        <f t="shared" si="115"/>
        <v/>
      </c>
      <c r="AF1047" s="77" t="str">
        <f>_xlfn.XLOOKUP(AD1047,menu!$K$2:$K$9,menu!$J$2:$J$9,"",1)</f>
        <v/>
      </c>
      <c r="AG1047" s="80" t="str">
        <f>_xlfn.XLOOKUP(AH1047,menu!$O$2:$O$9,menu!$H$2:$H$9,"")</f>
        <v/>
      </c>
      <c r="AI1047" t="str">
        <f>_xlfn.LET(_xlpm.x,_xlfn.CONCAT(_xlfn.XLOOKUP(D1047,beans!$A$2:$A$300,beans!$J$2:$J$300,"")," / ",_xlfn.XLOOKUP(D1047,beans!$A$2:$A$300,beans!$K$2:$K$300,"")," - ",_xlfn.XLOOKUP(D1047,beans!$A$2:$A$300,beans!$L$2:$L$300,"")),IF(_xlpm.x=" /  - ","",_xlpm.x))</f>
        <v/>
      </c>
    </row>
    <row r="1048" spans="1:35" x14ac:dyDescent="0.3">
      <c r="A1048">
        <v>1031</v>
      </c>
      <c r="E1048" t="str">
        <f>_xlfn.LET(_xlpm.x,_xlfn.XLOOKUP(D1048,beans!$A$2:$A$300,beans!$H$2:$H$300,""),IF(_xlpm.x="","",_xlpm.x))</f>
        <v/>
      </c>
      <c r="F1048" s="22" t="str">
        <f>_xlfn.XLOOKUP(E1048,menu!$A$2:$A$37,menu!$B$2:$B$37,"")</f>
        <v/>
      </c>
      <c r="G1048" t="str">
        <f>_xlfn.XLOOKUP(E1048,menu!$A$2:$A$37,menu!$C$2:$C$37,"")</f>
        <v/>
      </c>
      <c r="H1048" t="str">
        <f>_xlfn.LET(_xlpm.x,_xlfn.XLOOKUP(_xlfn.XLOOKUP(D1048,beans!$A$2:$A$300,beans!$I$2:$I$300),menu!$E$2:$E$20,menu!$F$2:$F$20),IF(_xlpm.x="","",_xlpm.x))</f>
        <v/>
      </c>
      <c r="T1048" s="68" t="str">
        <f t="shared" si="116"/>
        <v/>
      </c>
      <c r="U1048" t="str">
        <f t="shared" si="112"/>
        <v/>
      </c>
      <c r="V1048">
        <f t="shared" si="117"/>
        <v>0</v>
      </c>
      <c r="W1048" t="str">
        <f t="shared" si="113"/>
        <v/>
      </c>
      <c r="AB1048" s="28" t="str">
        <f t="shared" si="114"/>
        <v xml:space="preserve"> </v>
      </c>
      <c r="AE1048" s="61" t="str">
        <f t="shared" si="115"/>
        <v/>
      </c>
      <c r="AF1048" s="77" t="str">
        <f>_xlfn.XLOOKUP(AD1048,menu!$K$2:$K$9,menu!$J$2:$J$9,"",1)</f>
        <v/>
      </c>
      <c r="AG1048" s="80" t="str">
        <f>_xlfn.XLOOKUP(AH1048,menu!$O$2:$O$9,menu!$H$2:$H$9,"")</f>
        <v/>
      </c>
      <c r="AI1048" t="str">
        <f>_xlfn.LET(_xlpm.x,_xlfn.CONCAT(_xlfn.XLOOKUP(D1048,beans!$A$2:$A$300,beans!$J$2:$J$300,"")," / ",_xlfn.XLOOKUP(D1048,beans!$A$2:$A$300,beans!$K$2:$K$300,"")," - ",_xlfn.XLOOKUP(D1048,beans!$A$2:$A$300,beans!$L$2:$L$300,"")),IF(_xlpm.x=" /  - ","",_xlpm.x))</f>
        <v/>
      </c>
    </row>
    <row r="1049" spans="1:35" x14ac:dyDescent="0.3">
      <c r="A1049">
        <v>1032</v>
      </c>
      <c r="E1049" t="str">
        <f>_xlfn.LET(_xlpm.x,_xlfn.XLOOKUP(D1049,beans!$A$2:$A$300,beans!$H$2:$H$300,""),IF(_xlpm.x="","",_xlpm.x))</f>
        <v/>
      </c>
      <c r="F1049" s="22" t="str">
        <f>_xlfn.XLOOKUP(E1049,menu!$A$2:$A$37,menu!$B$2:$B$37,"")</f>
        <v/>
      </c>
      <c r="G1049" t="str">
        <f>_xlfn.XLOOKUP(E1049,menu!$A$2:$A$37,menu!$C$2:$C$37,"")</f>
        <v/>
      </c>
      <c r="H1049" t="str">
        <f>_xlfn.LET(_xlpm.x,_xlfn.XLOOKUP(_xlfn.XLOOKUP(D1049,beans!$A$2:$A$300,beans!$I$2:$I$300),menu!$E$2:$E$20,menu!$F$2:$F$20),IF(_xlpm.x="","",_xlpm.x))</f>
        <v/>
      </c>
      <c r="T1049" s="68" t="str">
        <f t="shared" si="116"/>
        <v/>
      </c>
      <c r="U1049" t="str">
        <f t="shared" si="112"/>
        <v/>
      </c>
      <c r="V1049">
        <f t="shared" si="117"/>
        <v>0</v>
      </c>
      <c r="W1049" t="str">
        <f t="shared" si="113"/>
        <v/>
      </c>
      <c r="AB1049" s="28" t="str">
        <f t="shared" si="114"/>
        <v xml:space="preserve"> </v>
      </c>
      <c r="AE1049" s="61" t="str">
        <f t="shared" si="115"/>
        <v/>
      </c>
      <c r="AF1049" s="77" t="str">
        <f>_xlfn.XLOOKUP(AD1049,menu!$K$2:$K$9,menu!$J$2:$J$9,"",1)</f>
        <v/>
      </c>
      <c r="AG1049" s="80" t="str">
        <f>_xlfn.XLOOKUP(AH1049,menu!$O$2:$O$9,menu!$H$2:$H$9,"")</f>
        <v/>
      </c>
      <c r="AI1049" t="str">
        <f>_xlfn.LET(_xlpm.x,_xlfn.CONCAT(_xlfn.XLOOKUP(D1049,beans!$A$2:$A$300,beans!$J$2:$J$300,"")," / ",_xlfn.XLOOKUP(D1049,beans!$A$2:$A$300,beans!$K$2:$K$300,"")," - ",_xlfn.XLOOKUP(D1049,beans!$A$2:$A$300,beans!$L$2:$L$300,"")),IF(_xlpm.x=" /  - ","",_xlpm.x))</f>
        <v/>
      </c>
    </row>
    <row r="1050" spans="1:35" x14ac:dyDescent="0.3">
      <c r="A1050">
        <v>1033</v>
      </c>
      <c r="E1050" t="str">
        <f>_xlfn.LET(_xlpm.x,_xlfn.XLOOKUP(D1050,beans!$A$2:$A$300,beans!$H$2:$H$300,""),IF(_xlpm.x="","",_xlpm.x))</f>
        <v/>
      </c>
      <c r="F1050" s="22" t="str">
        <f>_xlfn.XLOOKUP(E1050,menu!$A$2:$A$37,menu!$B$2:$B$37,"")</f>
        <v/>
      </c>
      <c r="G1050" t="str">
        <f>_xlfn.XLOOKUP(E1050,menu!$A$2:$A$37,menu!$C$2:$C$37,"")</f>
        <v/>
      </c>
      <c r="H1050" t="str">
        <f>_xlfn.LET(_xlpm.x,_xlfn.XLOOKUP(_xlfn.XLOOKUP(D1050,beans!$A$2:$A$300,beans!$I$2:$I$300),menu!$E$2:$E$20,menu!$F$2:$F$20),IF(_xlpm.x="","",_xlpm.x))</f>
        <v/>
      </c>
      <c r="T1050" s="68" t="str">
        <f t="shared" si="116"/>
        <v/>
      </c>
      <c r="U1050" t="str">
        <f t="shared" si="112"/>
        <v/>
      </c>
      <c r="V1050">
        <f t="shared" si="117"/>
        <v>0</v>
      </c>
      <c r="W1050" t="str">
        <f t="shared" si="113"/>
        <v/>
      </c>
      <c r="AB1050" s="28" t="str">
        <f t="shared" si="114"/>
        <v xml:space="preserve"> </v>
      </c>
      <c r="AE1050" s="61" t="str">
        <f t="shared" si="115"/>
        <v/>
      </c>
      <c r="AF1050" s="77" t="str">
        <f>_xlfn.XLOOKUP(AD1050,menu!$K$2:$K$9,menu!$J$2:$J$9,"",1)</f>
        <v/>
      </c>
      <c r="AG1050" s="80" t="str">
        <f>_xlfn.XLOOKUP(AH1050,menu!$O$2:$O$9,menu!$H$2:$H$9,"")</f>
        <v/>
      </c>
      <c r="AI1050" t="str">
        <f>_xlfn.LET(_xlpm.x,_xlfn.CONCAT(_xlfn.XLOOKUP(D1050,beans!$A$2:$A$300,beans!$J$2:$J$300,"")," / ",_xlfn.XLOOKUP(D1050,beans!$A$2:$A$300,beans!$K$2:$K$300,"")," - ",_xlfn.XLOOKUP(D1050,beans!$A$2:$A$300,beans!$L$2:$L$300,"")),IF(_xlpm.x=" /  - ","",_xlpm.x))</f>
        <v/>
      </c>
    </row>
    <row r="1051" spans="1:35" x14ac:dyDescent="0.3">
      <c r="A1051">
        <v>1034</v>
      </c>
      <c r="E1051" t="str">
        <f>_xlfn.LET(_xlpm.x,_xlfn.XLOOKUP(D1051,beans!$A$2:$A$300,beans!$H$2:$H$300,""),IF(_xlpm.x="","",_xlpm.x))</f>
        <v/>
      </c>
      <c r="F1051" s="22" t="str">
        <f>_xlfn.XLOOKUP(E1051,menu!$A$2:$A$37,menu!$B$2:$B$37,"")</f>
        <v/>
      </c>
      <c r="G1051" t="str">
        <f>_xlfn.XLOOKUP(E1051,menu!$A$2:$A$37,menu!$C$2:$C$37,"")</f>
        <v/>
      </c>
      <c r="H1051" t="str">
        <f>_xlfn.LET(_xlpm.x,_xlfn.XLOOKUP(_xlfn.XLOOKUP(D1051,beans!$A$2:$A$300,beans!$I$2:$I$300),menu!$E$2:$E$20,menu!$F$2:$F$20),IF(_xlpm.x="","",_xlpm.x))</f>
        <v/>
      </c>
      <c r="T1051" s="68" t="str">
        <f t="shared" si="116"/>
        <v/>
      </c>
      <c r="U1051" t="str">
        <f t="shared" si="112"/>
        <v/>
      </c>
      <c r="V1051">
        <f t="shared" si="117"/>
        <v>0</v>
      </c>
      <c r="W1051" t="str">
        <f t="shared" si="113"/>
        <v/>
      </c>
      <c r="AB1051" s="28" t="str">
        <f t="shared" si="114"/>
        <v xml:space="preserve"> </v>
      </c>
      <c r="AE1051" s="61" t="str">
        <f t="shared" si="115"/>
        <v/>
      </c>
      <c r="AF1051" s="77" t="str">
        <f>_xlfn.XLOOKUP(AD1051,menu!$K$2:$K$9,menu!$J$2:$J$9,"",1)</f>
        <v/>
      </c>
      <c r="AG1051" s="80" t="str">
        <f>_xlfn.XLOOKUP(AH1051,menu!$O$2:$O$9,menu!$H$2:$H$9,"")</f>
        <v/>
      </c>
      <c r="AI1051" t="str">
        <f>_xlfn.LET(_xlpm.x,_xlfn.CONCAT(_xlfn.XLOOKUP(D1051,beans!$A$2:$A$300,beans!$J$2:$J$300,"")," / ",_xlfn.XLOOKUP(D1051,beans!$A$2:$A$300,beans!$K$2:$K$300,"")," - ",_xlfn.XLOOKUP(D1051,beans!$A$2:$A$300,beans!$L$2:$L$300,"")),IF(_xlpm.x=" /  - ","",_xlpm.x))</f>
        <v/>
      </c>
    </row>
    <row r="1052" spans="1:35" x14ac:dyDescent="0.3">
      <c r="A1052">
        <v>1035</v>
      </c>
      <c r="E1052" t="str">
        <f>_xlfn.LET(_xlpm.x,_xlfn.XLOOKUP(D1052,beans!$A$2:$A$300,beans!$H$2:$H$300,""),IF(_xlpm.x="","",_xlpm.x))</f>
        <v/>
      </c>
      <c r="F1052" s="22" t="str">
        <f>_xlfn.XLOOKUP(E1052,menu!$A$2:$A$37,menu!$B$2:$B$37,"")</f>
        <v/>
      </c>
      <c r="G1052" t="str">
        <f>_xlfn.XLOOKUP(E1052,menu!$A$2:$A$37,menu!$C$2:$C$37,"")</f>
        <v/>
      </c>
      <c r="H1052" t="str">
        <f>_xlfn.LET(_xlpm.x,_xlfn.XLOOKUP(_xlfn.XLOOKUP(D1052,beans!$A$2:$A$300,beans!$I$2:$I$300),menu!$E$2:$E$20,menu!$F$2:$F$20),IF(_xlpm.x="","",_xlpm.x))</f>
        <v/>
      </c>
      <c r="T1052" s="68" t="str">
        <f t="shared" si="116"/>
        <v/>
      </c>
      <c r="U1052" t="str">
        <f t="shared" si="112"/>
        <v/>
      </c>
      <c r="V1052">
        <f t="shared" si="117"/>
        <v>0</v>
      </c>
      <c r="W1052" t="str">
        <f t="shared" si="113"/>
        <v/>
      </c>
      <c r="AB1052" s="28" t="str">
        <f t="shared" si="114"/>
        <v xml:space="preserve"> </v>
      </c>
      <c r="AE1052" s="61" t="str">
        <f t="shared" si="115"/>
        <v/>
      </c>
      <c r="AF1052" s="77" t="str">
        <f>_xlfn.XLOOKUP(AD1052,menu!$K$2:$K$9,menu!$J$2:$J$9,"",1)</f>
        <v/>
      </c>
      <c r="AG1052" s="80" t="str">
        <f>_xlfn.XLOOKUP(AH1052,menu!$O$2:$O$9,menu!$H$2:$H$9,"")</f>
        <v/>
      </c>
      <c r="AI1052" t="str">
        <f>_xlfn.LET(_xlpm.x,_xlfn.CONCAT(_xlfn.XLOOKUP(D1052,beans!$A$2:$A$300,beans!$J$2:$J$300,"")," / ",_xlfn.XLOOKUP(D1052,beans!$A$2:$A$300,beans!$K$2:$K$300,"")," - ",_xlfn.XLOOKUP(D1052,beans!$A$2:$A$300,beans!$L$2:$L$300,"")),IF(_xlpm.x=" /  - ","",_xlpm.x))</f>
        <v/>
      </c>
    </row>
    <row r="1053" spans="1:35" x14ac:dyDescent="0.3">
      <c r="A1053">
        <v>1036</v>
      </c>
      <c r="E1053" t="str">
        <f>_xlfn.LET(_xlpm.x,_xlfn.XLOOKUP(D1053,beans!$A$2:$A$300,beans!$H$2:$H$300,""),IF(_xlpm.x="","",_xlpm.x))</f>
        <v/>
      </c>
      <c r="F1053" s="22" t="str">
        <f>_xlfn.XLOOKUP(E1053,menu!$A$2:$A$37,menu!$B$2:$B$37,"")</f>
        <v/>
      </c>
      <c r="G1053" t="str">
        <f>_xlfn.XLOOKUP(E1053,menu!$A$2:$A$37,menu!$C$2:$C$37,"")</f>
        <v/>
      </c>
      <c r="H1053" t="str">
        <f>_xlfn.LET(_xlpm.x,_xlfn.XLOOKUP(_xlfn.XLOOKUP(D1053,beans!$A$2:$A$300,beans!$I$2:$I$300),menu!$E$2:$E$20,menu!$F$2:$F$20),IF(_xlpm.x="","",_xlpm.x))</f>
        <v/>
      </c>
      <c r="T1053" s="68" t="str">
        <f t="shared" si="116"/>
        <v/>
      </c>
      <c r="U1053" t="str">
        <f t="shared" si="112"/>
        <v/>
      </c>
      <c r="V1053">
        <f t="shared" si="117"/>
        <v>0</v>
      </c>
      <c r="W1053" t="str">
        <f t="shared" si="113"/>
        <v/>
      </c>
      <c r="AB1053" s="28" t="str">
        <f t="shared" si="114"/>
        <v xml:space="preserve"> </v>
      </c>
      <c r="AE1053" s="61" t="str">
        <f t="shared" si="115"/>
        <v/>
      </c>
      <c r="AF1053" s="77" t="str">
        <f>_xlfn.XLOOKUP(AD1053,menu!$K$2:$K$9,menu!$J$2:$J$9,"",1)</f>
        <v/>
      </c>
      <c r="AG1053" s="80" t="str">
        <f>_xlfn.XLOOKUP(AH1053,menu!$O$2:$O$9,menu!$H$2:$H$9,"")</f>
        <v/>
      </c>
      <c r="AI1053" t="str">
        <f>_xlfn.LET(_xlpm.x,_xlfn.CONCAT(_xlfn.XLOOKUP(D1053,beans!$A$2:$A$300,beans!$J$2:$J$300,"")," / ",_xlfn.XLOOKUP(D1053,beans!$A$2:$A$300,beans!$K$2:$K$300,"")," - ",_xlfn.XLOOKUP(D1053,beans!$A$2:$A$300,beans!$L$2:$L$300,"")),IF(_xlpm.x=" /  - ","",_xlpm.x))</f>
        <v/>
      </c>
    </row>
    <row r="1054" spans="1:35" x14ac:dyDescent="0.3">
      <c r="A1054">
        <v>1037</v>
      </c>
      <c r="E1054" t="str">
        <f>_xlfn.LET(_xlpm.x,_xlfn.XLOOKUP(D1054,beans!$A$2:$A$300,beans!$H$2:$H$300,""),IF(_xlpm.x="","",_xlpm.x))</f>
        <v/>
      </c>
      <c r="F1054" s="22" t="str">
        <f>_xlfn.XLOOKUP(E1054,menu!$A$2:$A$37,menu!$B$2:$B$37,"")</f>
        <v/>
      </c>
      <c r="G1054" t="str">
        <f>_xlfn.XLOOKUP(E1054,menu!$A$2:$A$37,menu!$C$2:$C$37,"")</f>
        <v/>
      </c>
      <c r="H1054" t="str">
        <f>_xlfn.LET(_xlpm.x,_xlfn.XLOOKUP(_xlfn.XLOOKUP(D1054,beans!$A$2:$A$300,beans!$I$2:$I$300),menu!$E$2:$E$20,menu!$F$2:$F$20),IF(_xlpm.x="","",_xlpm.x))</f>
        <v/>
      </c>
      <c r="T1054" s="68" t="str">
        <f t="shared" si="116"/>
        <v/>
      </c>
      <c r="U1054" t="str">
        <f t="shared" si="112"/>
        <v/>
      </c>
      <c r="V1054">
        <f t="shared" si="117"/>
        <v>0</v>
      </c>
      <c r="W1054" t="str">
        <f t="shared" si="113"/>
        <v/>
      </c>
      <c r="AB1054" s="28" t="str">
        <f t="shared" si="114"/>
        <v xml:space="preserve"> </v>
      </c>
      <c r="AE1054" s="61" t="str">
        <f t="shared" si="115"/>
        <v/>
      </c>
      <c r="AF1054" s="77" t="str">
        <f>_xlfn.XLOOKUP(AD1054,menu!$K$2:$K$9,menu!$J$2:$J$9,"",1)</f>
        <v/>
      </c>
      <c r="AG1054" s="80" t="str">
        <f>_xlfn.XLOOKUP(AH1054,menu!$O$2:$O$9,menu!$H$2:$H$9,"")</f>
        <v/>
      </c>
      <c r="AI1054" t="str">
        <f>_xlfn.LET(_xlpm.x,_xlfn.CONCAT(_xlfn.XLOOKUP(D1054,beans!$A$2:$A$300,beans!$J$2:$J$300,"")," / ",_xlfn.XLOOKUP(D1054,beans!$A$2:$A$300,beans!$K$2:$K$300,"")," - ",_xlfn.XLOOKUP(D1054,beans!$A$2:$A$300,beans!$L$2:$L$300,"")),IF(_xlpm.x=" /  - ","",_xlpm.x))</f>
        <v/>
      </c>
    </row>
    <row r="1055" spans="1:35" x14ac:dyDescent="0.3">
      <c r="A1055">
        <v>1038</v>
      </c>
      <c r="E1055" t="str">
        <f>_xlfn.LET(_xlpm.x,_xlfn.XLOOKUP(D1055,beans!$A$2:$A$300,beans!$H$2:$H$300,""),IF(_xlpm.x="","",_xlpm.x))</f>
        <v/>
      </c>
      <c r="F1055" s="22" t="str">
        <f>_xlfn.XLOOKUP(E1055,menu!$A$2:$A$37,menu!$B$2:$B$37,"")</f>
        <v/>
      </c>
      <c r="G1055" t="str">
        <f>_xlfn.XLOOKUP(E1055,menu!$A$2:$A$37,menu!$C$2:$C$37,"")</f>
        <v/>
      </c>
      <c r="H1055" t="str">
        <f>_xlfn.LET(_xlpm.x,_xlfn.XLOOKUP(_xlfn.XLOOKUP(D1055,beans!$A$2:$A$300,beans!$I$2:$I$300),menu!$E$2:$E$20,menu!$F$2:$F$20),IF(_xlpm.x="","",_xlpm.x))</f>
        <v/>
      </c>
      <c r="T1055" s="68" t="str">
        <f t="shared" si="116"/>
        <v/>
      </c>
      <c r="U1055" t="str">
        <f t="shared" si="112"/>
        <v/>
      </c>
      <c r="V1055">
        <f t="shared" si="117"/>
        <v>0</v>
      </c>
      <c r="W1055" t="str">
        <f t="shared" si="113"/>
        <v/>
      </c>
      <c r="AB1055" s="28" t="str">
        <f t="shared" si="114"/>
        <v xml:space="preserve"> </v>
      </c>
      <c r="AE1055" s="61" t="str">
        <f t="shared" si="115"/>
        <v/>
      </c>
      <c r="AF1055" s="77" t="str">
        <f>_xlfn.XLOOKUP(AD1055,menu!$K$2:$K$9,menu!$J$2:$J$9,"",1)</f>
        <v/>
      </c>
      <c r="AG1055" s="80" t="str">
        <f>_xlfn.XLOOKUP(AH1055,menu!$O$2:$O$9,menu!$H$2:$H$9,"")</f>
        <v/>
      </c>
      <c r="AI1055" t="str">
        <f>_xlfn.LET(_xlpm.x,_xlfn.CONCAT(_xlfn.XLOOKUP(D1055,beans!$A$2:$A$300,beans!$J$2:$J$300,"")," / ",_xlfn.XLOOKUP(D1055,beans!$A$2:$A$300,beans!$K$2:$K$300,"")," - ",_xlfn.XLOOKUP(D1055,beans!$A$2:$A$300,beans!$L$2:$L$300,"")),IF(_xlpm.x=" /  - ","",_xlpm.x))</f>
        <v/>
      </c>
    </row>
    <row r="1056" spans="1:35" x14ac:dyDescent="0.3">
      <c r="A1056">
        <v>1039</v>
      </c>
      <c r="E1056" t="str">
        <f>_xlfn.LET(_xlpm.x,_xlfn.XLOOKUP(D1056,beans!$A$2:$A$300,beans!$H$2:$H$300,""),IF(_xlpm.x="","",_xlpm.x))</f>
        <v/>
      </c>
      <c r="F1056" s="22" t="str">
        <f>_xlfn.XLOOKUP(E1056,menu!$A$2:$A$37,menu!$B$2:$B$37,"")</f>
        <v/>
      </c>
      <c r="G1056" t="str">
        <f>_xlfn.XLOOKUP(E1056,menu!$A$2:$A$37,menu!$C$2:$C$37,"")</f>
        <v/>
      </c>
      <c r="H1056" t="str">
        <f>_xlfn.LET(_xlpm.x,_xlfn.XLOOKUP(_xlfn.XLOOKUP(D1056,beans!$A$2:$A$300,beans!$I$2:$I$300),menu!$E$2:$E$20,menu!$F$2:$F$20),IF(_xlpm.x="","",_xlpm.x))</f>
        <v/>
      </c>
      <c r="T1056" s="68" t="str">
        <f t="shared" si="116"/>
        <v/>
      </c>
      <c r="U1056" t="str">
        <f t="shared" si="112"/>
        <v/>
      </c>
      <c r="V1056">
        <f t="shared" si="117"/>
        <v>0</v>
      </c>
      <c r="W1056" t="str">
        <f t="shared" si="113"/>
        <v/>
      </c>
      <c r="AB1056" s="28" t="str">
        <f t="shared" si="114"/>
        <v xml:space="preserve"> </v>
      </c>
      <c r="AE1056" s="61" t="str">
        <f t="shared" si="115"/>
        <v/>
      </c>
      <c r="AF1056" s="77" t="str">
        <f>_xlfn.XLOOKUP(AD1056,menu!$K$2:$K$9,menu!$J$2:$J$9,"",1)</f>
        <v/>
      </c>
      <c r="AG1056" s="80" t="str">
        <f>_xlfn.XLOOKUP(AH1056,menu!$O$2:$O$9,menu!$H$2:$H$9,"")</f>
        <v/>
      </c>
      <c r="AI1056" t="str">
        <f>_xlfn.LET(_xlpm.x,_xlfn.CONCAT(_xlfn.XLOOKUP(D1056,beans!$A$2:$A$300,beans!$J$2:$J$300,"")," / ",_xlfn.XLOOKUP(D1056,beans!$A$2:$A$300,beans!$K$2:$K$300,"")," - ",_xlfn.XLOOKUP(D1056,beans!$A$2:$A$300,beans!$L$2:$L$300,"")),IF(_xlpm.x=" /  - ","",_xlpm.x))</f>
        <v/>
      </c>
    </row>
    <row r="1057" spans="1:35" x14ac:dyDescent="0.3">
      <c r="A1057">
        <v>1040</v>
      </c>
      <c r="E1057" t="str">
        <f>_xlfn.LET(_xlpm.x,_xlfn.XLOOKUP(D1057,beans!$A$2:$A$300,beans!$H$2:$H$300,""),IF(_xlpm.x="","",_xlpm.x))</f>
        <v/>
      </c>
      <c r="F1057" s="22" t="str">
        <f>_xlfn.XLOOKUP(E1057,menu!$A$2:$A$37,menu!$B$2:$B$37,"")</f>
        <v/>
      </c>
      <c r="G1057" t="str">
        <f>_xlfn.XLOOKUP(E1057,menu!$A$2:$A$37,menu!$C$2:$C$37,"")</f>
        <v/>
      </c>
      <c r="H1057" t="str">
        <f>_xlfn.LET(_xlpm.x,_xlfn.XLOOKUP(_xlfn.XLOOKUP(D1057,beans!$A$2:$A$300,beans!$I$2:$I$300),menu!$E$2:$E$20,menu!$F$2:$F$20),IF(_xlpm.x="","",_xlpm.x))</f>
        <v/>
      </c>
      <c r="T1057" s="68" t="str">
        <f t="shared" si="116"/>
        <v/>
      </c>
      <c r="U1057" t="str">
        <f t="shared" si="112"/>
        <v/>
      </c>
      <c r="V1057">
        <f t="shared" si="117"/>
        <v>0</v>
      </c>
      <c r="W1057" t="str">
        <f t="shared" si="113"/>
        <v/>
      </c>
      <c r="AB1057" s="28" t="str">
        <f t="shared" si="114"/>
        <v xml:space="preserve"> </v>
      </c>
      <c r="AE1057" s="61" t="str">
        <f t="shared" si="115"/>
        <v/>
      </c>
      <c r="AF1057" s="77" t="str">
        <f>_xlfn.XLOOKUP(AD1057,menu!$K$2:$K$9,menu!$J$2:$J$9,"",1)</f>
        <v/>
      </c>
      <c r="AG1057" s="80" t="str">
        <f>_xlfn.XLOOKUP(AH1057,menu!$O$2:$O$9,menu!$H$2:$H$9,"")</f>
        <v/>
      </c>
      <c r="AI1057" t="str">
        <f>_xlfn.LET(_xlpm.x,_xlfn.CONCAT(_xlfn.XLOOKUP(D1057,beans!$A$2:$A$300,beans!$J$2:$J$300,"")," / ",_xlfn.XLOOKUP(D1057,beans!$A$2:$A$300,beans!$K$2:$K$300,"")," - ",_xlfn.XLOOKUP(D1057,beans!$A$2:$A$300,beans!$L$2:$L$300,"")),IF(_xlpm.x=" /  - ","",_xlpm.x))</f>
        <v/>
      </c>
    </row>
    <row r="1058" spans="1:35" x14ac:dyDescent="0.3">
      <c r="A1058">
        <v>1041</v>
      </c>
      <c r="E1058" t="str">
        <f>_xlfn.LET(_xlpm.x,_xlfn.XLOOKUP(D1058,beans!$A$2:$A$300,beans!$H$2:$H$300,""),IF(_xlpm.x="","",_xlpm.x))</f>
        <v/>
      </c>
      <c r="F1058" s="22" t="str">
        <f>_xlfn.XLOOKUP(E1058,menu!$A$2:$A$37,menu!$B$2:$B$37,"")</f>
        <v/>
      </c>
      <c r="G1058" t="str">
        <f>_xlfn.XLOOKUP(E1058,menu!$A$2:$A$37,menu!$C$2:$C$37,"")</f>
        <v/>
      </c>
      <c r="H1058" t="str">
        <f>_xlfn.LET(_xlpm.x,_xlfn.XLOOKUP(_xlfn.XLOOKUP(D1058,beans!$A$2:$A$300,beans!$I$2:$I$300),menu!$E$2:$E$20,menu!$F$2:$F$20),IF(_xlpm.x="","",_xlpm.x))</f>
        <v/>
      </c>
      <c r="T1058" s="68" t="str">
        <f t="shared" si="116"/>
        <v/>
      </c>
      <c r="U1058" t="str">
        <f t="shared" si="112"/>
        <v/>
      </c>
      <c r="V1058">
        <f t="shared" si="117"/>
        <v>0</v>
      </c>
      <c r="W1058" t="str">
        <f t="shared" si="113"/>
        <v/>
      </c>
      <c r="AB1058" s="28" t="str">
        <f t="shared" si="114"/>
        <v xml:space="preserve"> </v>
      </c>
      <c r="AE1058" s="61" t="str">
        <f t="shared" si="115"/>
        <v/>
      </c>
      <c r="AF1058" s="77" t="str">
        <f>_xlfn.XLOOKUP(AD1058,menu!$K$2:$K$9,menu!$J$2:$J$9,"",1)</f>
        <v/>
      </c>
      <c r="AG1058" s="80" t="str">
        <f>_xlfn.XLOOKUP(AH1058,menu!$O$2:$O$9,menu!$H$2:$H$9,"")</f>
        <v/>
      </c>
      <c r="AI1058" t="str">
        <f>_xlfn.LET(_xlpm.x,_xlfn.CONCAT(_xlfn.XLOOKUP(D1058,beans!$A$2:$A$300,beans!$J$2:$J$300,"")," / ",_xlfn.XLOOKUP(D1058,beans!$A$2:$A$300,beans!$K$2:$K$300,"")," - ",_xlfn.XLOOKUP(D1058,beans!$A$2:$A$300,beans!$L$2:$L$300,"")),IF(_xlpm.x=" /  - ","",_xlpm.x))</f>
        <v/>
      </c>
    </row>
    <row r="1059" spans="1:35" x14ac:dyDescent="0.3">
      <c r="A1059">
        <v>1042</v>
      </c>
      <c r="E1059" t="str">
        <f>_xlfn.LET(_xlpm.x,_xlfn.XLOOKUP(D1059,beans!$A$2:$A$300,beans!$H$2:$H$300,""),IF(_xlpm.x="","",_xlpm.x))</f>
        <v/>
      </c>
      <c r="F1059" s="22" t="str">
        <f>_xlfn.XLOOKUP(E1059,menu!$A$2:$A$37,menu!$B$2:$B$37,"")</f>
        <v/>
      </c>
      <c r="G1059" t="str">
        <f>_xlfn.XLOOKUP(E1059,menu!$A$2:$A$37,menu!$C$2:$C$37,"")</f>
        <v/>
      </c>
      <c r="H1059" t="str">
        <f>_xlfn.LET(_xlpm.x,_xlfn.XLOOKUP(_xlfn.XLOOKUP(D1059,beans!$A$2:$A$300,beans!$I$2:$I$300),menu!$E$2:$E$20,menu!$F$2:$F$20),IF(_xlpm.x="","",_xlpm.x))</f>
        <v/>
      </c>
      <c r="T1059" s="68" t="str">
        <f t="shared" si="116"/>
        <v/>
      </c>
      <c r="U1059" t="str">
        <f t="shared" si="112"/>
        <v/>
      </c>
      <c r="V1059">
        <f t="shared" si="117"/>
        <v>0</v>
      </c>
      <c r="W1059" t="str">
        <f t="shared" si="113"/>
        <v/>
      </c>
      <c r="AB1059" s="28" t="str">
        <f t="shared" si="114"/>
        <v xml:space="preserve"> </v>
      </c>
      <c r="AE1059" s="61" t="str">
        <f t="shared" si="115"/>
        <v/>
      </c>
      <c r="AF1059" s="77" t="str">
        <f>_xlfn.XLOOKUP(AD1059,menu!$K$2:$K$9,menu!$J$2:$J$9,"",1)</f>
        <v/>
      </c>
      <c r="AG1059" s="80" t="str">
        <f>_xlfn.XLOOKUP(AH1059,menu!$O$2:$O$9,menu!$H$2:$H$9,"")</f>
        <v/>
      </c>
      <c r="AI1059" t="str">
        <f>_xlfn.LET(_xlpm.x,_xlfn.CONCAT(_xlfn.XLOOKUP(D1059,beans!$A$2:$A$300,beans!$J$2:$J$300,"")," / ",_xlfn.XLOOKUP(D1059,beans!$A$2:$A$300,beans!$K$2:$K$300,"")," - ",_xlfn.XLOOKUP(D1059,beans!$A$2:$A$300,beans!$L$2:$L$300,"")),IF(_xlpm.x=" /  - ","",_xlpm.x))</f>
        <v/>
      </c>
    </row>
    <row r="1060" spans="1:35" x14ac:dyDescent="0.3">
      <c r="A1060">
        <v>1043</v>
      </c>
      <c r="E1060" t="str">
        <f>_xlfn.LET(_xlpm.x,_xlfn.XLOOKUP(D1060,beans!$A$2:$A$300,beans!$H$2:$H$300,""),IF(_xlpm.x="","",_xlpm.x))</f>
        <v/>
      </c>
      <c r="F1060" s="22" t="str">
        <f>_xlfn.XLOOKUP(E1060,menu!$A$2:$A$37,menu!$B$2:$B$37,"")</f>
        <v/>
      </c>
      <c r="G1060" t="str">
        <f>_xlfn.XLOOKUP(E1060,menu!$A$2:$A$37,menu!$C$2:$C$37,"")</f>
        <v/>
      </c>
      <c r="H1060" t="str">
        <f>_xlfn.LET(_xlpm.x,_xlfn.XLOOKUP(_xlfn.XLOOKUP(D1060,beans!$A$2:$A$300,beans!$I$2:$I$300),menu!$E$2:$E$20,menu!$F$2:$F$20),IF(_xlpm.x="","",_xlpm.x))</f>
        <v/>
      </c>
      <c r="T1060" s="68" t="str">
        <f t="shared" si="116"/>
        <v/>
      </c>
      <c r="U1060" t="str">
        <f t="shared" si="112"/>
        <v/>
      </c>
      <c r="V1060">
        <f t="shared" si="117"/>
        <v>0</v>
      </c>
      <c r="W1060" t="str">
        <f t="shared" si="113"/>
        <v/>
      </c>
      <c r="AB1060" s="28" t="str">
        <f t="shared" si="114"/>
        <v xml:space="preserve"> </v>
      </c>
      <c r="AE1060" s="61" t="str">
        <f t="shared" si="115"/>
        <v/>
      </c>
      <c r="AF1060" s="77" t="str">
        <f>_xlfn.XLOOKUP(AD1060,menu!$K$2:$K$9,menu!$J$2:$J$9,"",1)</f>
        <v/>
      </c>
      <c r="AG1060" s="80" t="str">
        <f>_xlfn.XLOOKUP(AH1060,menu!$O$2:$O$9,menu!$H$2:$H$9,"")</f>
        <v/>
      </c>
      <c r="AI1060" t="str">
        <f>_xlfn.LET(_xlpm.x,_xlfn.CONCAT(_xlfn.XLOOKUP(D1060,beans!$A$2:$A$300,beans!$J$2:$J$300,"")," / ",_xlfn.XLOOKUP(D1060,beans!$A$2:$A$300,beans!$K$2:$K$300,"")," - ",_xlfn.XLOOKUP(D1060,beans!$A$2:$A$300,beans!$L$2:$L$300,"")),IF(_xlpm.x=" /  - ","",_xlpm.x))</f>
        <v/>
      </c>
    </row>
    <row r="1061" spans="1:35" x14ac:dyDescent="0.3">
      <c r="A1061">
        <v>1044</v>
      </c>
      <c r="E1061" t="str">
        <f>_xlfn.LET(_xlpm.x,_xlfn.XLOOKUP(D1061,beans!$A$2:$A$300,beans!$H$2:$H$300,""),IF(_xlpm.x="","",_xlpm.x))</f>
        <v/>
      </c>
      <c r="F1061" s="22" t="str">
        <f>_xlfn.XLOOKUP(E1061,menu!$A$2:$A$37,menu!$B$2:$B$37,"")</f>
        <v/>
      </c>
      <c r="G1061" t="str">
        <f>_xlfn.XLOOKUP(E1061,menu!$A$2:$A$37,menu!$C$2:$C$37,"")</f>
        <v/>
      </c>
      <c r="H1061" t="str">
        <f>_xlfn.LET(_xlpm.x,_xlfn.XLOOKUP(_xlfn.XLOOKUP(D1061,beans!$A$2:$A$300,beans!$I$2:$I$300),menu!$E$2:$E$20,menu!$F$2:$F$20),IF(_xlpm.x="","",_xlpm.x))</f>
        <v/>
      </c>
      <c r="T1061" s="68" t="str">
        <f t="shared" si="116"/>
        <v/>
      </c>
      <c r="U1061" t="str">
        <f t="shared" si="112"/>
        <v/>
      </c>
      <c r="V1061">
        <f t="shared" si="117"/>
        <v>0</v>
      </c>
      <c r="W1061" t="str">
        <f t="shared" si="113"/>
        <v/>
      </c>
      <c r="AB1061" s="28" t="str">
        <f t="shared" si="114"/>
        <v xml:space="preserve"> </v>
      </c>
      <c r="AE1061" s="61" t="str">
        <f t="shared" si="115"/>
        <v/>
      </c>
      <c r="AF1061" s="77" t="str">
        <f>_xlfn.XLOOKUP(AD1061,menu!$K$2:$K$9,menu!$J$2:$J$9,"",1)</f>
        <v/>
      </c>
      <c r="AG1061" s="80" t="str">
        <f>_xlfn.XLOOKUP(AH1061,menu!$O$2:$O$9,menu!$H$2:$H$9,"")</f>
        <v/>
      </c>
      <c r="AI1061" t="str">
        <f>_xlfn.LET(_xlpm.x,_xlfn.CONCAT(_xlfn.XLOOKUP(D1061,beans!$A$2:$A$300,beans!$J$2:$J$300,"")," / ",_xlfn.XLOOKUP(D1061,beans!$A$2:$A$300,beans!$K$2:$K$300,"")," - ",_xlfn.XLOOKUP(D1061,beans!$A$2:$A$300,beans!$L$2:$L$300,"")),IF(_xlpm.x=" /  - ","",_xlpm.x))</f>
        <v/>
      </c>
    </row>
    <row r="1062" spans="1:35" x14ac:dyDescent="0.3">
      <c r="A1062">
        <v>1045</v>
      </c>
      <c r="E1062" t="str">
        <f>_xlfn.LET(_xlpm.x,_xlfn.XLOOKUP(D1062,beans!$A$2:$A$300,beans!$H$2:$H$300,""),IF(_xlpm.x="","",_xlpm.x))</f>
        <v/>
      </c>
      <c r="F1062" s="22" t="str">
        <f>_xlfn.XLOOKUP(E1062,menu!$A$2:$A$37,menu!$B$2:$B$37,"")</f>
        <v/>
      </c>
      <c r="G1062" t="str">
        <f>_xlfn.XLOOKUP(E1062,menu!$A$2:$A$37,menu!$C$2:$C$37,"")</f>
        <v/>
      </c>
      <c r="H1062" t="str">
        <f>_xlfn.LET(_xlpm.x,_xlfn.XLOOKUP(_xlfn.XLOOKUP(D1062,beans!$A$2:$A$300,beans!$I$2:$I$300),menu!$E$2:$E$20,menu!$F$2:$F$20),IF(_xlpm.x="","",_xlpm.x))</f>
        <v/>
      </c>
      <c r="T1062" s="68" t="str">
        <f t="shared" si="116"/>
        <v/>
      </c>
      <c r="U1062" t="str">
        <f t="shared" si="112"/>
        <v/>
      </c>
      <c r="V1062">
        <f t="shared" si="117"/>
        <v>0</v>
      </c>
      <c r="W1062" t="str">
        <f t="shared" si="113"/>
        <v/>
      </c>
      <c r="AB1062" s="28" t="str">
        <f t="shared" si="114"/>
        <v xml:space="preserve"> </v>
      </c>
      <c r="AE1062" s="61" t="str">
        <f t="shared" si="115"/>
        <v/>
      </c>
      <c r="AF1062" s="77" t="str">
        <f>_xlfn.XLOOKUP(AD1062,menu!$K$2:$K$9,menu!$J$2:$J$9,"",1)</f>
        <v/>
      </c>
      <c r="AG1062" s="80" t="str">
        <f>_xlfn.XLOOKUP(AH1062,menu!$O$2:$O$9,menu!$H$2:$H$9,"")</f>
        <v/>
      </c>
      <c r="AI1062" t="str">
        <f>_xlfn.LET(_xlpm.x,_xlfn.CONCAT(_xlfn.XLOOKUP(D1062,beans!$A$2:$A$300,beans!$J$2:$J$300,"")," / ",_xlfn.XLOOKUP(D1062,beans!$A$2:$A$300,beans!$K$2:$K$300,"")," - ",_xlfn.XLOOKUP(D1062,beans!$A$2:$A$300,beans!$L$2:$L$300,"")),IF(_xlpm.x=" /  - ","",_xlpm.x))</f>
        <v/>
      </c>
    </row>
    <row r="1063" spans="1:35" x14ac:dyDescent="0.3">
      <c r="A1063">
        <v>1046</v>
      </c>
      <c r="E1063" t="str">
        <f>_xlfn.LET(_xlpm.x,_xlfn.XLOOKUP(D1063,beans!$A$2:$A$300,beans!$H$2:$H$300,""),IF(_xlpm.x="","",_xlpm.x))</f>
        <v/>
      </c>
      <c r="F1063" s="22" t="str">
        <f>_xlfn.XLOOKUP(E1063,menu!$A$2:$A$37,menu!$B$2:$B$37,"")</f>
        <v/>
      </c>
      <c r="G1063" t="str">
        <f>_xlfn.XLOOKUP(E1063,menu!$A$2:$A$37,menu!$C$2:$C$37,"")</f>
        <v/>
      </c>
      <c r="H1063" t="str">
        <f>_xlfn.LET(_xlpm.x,_xlfn.XLOOKUP(_xlfn.XLOOKUP(D1063,beans!$A$2:$A$300,beans!$I$2:$I$300),menu!$E$2:$E$20,menu!$F$2:$F$20),IF(_xlpm.x="","",_xlpm.x))</f>
        <v/>
      </c>
      <c r="T1063" s="68" t="str">
        <f t="shared" si="116"/>
        <v/>
      </c>
      <c r="U1063" t="str">
        <f t="shared" si="112"/>
        <v/>
      </c>
      <c r="V1063">
        <f t="shared" si="117"/>
        <v>0</v>
      </c>
      <c r="W1063" t="str">
        <f t="shared" si="113"/>
        <v/>
      </c>
      <c r="AB1063" s="28" t="str">
        <f t="shared" si="114"/>
        <v xml:space="preserve"> </v>
      </c>
      <c r="AE1063" s="61" t="str">
        <f t="shared" si="115"/>
        <v/>
      </c>
      <c r="AF1063" s="77" t="str">
        <f>_xlfn.XLOOKUP(AD1063,menu!$K$2:$K$9,menu!$J$2:$J$9,"",1)</f>
        <v/>
      </c>
      <c r="AG1063" s="80" t="str">
        <f>_xlfn.XLOOKUP(AH1063,menu!$O$2:$O$9,menu!$H$2:$H$9,"")</f>
        <v/>
      </c>
      <c r="AI1063" t="str">
        <f>_xlfn.LET(_xlpm.x,_xlfn.CONCAT(_xlfn.XLOOKUP(D1063,beans!$A$2:$A$300,beans!$J$2:$J$300,"")," / ",_xlfn.XLOOKUP(D1063,beans!$A$2:$A$300,beans!$K$2:$K$300,"")," - ",_xlfn.XLOOKUP(D1063,beans!$A$2:$A$300,beans!$L$2:$L$300,"")),IF(_xlpm.x=" /  - ","",_xlpm.x))</f>
        <v/>
      </c>
    </row>
    <row r="1064" spans="1:35" x14ac:dyDescent="0.3">
      <c r="A1064">
        <v>1047</v>
      </c>
      <c r="E1064" t="str">
        <f>_xlfn.LET(_xlpm.x,_xlfn.XLOOKUP(D1064,beans!$A$2:$A$300,beans!$H$2:$H$300,""),IF(_xlpm.x="","",_xlpm.x))</f>
        <v/>
      </c>
      <c r="F1064" s="22" t="str">
        <f>_xlfn.XLOOKUP(E1064,menu!$A$2:$A$37,menu!$B$2:$B$37,"")</f>
        <v/>
      </c>
      <c r="G1064" t="str">
        <f>_xlfn.XLOOKUP(E1064,menu!$A$2:$A$37,menu!$C$2:$C$37,"")</f>
        <v/>
      </c>
      <c r="H1064" t="str">
        <f>_xlfn.LET(_xlpm.x,_xlfn.XLOOKUP(_xlfn.XLOOKUP(D1064,beans!$A$2:$A$300,beans!$I$2:$I$300),menu!$E$2:$E$20,menu!$F$2:$F$20),IF(_xlpm.x="","",_xlpm.x))</f>
        <v/>
      </c>
      <c r="T1064" s="68" t="str">
        <f t="shared" si="116"/>
        <v/>
      </c>
      <c r="U1064" t="str">
        <f t="shared" si="112"/>
        <v/>
      </c>
      <c r="V1064">
        <f t="shared" si="117"/>
        <v>0</v>
      </c>
      <c r="W1064" t="str">
        <f t="shared" si="113"/>
        <v/>
      </c>
      <c r="AB1064" s="28" t="str">
        <f t="shared" si="114"/>
        <v xml:space="preserve"> </v>
      </c>
      <c r="AE1064" s="61" t="str">
        <f t="shared" si="115"/>
        <v/>
      </c>
      <c r="AF1064" s="77" t="str">
        <f>_xlfn.XLOOKUP(AD1064,menu!$K$2:$K$9,menu!$J$2:$J$9,"",1)</f>
        <v/>
      </c>
      <c r="AG1064" s="80" t="str">
        <f>_xlfn.XLOOKUP(AH1064,menu!$O$2:$O$9,menu!$H$2:$H$9,"")</f>
        <v/>
      </c>
      <c r="AI1064" t="str">
        <f>_xlfn.LET(_xlpm.x,_xlfn.CONCAT(_xlfn.XLOOKUP(D1064,beans!$A$2:$A$300,beans!$J$2:$J$300,"")," / ",_xlfn.XLOOKUP(D1064,beans!$A$2:$A$300,beans!$K$2:$K$300,"")," - ",_xlfn.XLOOKUP(D1064,beans!$A$2:$A$300,beans!$L$2:$L$300,"")),IF(_xlpm.x=" /  - ","",_xlpm.x))</f>
        <v/>
      </c>
    </row>
    <row r="1065" spans="1:35" x14ac:dyDescent="0.3">
      <c r="A1065">
        <v>1048</v>
      </c>
      <c r="E1065" t="str">
        <f>_xlfn.LET(_xlpm.x,_xlfn.XLOOKUP(D1065,beans!$A$2:$A$300,beans!$H$2:$H$300,""),IF(_xlpm.x="","",_xlpm.x))</f>
        <v/>
      </c>
      <c r="F1065" s="22" t="str">
        <f>_xlfn.XLOOKUP(E1065,menu!$A$2:$A$37,menu!$B$2:$B$37,"")</f>
        <v/>
      </c>
      <c r="G1065" t="str">
        <f>_xlfn.XLOOKUP(E1065,menu!$A$2:$A$37,menu!$C$2:$C$37,"")</f>
        <v/>
      </c>
      <c r="H1065" t="str">
        <f>_xlfn.LET(_xlpm.x,_xlfn.XLOOKUP(_xlfn.XLOOKUP(D1065,beans!$A$2:$A$300,beans!$I$2:$I$300),menu!$E$2:$E$20,menu!$F$2:$F$20),IF(_xlpm.x="","",_xlpm.x))</f>
        <v/>
      </c>
      <c r="T1065" s="68" t="str">
        <f t="shared" si="116"/>
        <v/>
      </c>
      <c r="U1065" t="str">
        <f t="shared" si="112"/>
        <v/>
      </c>
      <c r="V1065">
        <f t="shared" si="117"/>
        <v>0</v>
      </c>
      <c r="W1065" t="str">
        <f t="shared" si="113"/>
        <v/>
      </c>
      <c r="AB1065" s="28" t="str">
        <f t="shared" si="114"/>
        <v xml:space="preserve"> </v>
      </c>
      <c r="AE1065" s="61" t="str">
        <f t="shared" si="115"/>
        <v/>
      </c>
      <c r="AF1065" s="77" t="str">
        <f>_xlfn.XLOOKUP(AD1065,menu!$K$2:$K$9,menu!$J$2:$J$9,"",1)</f>
        <v/>
      </c>
      <c r="AG1065" s="80" t="str">
        <f>_xlfn.XLOOKUP(AH1065,menu!$O$2:$O$9,menu!$H$2:$H$9,"")</f>
        <v/>
      </c>
      <c r="AI1065" t="str">
        <f>_xlfn.LET(_xlpm.x,_xlfn.CONCAT(_xlfn.XLOOKUP(D1065,beans!$A$2:$A$300,beans!$J$2:$J$300,"")," / ",_xlfn.XLOOKUP(D1065,beans!$A$2:$A$300,beans!$K$2:$K$300,"")," - ",_xlfn.XLOOKUP(D1065,beans!$A$2:$A$300,beans!$L$2:$L$300,"")),IF(_xlpm.x=" /  - ","",_xlpm.x))</f>
        <v/>
      </c>
    </row>
    <row r="1066" spans="1:35" x14ac:dyDescent="0.3">
      <c r="A1066">
        <v>1049</v>
      </c>
      <c r="E1066" t="str">
        <f>_xlfn.LET(_xlpm.x,_xlfn.XLOOKUP(D1066,beans!$A$2:$A$300,beans!$H$2:$H$300,""),IF(_xlpm.x="","",_xlpm.x))</f>
        <v/>
      </c>
      <c r="F1066" s="22" t="str">
        <f>_xlfn.XLOOKUP(E1066,menu!$A$2:$A$37,menu!$B$2:$B$37,"")</f>
        <v/>
      </c>
      <c r="G1066" t="str">
        <f>_xlfn.XLOOKUP(E1066,menu!$A$2:$A$37,menu!$C$2:$C$37,"")</f>
        <v/>
      </c>
      <c r="H1066" t="str">
        <f>_xlfn.LET(_xlpm.x,_xlfn.XLOOKUP(_xlfn.XLOOKUP(D1066,beans!$A$2:$A$300,beans!$I$2:$I$300),menu!$E$2:$E$20,menu!$F$2:$F$20),IF(_xlpm.x="","",_xlpm.x))</f>
        <v/>
      </c>
      <c r="T1066" s="68" t="str">
        <f t="shared" si="116"/>
        <v/>
      </c>
      <c r="U1066" t="str">
        <f t="shared" si="112"/>
        <v/>
      </c>
      <c r="V1066">
        <f t="shared" si="117"/>
        <v>0</v>
      </c>
      <c r="W1066" t="str">
        <f t="shared" si="113"/>
        <v/>
      </c>
      <c r="AB1066" s="28" t="str">
        <f t="shared" si="114"/>
        <v xml:space="preserve"> </v>
      </c>
      <c r="AE1066" s="61" t="str">
        <f t="shared" si="115"/>
        <v/>
      </c>
      <c r="AF1066" s="77" t="str">
        <f>_xlfn.XLOOKUP(AD1066,menu!$K$2:$K$9,menu!$J$2:$J$9,"",1)</f>
        <v/>
      </c>
      <c r="AG1066" s="80" t="str">
        <f>_xlfn.XLOOKUP(AH1066,menu!$O$2:$O$9,menu!$H$2:$H$9,"")</f>
        <v/>
      </c>
      <c r="AI1066" t="str">
        <f>_xlfn.LET(_xlpm.x,_xlfn.CONCAT(_xlfn.XLOOKUP(D1066,beans!$A$2:$A$300,beans!$J$2:$J$300,"")," / ",_xlfn.XLOOKUP(D1066,beans!$A$2:$A$300,beans!$K$2:$K$300,"")," - ",_xlfn.XLOOKUP(D1066,beans!$A$2:$A$300,beans!$L$2:$L$300,"")),IF(_xlpm.x=" /  - ","",_xlpm.x))</f>
        <v/>
      </c>
    </row>
    <row r="1067" spans="1:35" x14ac:dyDescent="0.3">
      <c r="A1067">
        <v>1050</v>
      </c>
      <c r="E1067" t="str">
        <f>_xlfn.LET(_xlpm.x,_xlfn.XLOOKUP(D1067,beans!$A$2:$A$300,beans!$H$2:$H$300,""),IF(_xlpm.x="","",_xlpm.x))</f>
        <v/>
      </c>
      <c r="F1067" s="22" t="str">
        <f>_xlfn.XLOOKUP(E1067,menu!$A$2:$A$37,menu!$B$2:$B$37,"")</f>
        <v/>
      </c>
      <c r="G1067" t="str">
        <f>_xlfn.XLOOKUP(E1067,menu!$A$2:$A$37,menu!$C$2:$C$37,"")</f>
        <v/>
      </c>
      <c r="H1067" t="str">
        <f>_xlfn.LET(_xlpm.x,_xlfn.XLOOKUP(_xlfn.XLOOKUP(D1067,beans!$A$2:$A$300,beans!$I$2:$I$300),menu!$E$2:$E$20,menu!$F$2:$F$20),IF(_xlpm.x="","",_xlpm.x))</f>
        <v/>
      </c>
      <c r="T1067" s="68" t="str">
        <f t="shared" si="116"/>
        <v/>
      </c>
      <c r="U1067" t="str">
        <f t="shared" si="112"/>
        <v/>
      </c>
      <c r="V1067">
        <f t="shared" si="117"/>
        <v>0</v>
      </c>
      <c r="W1067" t="str">
        <f t="shared" si="113"/>
        <v/>
      </c>
      <c r="AB1067" s="28" t="str">
        <f t="shared" si="114"/>
        <v xml:space="preserve"> </v>
      </c>
      <c r="AE1067" s="61" t="str">
        <f t="shared" si="115"/>
        <v/>
      </c>
      <c r="AF1067" s="77" t="str">
        <f>_xlfn.XLOOKUP(AD1067,menu!$K$2:$K$9,menu!$J$2:$J$9,"",1)</f>
        <v/>
      </c>
      <c r="AG1067" s="80" t="str">
        <f>_xlfn.XLOOKUP(AH1067,menu!$O$2:$O$9,menu!$H$2:$H$9,"")</f>
        <v/>
      </c>
      <c r="AI1067" t="str">
        <f>_xlfn.LET(_xlpm.x,_xlfn.CONCAT(_xlfn.XLOOKUP(D1067,beans!$A$2:$A$300,beans!$J$2:$J$300,"")," / ",_xlfn.XLOOKUP(D1067,beans!$A$2:$A$300,beans!$K$2:$K$300,"")," - ",_xlfn.XLOOKUP(D1067,beans!$A$2:$A$300,beans!$L$2:$L$300,"")),IF(_xlpm.x=" /  - ","",_xlpm.x))</f>
        <v/>
      </c>
    </row>
    <row r="1068" spans="1:35" x14ac:dyDescent="0.3">
      <c r="A1068">
        <v>1051</v>
      </c>
      <c r="E1068" t="str">
        <f>_xlfn.LET(_xlpm.x,_xlfn.XLOOKUP(D1068,beans!$A$2:$A$300,beans!$H$2:$H$300,""),IF(_xlpm.x="","",_xlpm.x))</f>
        <v/>
      </c>
      <c r="F1068" s="22" t="str">
        <f>_xlfn.XLOOKUP(E1068,menu!$A$2:$A$37,menu!$B$2:$B$37,"")</f>
        <v/>
      </c>
      <c r="G1068" t="str">
        <f>_xlfn.XLOOKUP(E1068,menu!$A$2:$A$37,menu!$C$2:$C$37,"")</f>
        <v/>
      </c>
      <c r="H1068" t="str">
        <f>_xlfn.LET(_xlpm.x,_xlfn.XLOOKUP(_xlfn.XLOOKUP(D1068,beans!$A$2:$A$300,beans!$I$2:$I$300),menu!$E$2:$E$20,menu!$F$2:$F$20),IF(_xlpm.x="","",_xlpm.x))</f>
        <v/>
      </c>
      <c r="T1068" s="68" t="str">
        <f t="shared" si="116"/>
        <v/>
      </c>
      <c r="U1068" t="str">
        <f t="shared" si="112"/>
        <v/>
      </c>
      <c r="V1068">
        <f t="shared" si="117"/>
        <v>0</v>
      </c>
      <c r="W1068" t="str">
        <f t="shared" si="113"/>
        <v/>
      </c>
      <c r="AB1068" s="28" t="str">
        <f t="shared" si="114"/>
        <v xml:space="preserve"> </v>
      </c>
      <c r="AE1068" s="61" t="str">
        <f t="shared" si="115"/>
        <v/>
      </c>
      <c r="AF1068" s="77" t="str">
        <f>_xlfn.XLOOKUP(AD1068,menu!$K$2:$K$9,menu!$J$2:$J$9,"",1)</f>
        <v/>
      </c>
      <c r="AG1068" s="80" t="str">
        <f>_xlfn.XLOOKUP(AH1068,menu!$O$2:$O$9,menu!$H$2:$H$9,"")</f>
        <v/>
      </c>
      <c r="AI1068" t="str">
        <f>_xlfn.LET(_xlpm.x,_xlfn.CONCAT(_xlfn.XLOOKUP(D1068,beans!$A$2:$A$300,beans!$J$2:$J$300,"")," / ",_xlfn.XLOOKUP(D1068,beans!$A$2:$A$300,beans!$K$2:$K$300,"")," - ",_xlfn.XLOOKUP(D1068,beans!$A$2:$A$300,beans!$L$2:$L$300,"")),IF(_xlpm.x=" /  - ","",_xlpm.x))</f>
        <v/>
      </c>
    </row>
    <row r="1069" spans="1:35" x14ac:dyDescent="0.3">
      <c r="A1069">
        <v>1052</v>
      </c>
      <c r="E1069" t="str">
        <f>_xlfn.LET(_xlpm.x,_xlfn.XLOOKUP(D1069,beans!$A$2:$A$300,beans!$H$2:$H$300,""),IF(_xlpm.x="","",_xlpm.x))</f>
        <v/>
      </c>
      <c r="F1069" s="22" t="str">
        <f>_xlfn.XLOOKUP(E1069,menu!$A$2:$A$37,menu!$B$2:$B$37,"")</f>
        <v/>
      </c>
      <c r="G1069" t="str">
        <f>_xlfn.XLOOKUP(E1069,menu!$A$2:$A$37,menu!$C$2:$C$37,"")</f>
        <v/>
      </c>
      <c r="H1069" t="str">
        <f>_xlfn.LET(_xlpm.x,_xlfn.XLOOKUP(_xlfn.XLOOKUP(D1069,beans!$A$2:$A$300,beans!$I$2:$I$300),menu!$E$2:$E$20,menu!$F$2:$F$20),IF(_xlpm.x="","",_xlpm.x))</f>
        <v/>
      </c>
      <c r="T1069" s="68" t="str">
        <f t="shared" si="116"/>
        <v/>
      </c>
      <c r="U1069" t="str">
        <f t="shared" si="112"/>
        <v/>
      </c>
      <c r="V1069">
        <f t="shared" si="117"/>
        <v>0</v>
      </c>
      <c r="W1069" t="str">
        <f t="shared" si="113"/>
        <v/>
      </c>
      <c r="AB1069" s="28" t="str">
        <f t="shared" si="114"/>
        <v xml:space="preserve"> </v>
      </c>
      <c r="AE1069" s="61" t="str">
        <f t="shared" si="115"/>
        <v/>
      </c>
      <c r="AF1069" s="77" t="str">
        <f>_xlfn.XLOOKUP(AD1069,menu!$K$2:$K$9,menu!$J$2:$J$9,"",1)</f>
        <v/>
      </c>
      <c r="AG1069" s="80" t="str">
        <f>_xlfn.XLOOKUP(AH1069,menu!$O$2:$O$9,menu!$H$2:$H$9,"")</f>
        <v/>
      </c>
      <c r="AI1069" t="str">
        <f>_xlfn.LET(_xlpm.x,_xlfn.CONCAT(_xlfn.XLOOKUP(D1069,beans!$A$2:$A$300,beans!$J$2:$J$300,"")," / ",_xlfn.XLOOKUP(D1069,beans!$A$2:$A$300,beans!$K$2:$K$300,"")," - ",_xlfn.XLOOKUP(D1069,beans!$A$2:$A$300,beans!$L$2:$L$300,"")),IF(_xlpm.x=" /  - ","",_xlpm.x))</f>
        <v/>
      </c>
    </row>
    <row r="1070" spans="1:35" x14ac:dyDescent="0.3">
      <c r="A1070">
        <v>1053</v>
      </c>
      <c r="E1070" t="str">
        <f>_xlfn.LET(_xlpm.x,_xlfn.XLOOKUP(D1070,beans!$A$2:$A$300,beans!$H$2:$H$300,""),IF(_xlpm.x="","",_xlpm.x))</f>
        <v/>
      </c>
      <c r="F1070" s="22" t="str">
        <f>_xlfn.XLOOKUP(E1070,menu!$A$2:$A$37,menu!$B$2:$B$37,"")</f>
        <v/>
      </c>
      <c r="G1070" t="str">
        <f>_xlfn.XLOOKUP(E1070,menu!$A$2:$A$37,menu!$C$2:$C$37,"")</f>
        <v/>
      </c>
      <c r="H1070" t="str">
        <f>_xlfn.LET(_xlpm.x,_xlfn.XLOOKUP(_xlfn.XLOOKUP(D1070,beans!$A$2:$A$300,beans!$I$2:$I$300),menu!$E$2:$E$20,menu!$F$2:$F$20),IF(_xlpm.x="","",_xlpm.x))</f>
        <v/>
      </c>
      <c r="T1070" s="68" t="str">
        <f t="shared" si="116"/>
        <v/>
      </c>
      <c r="U1070" t="str">
        <f t="shared" si="112"/>
        <v/>
      </c>
      <c r="V1070">
        <f t="shared" si="117"/>
        <v>0</v>
      </c>
      <c r="W1070" t="str">
        <f t="shared" si="113"/>
        <v/>
      </c>
      <c r="AB1070" s="28" t="str">
        <f t="shared" si="114"/>
        <v xml:space="preserve"> </v>
      </c>
      <c r="AE1070" s="61" t="str">
        <f t="shared" si="115"/>
        <v/>
      </c>
      <c r="AF1070" s="77" t="str">
        <f>_xlfn.XLOOKUP(AD1070,menu!$K$2:$K$9,menu!$J$2:$J$9,"",1)</f>
        <v/>
      </c>
      <c r="AG1070" s="80" t="str">
        <f>_xlfn.XLOOKUP(AH1070,menu!$O$2:$O$9,menu!$H$2:$H$9,"")</f>
        <v/>
      </c>
      <c r="AI1070" t="str">
        <f>_xlfn.LET(_xlpm.x,_xlfn.CONCAT(_xlfn.XLOOKUP(D1070,beans!$A$2:$A$300,beans!$J$2:$J$300,"")," / ",_xlfn.XLOOKUP(D1070,beans!$A$2:$A$300,beans!$K$2:$K$300,"")," - ",_xlfn.XLOOKUP(D1070,beans!$A$2:$A$300,beans!$L$2:$L$300,"")),IF(_xlpm.x=" /  - ","",_xlpm.x))</f>
        <v/>
      </c>
    </row>
    <row r="1071" spans="1:35" x14ac:dyDescent="0.3">
      <c r="A1071">
        <v>1054</v>
      </c>
      <c r="E1071" t="str">
        <f>_xlfn.LET(_xlpm.x,_xlfn.XLOOKUP(D1071,beans!$A$2:$A$300,beans!$H$2:$H$300,""),IF(_xlpm.x="","",_xlpm.x))</f>
        <v/>
      </c>
      <c r="F1071" s="22" t="str">
        <f>_xlfn.XLOOKUP(E1071,menu!$A$2:$A$37,menu!$B$2:$B$37,"")</f>
        <v/>
      </c>
      <c r="G1071" t="str">
        <f>_xlfn.XLOOKUP(E1071,menu!$A$2:$A$37,menu!$C$2:$C$37,"")</f>
        <v/>
      </c>
      <c r="H1071" t="str">
        <f>_xlfn.LET(_xlpm.x,_xlfn.XLOOKUP(_xlfn.XLOOKUP(D1071,beans!$A$2:$A$300,beans!$I$2:$I$300),menu!$E$2:$E$20,menu!$F$2:$F$20),IF(_xlpm.x="","",_xlpm.x))</f>
        <v/>
      </c>
      <c r="T1071" s="68" t="str">
        <f t="shared" si="116"/>
        <v/>
      </c>
      <c r="U1071" t="str">
        <f t="shared" si="112"/>
        <v/>
      </c>
      <c r="V1071">
        <f t="shared" si="117"/>
        <v>0</v>
      </c>
      <c r="W1071" t="str">
        <f t="shared" si="113"/>
        <v/>
      </c>
      <c r="AB1071" s="28" t="str">
        <f t="shared" si="114"/>
        <v xml:space="preserve"> </v>
      </c>
      <c r="AE1071" s="61" t="str">
        <f t="shared" si="115"/>
        <v/>
      </c>
      <c r="AF1071" s="77" t="str">
        <f>_xlfn.XLOOKUP(AD1071,menu!$K$2:$K$9,menu!$J$2:$J$9,"",1)</f>
        <v/>
      </c>
      <c r="AG1071" s="80" t="str">
        <f>_xlfn.XLOOKUP(AH1071,menu!$O$2:$O$9,menu!$H$2:$H$9,"")</f>
        <v/>
      </c>
      <c r="AI1071" t="str">
        <f>_xlfn.LET(_xlpm.x,_xlfn.CONCAT(_xlfn.XLOOKUP(D1071,beans!$A$2:$A$300,beans!$J$2:$J$300,"")," / ",_xlfn.XLOOKUP(D1071,beans!$A$2:$A$300,beans!$K$2:$K$300,"")," - ",_xlfn.XLOOKUP(D1071,beans!$A$2:$A$300,beans!$L$2:$L$300,"")),IF(_xlpm.x=" /  - ","",_xlpm.x))</f>
        <v/>
      </c>
    </row>
    <row r="1072" spans="1:35" x14ac:dyDescent="0.3">
      <c r="A1072">
        <v>1055</v>
      </c>
      <c r="E1072" t="str">
        <f>_xlfn.LET(_xlpm.x,_xlfn.XLOOKUP(D1072,beans!$A$2:$A$300,beans!$H$2:$H$300,""),IF(_xlpm.x="","",_xlpm.x))</f>
        <v/>
      </c>
      <c r="F1072" s="22" t="str">
        <f>_xlfn.XLOOKUP(E1072,menu!$A$2:$A$37,menu!$B$2:$B$37,"")</f>
        <v/>
      </c>
      <c r="G1072" t="str">
        <f>_xlfn.XLOOKUP(E1072,menu!$A$2:$A$37,menu!$C$2:$C$37,"")</f>
        <v/>
      </c>
      <c r="H1072" t="str">
        <f>_xlfn.LET(_xlpm.x,_xlfn.XLOOKUP(_xlfn.XLOOKUP(D1072,beans!$A$2:$A$300,beans!$I$2:$I$300),menu!$E$2:$E$20,menu!$F$2:$F$20),IF(_xlpm.x="","",_xlpm.x))</f>
        <v/>
      </c>
      <c r="T1072" s="68" t="str">
        <f t="shared" si="116"/>
        <v/>
      </c>
      <c r="U1072" t="str">
        <f t="shared" si="112"/>
        <v/>
      </c>
      <c r="V1072">
        <f t="shared" si="117"/>
        <v>0</v>
      </c>
      <c r="W1072" t="str">
        <f t="shared" si="113"/>
        <v/>
      </c>
      <c r="AB1072" s="28" t="str">
        <f t="shared" si="114"/>
        <v xml:space="preserve"> </v>
      </c>
      <c r="AE1072" s="61" t="str">
        <f t="shared" si="115"/>
        <v/>
      </c>
      <c r="AF1072" s="77" t="str">
        <f>_xlfn.XLOOKUP(AD1072,menu!$K$2:$K$9,menu!$J$2:$J$9,"",1)</f>
        <v/>
      </c>
      <c r="AG1072" s="80" t="str">
        <f>_xlfn.XLOOKUP(AH1072,menu!$O$2:$O$9,menu!$H$2:$H$9,"")</f>
        <v/>
      </c>
      <c r="AI1072" t="str">
        <f>_xlfn.LET(_xlpm.x,_xlfn.CONCAT(_xlfn.XLOOKUP(D1072,beans!$A$2:$A$300,beans!$J$2:$J$300,"")," / ",_xlfn.XLOOKUP(D1072,beans!$A$2:$A$300,beans!$K$2:$K$300,"")," - ",_xlfn.XLOOKUP(D1072,beans!$A$2:$A$300,beans!$L$2:$L$300,"")),IF(_xlpm.x=" /  - ","",_xlpm.x))</f>
        <v/>
      </c>
    </row>
    <row r="1073" spans="1:35" x14ac:dyDescent="0.3">
      <c r="A1073">
        <v>1056</v>
      </c>
      <c r="E1073" t="str">
        <f>_xlfn.LET(_xlpm.x,_xlfn.XLOOKUP(D1073,beans!$A$2:$A$300,beans!$H$2:$H$300,""),IF(_xlpm.x="","",_xlpm.x))</f>
        <v/>
      </c>
      <c r="F1073" s="22" t="str">
        <f>_xlfn.XLOOKUP(E1073,menu!$A$2:$A$37,menu!$B$2:$B$37,"")</f>
        <v/>
      </c>
      <c r="G1073" t="str">
        <f>_xlfn.XLOOKUP(E1073,menu!$A$2:$A$37,menu!$C$2:$C$37,"")</f>
        <v/>
      </c>
      <c r="H1073" t="str">
        <f>_xlfn.LET(_xlpm.x,_xlfn.XLOOKUP(_xlfn.XLOOKUP(D1073,beans!$A$2:$A$300,beans!$I$2:$I$300),menu!$E$2:$E$20,menu!$F$2:$F$20),IF(_xlpm.x="","",_xlpm.x))</f>
        <v/>
      </c>
      <c r="T1073" s="68" t="str">
        <f t="shared" si="116"/>
        <v/>
      </c>
      <c r="U1073" t="str">
        <f t="shared" si="112"/>
        <v/>
      </c>
      <c r="V1073">
        <f t="shared" si="117"/>
        <v>0</v>
      </c>
      <c r="W1073" t="str">
        <f t="shared" si="113"/>
        <v/>
      </c>
      <c r="AB1073" s="28" t="str">
        <f t="shared" si="114"/>
        <v xml:space="preserve"> </v>
      </c>
      <c r="AE1073" s="61" t="str">
        <f t="shared" si="115"/>
        <v/>
      </c>
      <c r="AF1073" s="77" t="str">
        <f>_xlfn.XLOOKUP(AD1073,menu!$K$2:$K$9,menu!$J$2:$J$9,"",1)</f>
        <v/>
      </c>
      <c r="AG1073" s="80" t="str">
        <f>_xlfn.XLOOKUP(AH1073,menu!$O$2:$O$9,menu!$H$2:$H$9,"")</f>
        <v/>
      </c>
      <c r="AI1073" t="str">
        <f>_xlfn.LET(_xlpm.x,_xlfn.CONCAT(_xlfn.XLOOKUP(D1073,beans!$A$2:$A$300,beans!$J$2:$J$300,"")," / ",_xlfn.XLOOKUP(D1073,beans!$A$2:$A$300,beans!$K$2:$K$300,"")," - ",_xlfn.XLOOKUP(D1073,beans!$A$2:$A$300,beans!$L$2:$L$300,"")),IF(_xlpm.x=" /  - ","",_xlpm.x))</f>
        <v/>
      </c>
    </row>
    <row r="1074" spans="1:35" x14ac:dyDescent="0.3">
      <c r="A1074">
        <v>1057</v>
      </c>
      <c r="E1074" t="str">
        <f>_xlfn.LET(_xlpm.x,_xlfn.XLOOKUP(D1074,beans!$A$2:$A$300,beans!$H$2:$H$300,""),IF(_xlpm.x="","",_xlpm.x))</f>
        <v/>
      </c>
      <c r="F1074" s="22" t="str">
        <f>_xlfn.XLOOKUP(E1074,menu!$A$2:$A$37,menu!$B$2:$B$37,"")</f>
        <v/>
      </c>
      <c r="G1074" t="str">
        <f>_xlfn.XLOOKUP(E1074,menu!$A$2:$A$37,menu!$C$2:$C$37,"")</f>
        <v/>
      </c>
      <c r="H1074" t="str">
        <f>_xlfn.LET(_xlpm.x,_xlfn.XLOOKUP(_xlfn.XLOOKUP(D1074,beans!$A$2:$A$300,beans!$I$2:$I$300),menu!$E$2:$E$20,menu!$F$2:$F$20),IF(_xlpm.x="","",_xlpm.x))</f>
        <v/>
      </c>
      <c r="T1074" s="68" t="str">
        <f t="shared" si="116"/>
        <v/>
      </c>
      <c r="U1074" t="str">
        <f t="shared" si="112"/>
        <v/>
      </c>
      <c r="V1074">
        <f t="shared" si="117"/>
        <v>0</v>
      </c>
      <c r="W1074" t="str">
        <f t="shared" si="113"/>
        <v/>
      </c>
      <c r="AB1074" s="28" t="str">
        <f t="shared" si="114"/>
        <v xml:space="preserve"> </v>
      </c>
      <c r="AE1074" s="61" t="str">
        <f t="shared" si="115"/>
        <v/>
      </c>
      <c r="AF1074" s="77" t="str">
        <f>_xlfn.XLOOKUP(AD1074,menu!$K$2:$K$9,menu!$J$2:$J$9,"",1)</f>
        <v/>
      </c>
      <c r="AG1074" s="80" t="str">
        <f>_xlfn.XLOOKUP(AH1074,menu!$O$2:$O$9,menu!$H$2:$H$9,"")</f>
        <v/>
      </c>
      <c r="AI1074" t="str">
        <f>_xlfn.LET(_xlpm.x,_xlfn.CONCAT(_xlfn.XLOOKUP(D1074,beans!$A$2:$A$300,beans!$J$2:$J$300,"")," / ",_xlfn.XLOOKUP(D1074,beans!$A$2:$A$300,beans!$K$2:$K$300,"")," - ",_xlfn.XLOOKUP(D1074,beans!$A$2:$A$300,beans!$L$2:$L$300,"")),IF(_xlpm.x=" /  - ","",_xlpm.x))</f>
        <v/>
      </c>
    </row>
    <row r="1075" spans="1:35" x14ac:dyDescent="0.3">
      <c r="A1075">
        <v>1058</v>
      </c>
      <c r="E1075" t="str">
        <f>_xlfn.LET(_xlpm.x,_xlfn.XLOOKUP(D1075,beans!$A$2:$A$300,beans!$H$2:$H$300,""),IF(_xlpm.x="","",_xlpm.x))</f>
        <v/>
      </c>
      <c r="F1075" s="22" t="str">
        <f>_xlfn.XLOOKUP(E1075,menu!$A$2:$A$37,menu!$B$2:$B$37,"")</f>
        <v/>
      </c>
      <c r="G1075" t="str">
        <f>_xlfn.XLOOKUP(E1075,menu!$A$2:$A$37,menu!$C$2:$C$37,"")</f>
        <v/>
      </c>
      <c r="H1075" t="str">
        <f>_xlfn.LET(_xlpm.x,_xlfn.XLOOKUP(_xlfn.XLOOKUP(D1075,beans!$A$2:$A$300,beans!$I$2:$I$300),menu!$E$2:$E$20,menu!$F$2:$F$20),IF(_xlpm.x="","",_xlpm.x))</f>
        <v/>
      </c>
      <c r="T1075" s="68" t="str">
        <f t="shared" si="116"/>
        <v/>
      </c>
      <c r="U1075" t="str">
        <f t="shared" si="112"/>
        <v/>
      </c>
      <c r="V1075">
        <f t="shared" si="117"/>
        <v>0</v>
      </c>
      <c r="W1075" t="str">
        <f t="shared" si="113"/>
        <v/>
      </c>
      <c r="AB1075" s="28" t="str">
        <f t="shared" si="114"/>
        <v xml:space="preserve"> </v>
      </c>
      <c r="AE1075" s="61" t="str">
        <f t="shared" si="115"/>
        <v/>
      </c>
      <c r="AF1075" s="77" t="str">
        <f>_xlfn.XLOOKUP(AD1075,menu!$K$2:$K$9,menu!$J$2:$J$9,"",1)</f>
        <v/>
      </c>
      <c r="AG1075" s="80" t="str">
        <f>_xlfn.XLOOKUP(AH1075,menu!$O$2:$O$9,menu!$H$2:$H$9,"")</f>
        <v/>
      </c>
      <c r="AI1075" t="str">
        <f>_xlfn.LET(_xlpm.x,_xlfn.CONCAT(_xlfn.XLOOKUP(D1075,beans!$A$2:$A$300,beans!$J$2:$J$300,"")," / ",_xlfn.XLOOKUP(D1075,beans!$A$2:$A$300,beans!$K$2:$K$300,"")," - ",_xlfn.XLOOKUP(D1075,beans!$A$2:$A$300,beans!$L$2:$L$300,"")),IF(_xlpm.x=" /  - ","",_xlpm.x))</f>
        <v/>
      </c>
    </row>
    <row r="1076" spans="1:35" x14ac:dyDescent="0.3">
      <c r="A1076">
        <v>1059</v>
      </c>
      <c r="E1076" t="str">
        <f>_xlfn.LET(_xlpm.x,_xlfn.XLOOKUP(D1076,beans!$A$2:$A$300,beans!$H$2:$H$300,""),IF(_xlpm.x="","",_xlpm.x))</f>
        <v/>
      </c>
      <c r="F1076" s="22" t="str">
        <f>_xlfn.XLOOKUP(E1076,menu!$A$2:$A$37,menu!$B$2:$B$37,"")</f>
        <v/>
      </c>
      <c r="G1076" t="str">
        <f>_xlfn.XLOOKUP(E1076,menu!$A$2:$A$37,menu!$C$2:$C$37,"")</f>
        <v/>
      </c>
      <c r="H1076" t="str">
        <f>_xlfn.LET(_xlpm.x,_xlfn.XLOOKUP(_xlfn.XLOOKUP(D1076,beans!$A$2:$A$300,beans!$I$2:$I$300),menu!$E$2:$E$20,menu!$F$2:$F$20),IF(_xlpm.x="","",_xlpm.x))</f>
        <v/>
      </c>
      <c r="T1076" s="68" t="str">
        <f t="shared" si="116"/>
        <v/>
      </c>
      <c r="U1076" t="str">
        <f t="shared" si="112"/>
        <v/>
      </c>
      <c r="V1076">
        <f t="shared" si="117"/>
        <v>0</v>
      </c>
      <c r="W1076" t="str">
        <f t="shared" si="113"/>
        <v/>
      </c>
      <c r="AB1076" s="28" t="str">
        <f t="shared" si="114"/>
        <v xml:space="preserve"> </v>
      </c>
      <c r="AE1076" s="61" t="str">
        <f t="shared" si="115"/>
        <v/>
      </c>
      <c r="AF1076" s="77" t="str">
        <f>_xlfn.XLOOKUP(AD1076,menu!$K$2:$K$9,menu!$J$2:$J$9,"",1)</f>
        <v/>
      </c>
      <c r="AG1076" s="80" t="str">
        <f>_xlfn.XLOOKUP(AH1076,menu!$O$2:$O$9,menu!$H$2:$H$9,"")</f>
        <v/>
      </c>
      <c r="AI1076" t="str">
        <f>_xlfn.LET(_xlpm.x,_xlfn.CONCAT(_xlfn.XLOOKUP(D1076,beans!$A$2:$A$300,beans!$J$2:$J$300,"")," / ",_xlfn.XLOOKUP(D1076,beans!$A$2:$A$300,beans!$K$2:$K$300,"")," - ",_xlfn.XLOOKUP(D1076,beans!$A$2:$A$300,beans!$L$2:$L$300,"")),IF(_xlpm.x=" /  - ","",_xlpm.x))</f>
        <v/>
      </c>
    </row>
    <row r="1077" spans="1:35" x14ac:dyDescent="0.3">
      <c r="A1077">
        <v>1060</v>
      </c>
      <c r="E1077" t="str">
        <f>_xlfn.LET(_xlpm.x,_xlfn.XLOOKUP(D1077,beans!$A$2:$A$300,beans!$H$2:$H$300,""),IF(_xlpm.x="","",_xlpm.x))</f>
        <v/>
      </c>
      <c r="F1077" s="22" t="str">
        <f>_xlfn.XLOOKUP(E1077,menu!$A$2:$A$37,menu!$B$2:$B$37,"")</f>
        <v/>
      </c>
      <c r="G1077" t="str">
        <f>_xlfn.XLOOKUP(E1077,menu!$A$2:$A$37,menu!$C$2:$C$37,"")</f>
        <v/>
      </c>
      <c r="H1077" t="str">
        <f>_xlfn.LET(_xlpm.x,_xlfn.XLOOKUP(_xlfn.XLOOKUP(D1077,beans!$A$2:$A$300,beans!$I$2:$I$300),menu!$E$2:$E$20,menu!$F$2:$F$20),IF(_xlpm.x="","",_xlpm.x))</f>
        <v/>
      </c>
      <c r="T1077" s="68" t="str">
        <f t="shared" si="116"/>
        <v/>
      </c>
      <c r="U1077" t="str">
        <f t="shared" si="112"/>
        <v/>
      </c>
      <c r="V1077">
        <f t="shared" si="117"/>
        <v>0</v>
      </c>
      <c r="W1077" t="str">
        <f t="shared" si="113"/>
        <v/>
      </c>
      <c r="AB1077" s="28" t="str">
        <f t="shared" si="114"/>
        <v xml:space="preserve"> </v>
      </c>
      <c r="AE1077" s="61" t="str">
        <f t="shared" si="115"/>
        <v/>
      </c>
      <c r="AF1077" s="77" t="str">
        <f>_xlfn.XLOOKUP(AD1077,menu!$K$2:$K$9,menu!$J$2:$J$9,"",1)</f>
        <v/>
      </c>
      <c r="AG1077" s="80" t="str">
        <f>_xlfn.XLOOKUP(AH1077,menu!$O$2:$O$9,menu!$H$2:$H$9,"")</f>
        <v/>
      </c>
      <c r="AI1077" t="str">
        <f>_xlfn.LET(_xlpm.x,_xlfn.CONCAT(_xlfn.XLOOKUP(D1077,beans!$A$2:$A$300,beans!$J$2:$J$300,"")," / ",_xlfn.XLOOKUP(D1077,beans!$A$2:$A$300,beans!$K$2:$K$300,"")," - ",_xlfn.XLOOKUP(D1077,beans!$A$2:$A$300,beans!$L$2:$L$300,"")),IF(_xlpm.x=" /  - ","",_xlpm.x))</f>
        <v/>
      </c>
    </row>
    <row r="1078" spans="1:35" x14ac:dyDescent="0.3">
      <c r="A1078">
        <v>1061</v>
      </c>
      <c r="E1078" t="str">
        <f>_xlfn.LET(_xlpm.x,_xlfn.XLOOKUP(D1078,beans!$A$2:$A$300,beans!$H$2:$H$300,""),IF(_xlpm.x="","",_xlpm.x))</f>
        <v/>
      </c>
      <c r="F1078" s="22" t="str">
        <f>_xlfn.XLOOKUP(E1078,menu!$A$2:$A$37,menu!$B$2:$B$37,"")</f>
        <v/>
      </c>
      <c r="G1078" t="str">
        <f>_xlfn.XLOOKUP(E1078,menu!$A$2:$A$37,menu!$C$2:$C$37,"")</f>
        <v/>
      </c>
      <c r="H1078" t="str">
        <f>_xlfn.LET(_xlpm.x,_xlfn.XLOOKUP(_xlfn.XLOOKUP(D1078,beans!$A$2:$A$300,beans!$I$2:$I$300),menu!$E$2:$E$20,menu!$F$2:$F$20),IF(_xlpm.x="","",_xlpm.x))</f>
        <v/>
      </c>
      <c r="T1078" s="68" t="str">
        <f t="shared" si="116"/>
        <v/>
      </c>
      <c r="U1078" t="str">
        <f t="shared" si="112"/>
        <v/>
      </c>
      <c r="V1078">
        <f t="shared" si="117"/>
        <v>0</v>
      </c>
      <c r="W1078" t="str">
        <f t="shared" si="113"/>
        <v/>
      </c>
      <c r="AB1078" s="28" t="str">
        <f t="shared" si="114"/>
        <v xml:space="preserve"> </v>
      </c>
      <c r="AE1078" s="61" t="str">
        <f t="shared" si="115"/>
        <v/>
      </c>
      <c r="AF1078" s="77" t="str">
        <f>_xlfn.XLOOKUP(AD1078,menu!$K$2:$K$9,menu!$J$2:$J$9,"",1)</f>
        <v/>
      </c>
      <c r="AG1078" s="80" t="str">
        <f>_xlfn.XLOOKUP(AH1078,menu!$O$2:$O$9,menu!$H$2:$H$9,"")</f>
        <v/>
      </c>
      <c r="AI1078" t="str">
        <f>_xlfn.LET(_xlpm.x,_xlfn.CONCAT(_xlfn.XLOOKUP(D1078,beans!$A$2:$A$300,beans!$J$2:$J$300,"")," / ",_xlfn.XLOOKUP(D1078,beans!$A$2:$A$300,beans!$K$2:$K$300,"")," - ",_xlfn.XLOOKUP(D1078,beans!$A$2:$A$300,beans!$L$2:$L$300,"")),IF(_xlpm.x=" /  - ","",_xlpm.x))</f>
        <v/>
      </c>
    </row>
    <row r="1079" spans="1:35" x14ac:dyDescent="0.3">
      <c r="A1079">
        <v>1062</v>
      </c>
      <c r="E1079" t="str">
        <f>_xlfn.LET(_xlpm.x,_xlfn.XLOOKUP(D1079,beans!$A$2:$A$300,beans!$H$2:$H$300,""),IF(_xlpm.x="","",_xlpm.x))</f>
        <v/>
      </c>
      <c r="F1079" s="22" t="str">
        <f>_xlfn.XLOOKUP(E1079,menu!$A$2:$A$37,menu!$B$2:$B$37,"")</f>
        <v/>
      </c>
      <c r="G1079" t="str">
        <f>_xlfn.XLOOKUP(E1079,menu!$A$2:$A$37,menu!$C$2:$C$37,"")</f>
        <v/>
      </c>
      <c r="H1079" t="str">
        <f>_xlfn.LET(_xlpm.x,_xlfn.XLOOKUP(_xlfn.XLOOKUP(D1079,beans!$A$2:$A$300,beans!$I$2:$I$300),menu!$E$2:$E$20,menu!$F$2:$F$20),IF(_xlpm.x="","",_xlpm.x))</f>
        <v/>
      </c>
      <c r="T1079" s="68" t="str">
        <f t="shared" si="116"/>
        <v/>
      </c>
      <c r="U1079" t="str">
        <f t="shared" si="112"/>
        <v/>
      </c>
      <c r="V1079">
        <f t="shared" si="117"/>
        <v>0</v>
      </c>
      <c r="W1079" t="str">
        <f t="shared" si="113"/>
        <v/>
      </c>
      <c r="AB1079" s="28" t="str">
        <f t="shared" si="114"/>
        <v xml:space="preserve"> </v>
      </c>
      <c r="AE1079" s="61" t="str">
        <f t="shared" si="115"/>
        <v/>
      </c>
      <c r="AF1079" s="77" t="str">
        <f>_xlfn.XLOOKUP(AD1079,menu!$K$2:$K$9,menu!$J$2:$J$9,"",1)</f>
        <v/>
      </c>
      <c r="AG1079" s="80" t="str">
        <f>_xlfn.XLOOKUP(AH1079,menu!$O$2:$O$9,menu!$H$2:$H$9,"")</f>
        <v/>
      </c>
      <c r="AI1079" t="str">
        <f>_xlfn.LET(_xlpm.x,_xlfn.CONCAT(_xlfn.XLOOKUP(D1079,beans!$A$2:$A$300,beans!$J$2:$J$300,"")," / ",_xlfn.XLOOKUP(D1079,beans!$A$2:$A$300,beans!$K$2:$K$300,"")," - ",_xlfn.XLOOKUP(D1079,beans!$A$2:$A$300,beans!$L$2:$L$300,"")),IF(_xlpm.x=" /  - ","",_xlpm.x))</f>
        <v/>
      </c>
    </row>
    <row r="1080" spans="1:35" x14ac:dyDescent="0.3">
      <c r="A1080">
        <v>1063</v>
      </c>
      <c r="E1080" t="str">
        <f>_xlfn.LET(_xlpm.x,_xlfn.XLOOKUP(D1080,beans!$A$2:$A$300,beans!$H$2:$H$300,""),IF(_xlpm.x="","",_xlpm.x))</f>
        <v/>
      </c>
      <c r="F1080" s="22" t="str">
        <f>_xlfn.XLOOKUP(E1080,menu!$A$2:$A$37,menu!$B$2:$B$37,"")</f>
        <v/>
      </c>
      <c r="G1080" t="str">
        <f>_xlfn.XLOOKUP(E1080,menu!$A$2:$A$37,menu!$C$2:$C$37,"")</f>
        <v/>
      </c>
      <c r="H1080" t="str">
        <f>_xlfn.LET(_xlpm.x,_xlfn.XLOOKUP(_xlfn.XLOOKUP(D1080,beans!$A$2:$A$300,beans!$I$2:$I$300),menu!$E$2:$E$20,menu!$F$2:$F$20),IF(_xlpm.x="","",_xlpm.x))</f>
        <v/>
      </c>
      <c r="T1080" s="68" t="str">
        <f t="shared" si="116"/>
        <v/>
      </c>
      <c r="U1080" t="str">
        <f t="shared" si="112"/>
        <v/>
      </c>
      <c r="V1080">
        <f t="shared" si="117"/>
        <v>0</v>
      </c>
      <c r="W1080" t="str">
        <f t="shared" si="113"/>
        <v/>
      </c>
      <c r="AB1080" s="28" t="str">
        <f t="shared" si="114"/>
        <v xml:space="preserve"> </v>
      </c>
      <c r="AE1080" s="61" t="str">
        <f t="shared" si="115"/>
        <v/>
      </c>
      <c r="AF1080" s="77" t="str">
        <f>_xlfn.XLOOKUP(AD1080,menu!$K$2:$K$9,menu!$J$2:$J$9,"",1)</f>
        <v/>
      </c>
      <c r="AG1080" s="80" t="str">
        <f>_xlfn.XLOOKUP(AH1080,menu!$O$2:$O$9,menu!$H$2:$H$9,"")</f>
        <v/>
      </c>
      <c r="AI1080" t="str">
        <f>_xlfn.LET(_xlpm.x,_xlfn.CONCAT(_xlfn.XLOOKUP(D1080,beans!$A$2:$A$300,beans!$J$2:$J$300,"")," / ",_xlfn.XLOOKUP(D1080,beans!$A$2:$A$300,beans!$K$2:$K$300,"")," - ",_xlfn.XLOOKUP(D1080,beans!$A$2:$A$300,beans!$L$2:$L$300,"")),IF(_xlpm.x=" /  - ","",_xlpm.x))</f>
        <v/>
      </c>
    </row>
    <row r="1081" spans="1:35" x14ac:dyDescent="0.3">
      <c r="A1081">
        <v>1064</v>
      </c>
      <c r="E1081" t="str">
        <f>_xlfn.LET(_xlpm.x,_xlfn.XLOOKUP(D1081,beans!$A$2:$A$300,beans!$H$2:$H$300,""),IF(_xlpm.x="","",_xlpm.x))</f>
        <v/>
      </c>
      <c r="F1081" s="22" t="str">
        <f>_xlfn.XLOOKUP(E1081,menu!$A$2:$A$37,menu!$B$2:$B$37,"")</f>
        <v/>
      </c>
      <c r="G1081" t="str">
        <f>_xlfn.XLOOKUP(E1081,menu!$A$2:$A$37,menu!$C$2:$C$37,"")</f>
        <v/>
      </c>
      <c r="H1081" t="str">
        <f>_xlfn.LET(_xlpm.x,_xlfn.XLOOKUP(_xlfn.XLOOKUP(D1081,beans!$A$2:$A$300,beans!$I$2:$I$300),menu!$E$2:$E$20,menu!$F$2:$F$20),IF(_xlpm.x="","",_xlpm.x))</f>
        <v/>
      </c>
      <c r="T1081" s="68" t="str">
        <f t="shared" si="116"/>
        <v/>
      </c>
      <c r="U1081" t="str">
        <f t="shared" si="112"/>
        <v/>
      </c>
      <c r="V1081">
        <f t="shared" si="117"/>
        <v>0</v>
      </c>
      <c r="W1081" t="str">
        <f t="shared" si="113"/>
        <v/>
      </c>
      <c r="AB1081" s="28" t="str">
        <f t="shared" si="114"/>
        <v xml:space="preserve"> </v>
      </c>
      <c r="AE1081" s="61" t="str">
        <f t="shared" si="115"/>
        <v/>
      </c>
      <c r="AF1081" s="77" t="str">
        <f>_xlfn.XLOOKUP(AD1081,menu!$K$2:$K$9,menu!$J$2:$J$9,"",1)</f>
        <v/>
      </c>
      <c r="AG1081" s="80" t="str">
        <f>_xlfn.XLOOKUP(AH1081,menu!$O$2:$O$9,menu!$H$2:$H$9,"")</f>
        <v/>
      </c>
      <c r="AI1081" t="str">
        <f>_xlfn.LET(_xlpm.x,_xlfn.CONCAT(_xlfn.XLOOKUP(D1081,beans!$A$2:$A$300,beans!$J$2:$J$300,"")," / ",_xlfn.XLOOKUP(D1081,beans!$A$2:$A$300,beans!$K$2:$K$300,"")," - ",_xlfn.XLOOKUP(D1081,beans!$A$2:$A$300,beans!$L$2:$L$300,"")),IF(_xlpm.x=" /  - ","",_xlpm.x))</f>
        <v/>
      </c>
    </row>
    <row r="1082" spans="1:35" x14ac:dyDescent="0.3">
      <c r="A1082">
        <v>1065</v>
      </c>
      <c r="E1082" t="str">
        <f>_xlfn.LET(_xlpm.x,_xlfn.XLOOKUP(D1082,beans!$A$2:$A$300,beans!$H$2:$H$300,""),IF(_xlpm.x="","",_xlpm.x))</f>
        <v/>
      </c>
      <c r="F1082" s="22" t="str">
        <f>_xlfn.XLOOKUP(E1082,menu!$A$2:$A$37,menu!$B$2:$B$37,"")</f>
        <v/>
      </c>
      <c r="G1082" t="str">
        <f>_xlfn.XLOOKUP(E1082,menu!$A$2:$A$37,menu!$C$2:$C$37,"")</f>
        <v/>
      </c>
      <c r="H1082" t="str">
        <f>_xlfn.LET(_xlpm.x,_xlfn.XLOOKUP(_xlfn.XLOOKUP(D1082,beans!$A$2:$A$300,beans!$I$2:$I$300),menu!$E$2:$E$20,menu!$F$2:$F$20),IF(_xlpm.x="","",_xlpm.x))</f>
        <v/>
      </c>
      <c r="T1082" s="68" t="str">
        <f t="shared" si="116"/>
        <v/>
      </c>
      <c r="U1082" t="str">
        <f t="shared" si="112"/>
        <v/>
      </c>
      <c r="V1082">
        <f t="shared" si="117"/>
        <v>0</v>
      </c>
      <c r="W1082" t="str">
        <f t="shared" si="113"/>
        <v/>
      </c>
      <c r="AB1082" s="28" t="str">
        <f t="shared" si="114"/>
        <v xml:space="preserve"> </v>
      </c>
      <c r="AE1082" s="61" t="str">
        <f t="shared" si="115"/>
        <v/>
      </c>
      <c r="AF1082" s="77" t="str">
        <f>_xlfn.XLOOKUP(AD1082,menu!$K$2:$K$9,menu!$J$2:$J$9,"",1)</f>
        <v/>
      </c>
      <c r="AG1082" s="80" t="str">
        <f>_xlfn.XLOOKUP(AH1082,menu!$O$2:$O$9,menu!$H$2:$H$9,"")</f>
        <v/>
      </c>
      <c r="AI1082" t="str">
        <f>_xlfn.LET(_xlpm.x,_xlfn.CONCAT(_xlfn.XLOOKUP(D1082,beans!$A$2:$A$300,beans!$J$2:$J$300,"")," / ",_xlfn.XLOOKUP(D1082,beans!$A$2:$A$300,beans!$K$2:$K$300,"")," - ",_xlfn.XLOOKUP(D1082,beans!$A$2:$A$300,beans!$L$2:$L$300,"")),IF(_xlpm.x=" /  - ","",_xlpm.x))</f>
        <v/>
      </c>
    </row>
    <row r="1083" spans="1:35" x14ac:dyDescent="0.3">
      <c r="A1083">
        <v>1066</v>
      </c>
      <c r="E1083" t="str">
        <f>_xlfn.LET(_xlpm.x,_xlfn.XLOOKUP(D1083,beans!$A$2:$A$300,beans!$H$2:$H$300,""),IF(_xlpm.x="","",_xlpm.x))</f>
        <v/>
      </c>
      <c r="F1083" s="22" t="str">
        <f>_xlfn.XLOOKUP(E1083,menu!$A$2:$A$37,menu!$B$2:$B$37,"")</f>
        <v/>
      </c>
      <c r="G1083" t="str">
        <f>_xlfn.XLOOKUP(E1083,menu!$A$2:$A$37,menu!$C$2:$C$37,"")</f>
        <v/>
      </c>
      <c r="H1083" t="str">
        <f>_xlfn.LET(_xlpm.x,_xlfn.XLOOKUP(_xlfn.XLOOKUP(D1083,beans!$A$2:$A$300,beans!$I$2:$I$300),menu!$E$2:$E$20,menu!$F$2:$F$20),IF(_xlpm.x="","",_xlpm.x))</f>
        <v/>
      </c>
      <c r="T1083" s="68" t="str">
        <f t="shared" si="116"/>
        <v/>
      </c>
      <c r="U1083" t="str">
        <f t="shared" si="112"/>
        <v/>
      </c>
      <c r="V1083">
        <f t="shared" si="117"/>
        <v>0</v>
      </c>
      <c r="W1083" t="str">
        <f t="shared" si="113"/>
        <v/>
      </c>
      <c r="AB1083" s="28" t="str">
        <f t="shared" si="114"/>
        <v xml:space="preserve"> </v>
      </c>
      <c r="AE1083" s="61" t="str">
        <f t="shared" si="115"/>
        <v/>
      </c>
      <c r="AF1083" s="77" t="str">
        <f>_xlfn.XLOOKUP(AD1083,menu!$K$2:$K$9,menu!$J$2:$J$9,"",1)</f>
        <v/>
      </c>
      <c r="AG1083" s="80" t="str">
        <f>_xlfn.XLOOKUP(AH1083,menu!$O$2:$O$9,menu!$H$2:$H$9,"")</f>
        <v/>
      </c>
      <c r="AI1083" t="str">
        <f>_xlfn.LET(_xlpm.x,_xlfn.CONCAT(_xlfn.XLOOKUP(D1083,beans!$A$2:$A$300,beans!$J$2:$J$300,"")," / ",_xlfn.XLOOKUP(D1083,beans!$A$2:$A$300,beans!$K$2:$K$300,"")," - ",_xlfn.XLOOKUP(D1083,beans!$A$2:$A$300,beans!$L$2:$L$300,"")),IF(_xlpm.x=" /  - ","",_xlpm.x))</f>
        <v/>
      </c>
    </row>
    <row r="1084" spans="1:35" x14ac:dyDescent="0.3">
      <c r="A1084">
        <v>1067</v>
      </c>
      <c r="E1084" t="str">
        <f>_xlfn.LET(_xlpm.x,_xlfn.XLOOKUP(D1084,beans!$A$2:$A$300,beans!$H$2:$H$300,""),IF(_xlpm.x="","",_xlpm.x))</f>
        <v/>
      </c>
      <c r="F1084" s="22" t="str">
        <f>_xlfn.XLOOKUP(E1084,menu!$A$2:$A$37,menu!$B$2:$B$37,"")</f>
        <v/>
      </c>
      <c r="G1084" t="str">
        <f>_xlfn.XLOOKUP(E1084,menu!$A$2:$A$37,menu!$C$2:$C$37,"")</f>
        <v/>
      </c>
      <c r="H1084" t="str">
        <f>_xlfn.LET(_xlpm.x,_xlfn.XLOOKUP(_xlfn.XLOOKUP(D1084,beans!$A$2:$A$300,beans!$I$2:$I$300),menu!$E$2:$E$20,menu!$F$2:$F$20),IF(_xlpm.x="","",_xlpm.x))</f>
        <v/>
      </c>
      <c r="T1084" s="68" t="str">
        <f t="shared" si="116"/>
        <v/>
      </c>
      <c r="U1084" t="str">
        <f t="shared" si="112"/>
        <v/>
      </c>
      <c r="V1084">
        <f t="shared" si="117"/>
        <v>0</v>
      </c>
      <c r="W1084" t="str">
        <f t="shared" si="113"/>
        <v/>
      </c>
      <c r="AB1084" s="28" t="str">
        <f t="shared" si="114"/>
        <v xml:space="preserve"> </v>
      </c>
      <c r="AE1084" s="61" t="str">
        <f t="shared" si="115"/>
        <v/>
      </c>
      <c r="AF1084" s="77" t="str">
        <f>_xlfn.XLOOKUP(AD1084,menu!$K$2:$K$9,menu!$J$2:$J$9,"",1)</f>
        <v/>
      </c>
      <c r="AG1084" s="80" t="str">
        <f>_xlfn.XLOOKUP(AH1084,menu!$O$2:$O$9,menu!$H$2:$H$9,"")</f>
        <v/>
      </c>
      <c r="AI1084" t="str">
        <f>_xlfn.LET(_xlpm.x,_xlfn.CONCAT(_xlfn.XLOOKUP(D1084,beans!$A$2:$A$300,beans!$J$2:$J$300,"")," / ",_xlfn.XLOOKUP(D1084,beans!$A$2:$A$300,beans!$K$2:$K$300,"")," - ",_xlfn.XLOOKUP(D1084,beans!$A$2:$A$300,beans!$L$2:$L$300,"")),IF(_xlpm.x=" /  - ","",_xlpm.x))</f>
        <v/>
      </c>
    </row>
    <row r="1085" spans="1:35" x14ac:dyDescent="0.3">
      <c r="A1085">
        <v>1068</v>
      </c>
      <c r="E1085" t="str">
        <f>_xlfn.LET(_xlpm.x,_xlfn.XLOOKUP(D1085,beans!$A$2:$A$300,beans!$H$2:$H$300,""),IF(_xlpm.x="","",_xlpm.x))</f>
        <v/>
      </c>
      <c r="F1085" s="22" t="str">
        <f>_xlfn.XLOOKUP(E1085,menu!$A$2:$A$37,menu!$B$2:$B$37,"")</f>
        <v/>
      </c>
      <c r="G1085" t="str">
        <f>_xlfn.XLOOKUP(E1085,menu!$A$2:$A$37,menu!$C$2:$C$37,"")</f>
        <v/>
      </c>
      <c r="H1085" t="str">
        <f>_xlfn.LET(_xlpm.x,_xlfn.XLOOKUP(_xlfn.XLOOKUP(D1085,beans!$A$2:$A$300,beans!$I$2:$I$300),menu!$E$2:$E$20,menu!$F$2:$F$20),IF(_xlpm.x="","",_xlpm.x))</f>
        <v/>
      </c>
      <c r="T1085" s="68" t="str">
        <f t="shared" si="116"/>
        <v/>
      </c>
      <c r="U1085" t="str">
        <f t="shared" si="112"/>
        <v/>
      </c>
      <c r="V1085">
        <f t="shared" si="117"/>
        <v>0</v>
      </c>
      <c r="W1085" t="str">
        <f t="shared" si="113"/>
        <v/>
      </c>
      <c r="AB1085" s="28" t="str">
        <f t="shared" si="114"/>
        <v xml:space="preserve"> </v>
      </c>
      <c r="AE1085" s="61" t="str">
        <f t="shared" si="115"/>
        <v/>
      </c>
      <c r="AF1085" s="77" t="str">
        <f>_xlfn.XLOOKUP(AD1085,menu!$K$2:$K$9,menu!$J$2:$J$9,"",1)</f>
        <v/>
      </c>
      <c r="AG1085" s="80" t="str">
        <f>_xlfn.XLOOKUP(AH1085,menu!$O$2:$O$9,menu!$H$2:$H$9,"")</f>
        <v/>
      </c>
      <c r="AI1085" t="str">
        <f>_xlfn.LET(_xlpm.x,_xlfn.CONCAT(_xlfn.XLOOKUP(D1085,beans!$A$2:$A$300,beans!$J$2:$J$300,"")," / ",_xlfn.XLOOKUP(D1085,beans!$A$2:$A$300,beans!$K$2:$K$300,"")," - ",_xlfn.XLOOKUP(D1085,beans!$A$2:$A$300,beans!$L$2:$L$300,"")),IF(_xlpm.x=" /  - ","",_xlpm.x))</f>
        <v/>
      </c>
    </row>
    <row r="1086" spans="1:35" x14ac:dyDescent="0.3">
      <c r="A1086">
        <v>1069</v>
      </c>
      <c r="E1086" t="str">
        <f>_xlfn.LET(_xlpm.x,_xlfn.XLOOKUP(D1086,beans!$A$2:$A$300,beans!$H$2:$H$300,""),IF(_xlpm.x="","",_xlpm.x))</f>
        <v/>
      </c>
      <c r="F1086" s="22" t="str">
        <f>_xlfn.XLOOKUP(E1086,menu!$A$2:$A$37,menu!$B$2:$B$37,"")</f>
        <v/>
      </c>
      <c r="G1086" t="str">
        <f>_xlfn.XLOOKUP(E1086,menu!$A$2:$A$37,menu!$C$2:$C$37,"")</f>
        <v/>
      </c>
      <c r="H1086" t="str">
        <f>_xlfn.LET(_xlpm.x,_xlfn.XLOOKUP(_xlfn.XLOOKUP(D1086,beans!$A$2:$A$300,beans!$I$2:$I$300),menu!$E$2:$E$20,menu!$F$2:$F$20),IF(_xlpm.x="","",_xlpm.x))</f>
        <v/>
      </c>
      <c r="T1086" s="68" t="str">
        <f t="shared" si="116"/>
        <v/>
      </c>
      <c r="U1086" t="str">
        <f t="shared" si="112"/>
        <v/>
      </c>
      <c r="V1086">
        <f t="shared" si="117"/>
        <v>0</v>
      </c>
      <c r="W1086" t="str">
        <f t="shared" si="113"/>
        <v/>
      </c>
      <c r="AB1086" s="28" t="str">
        <f t="shared" si="114"/>
        <v xml:space="preserve"> </v>
      </c>
      <c r="AE1086" s="61" t="str">
        <f t="shared" si="115"/>
        <v/>
      </c>
      <c r="AF1086" s="77" t="str">
        <f>_xlfn.XLOOKUP(AD1086,menu!$K$2:$K$9,menu!$J$2:$J$9,"",1)</f>
        <v/>
      </c>
      <c r="AG1086" s="80" t="str">
        <f>_xlfn.XLOOKUP(AH1086,menu!$O$2:$O$9,menu!$H$2:$H$9,"")</f>
        <v/>
      </c>
      <c r="AI1086" t="str">
        <f>_xlfn.LET(_xlpm.x,_xlfn.CONCAT(_xlfn.XLOOKUP(D1086,beans!$A$2:$A$300,beans!$J$2:$J$300,"")," / ",_xlfn.XLOOKUP(D1086,beans!$A$2:$A$300,beans!$K$2:$K$300,"")," - ",_xlfn.XLOOKUP(D1086,beans!$A$2:$A$300,beans!$L$2:$L$300,"")),IF(_xlpm.x=" /  - ","",_xlpm.x))</f>
        <v/>
      </c>
    </row>
    <row r="1087" spans="1:35" x14ac:dyDescent="0.3">
      <c r="A1087">
        <v>1070</v>
      </c>
      <c r="E1087" t="str">
        <f>_xlfn.LET(_xlpm.x,_xlfn.XLOOKUP(D1087,beans!$A$2:$A$300,beans!$H$2:$H$300,""),IF(_xlpm.x="","",_xlpm.x))</f>
        <v/>
      </c>
      <c r="F1087" s="22" t="str">
        <f>_xlfn.XLOOKUP(E1087,menu!$A$2:$A$37,menu!$B$2:$B$37,"")</f>
        <v/>
      </c>
      <c r="G1087" t="str">
        <f>_xlfn.XLOOKUP(E1087,menu!$A$2:$A$37,menu!$C$2:$C$37,"")</f>
        <v/>
      </c>
      <c r="H1087" t="str">
        <f>_xlfn.LET(_xlpm.x,_xlfn.XLOOKUP(_xlfn.XLOOKUP(D1087,beans!$A$2:$A$300,beans!$I$2:$I$300),menu!$E$2:$E$20,menu!$F$2:$F$20),IF(_xlpm.x="","",_xlpm.x))</f>
        <v/>
      </c>
      <c r="T1087" s="68" t="str">
        <f t="shared" si="116"/>
        <v/>
      </c>
      <c r="U1087" t="str">
        <f t="shared" si="112"/>
        <v/>
      </c>
      <c r="V1087">
        <f t="shared" si="117"/>
        <v>0</v>
      </c>
      <c r="W1087" t="str">
        <f t="shared" si="113"/>
        <v/>
      </c>
      <c r="AB1087" s="28" t="str">
        <f t="shared" si="114"/>
        <v xml:space="preserve"> </v>
      </c>
      <c r="AE1087" s="61" t="str">
        <f t="shared" si="115"/>
        <v/>
      </c>
      <c r="AF1087" s="77" t="str">
        <f>_xlfn.XLOOKUP(AD1087,menu!$K$2:$K$9,menu!$J$2:$J$9,"",1)</f>
        <v/>
      </c>
      <c r="AG1087" s="80" t="str">
        <f>_xlfn.XLOOKUP(AH1087,menu!$O$2:$O$9,menu!$H$2:$H$9,"")</f>
        <v/>
      </c>
      <c r="AI1087" t="str">
        <f>_xlfn.LET(_xlpm.x,_xlfn.CONCAT(_xlfn.XLOOKUP(D1087,beans!$A$2:$A$300,beans!$J$2:$J$300,"")," / ",_xlfn.XLOOKUP(D1087,beans!$A$2:$A$300,beans!$K$2:$K$300,"")," - ",_xlfn.XLOOKUP(D1087,beans!$A$2:$A$300,beans!$L$2:$L$300,"")),IF(_xlpm.x=" /  - ","",_xlpm.x))</f>
        <v/>
      </c>
    </row>
    <row r="1088" spans="1:35" x14ac:dyDescent="0.3">
      <c r="A1088">
        <v>1071</v>
      </c>
      <c r="E1088" t="str">
        <f>_xlfn.LET(_xlpm.x,_xlfn.XLOOKUP(D1088,beans!$A$2:$A$300,beans!$H$2:$H$300,""),IF(_xlpm.x="","",_xlpm.x))</f>
        <v/>
      </c>
      <c r="F1088" s="22" t="str">
        <f>_xlfn.XLOOKUP(E1088,menu!$A$2:$A$37,menu!$B$2:$B$37,"")</f>
        <v/>
      </c>
      <c r="G1088" t="str">
        <f>_xlfn.XLOOKUP(E1088,menu!$A$2:$A$37,menu!$C$2:$C$37,"")</f>
        <v/>
      </c>
      <c r="H1088" t="str">
        <f>_xlfn.LET(_xlpm.x,_xlfn.XLOOKUP(_xlfn.XLOOKUP(D1088,beans!$A$2:$A$300,beans!$I$2:$I$300),menu!$E$2:$E$20,menu!$F$2:$F$20),IF(_xlpm.x="","",_xlpm.x))</f>
        <v/>
      </c>
      <c r="T1088" s="68" t="str">
        <f t="shared" si="116"/>
        <v/>
      </c>
      <c r="U1088" t="str">
        <f t="shared" si="112"/>
        <v/>
      </c>
      <c r="V1088">
        <f t="shared" si="117"/>
        <v>0</v>
      </c>
      <c r="W1088" t="str">
        <f t="shared" si="113"/>
        <v/>
      </c>
      <c r="AB1088" s="28" t="str">
        <f t="shared" si="114"/>
        <v xml:space="preserve"> </v>
      </c>
      <c r="AE1088" s="61" t="str">
        <f t="shared" si="115"/>
        <v/>
      </c>
      <c r="AF1088" s="77" t="str">
        <f>_xlfn.XLOOKUP(AD1088,menu!$K$2:$K$9,menu!$J$2:$J$9,"",1)</f>
        <v/>
      </c>
      <c r="AG1088" s="80" t="str">
        <f>_xlfn.XLOOKUP(AH1088,menu!$O$2:$O$9,menu!$H$2:$H$9,"")</f>
        <v/>
      </c>
      <c r="AI1088" t="str">
        <f>_xlfn.LET(_xlpm.x,_xlfn.CONCAT(_xlfn.XLOOKUP(D1088,beans!$A$2:$A$300,beans!$J$2:$J$300,"")," / ",_xlfn.XLOOKUP(D1088,beans!$A$2:$A$300,beans!$K$2:$K$300,"")," - ",_xlfn.XLOOKUP(D1088,beans!$A$2:$A$300,beans!$L$2:$L$300,"")),IF(_xlpm.x=" /  - ","",_xlpm.x))</f>
        <v/>
      </c>
    </row>
    <row r="1089" spans="1:35" x14ac:dyDescent="0.3">
      <c r="A1089">
        <v>1072</v>
      </c>
      <c r="E1089" t="str">
        <f>_xlfn.LET(_xlpm.x,_xlfn.XLOOKUP(D1089,beans!$A$2:$A$300,beans!$H$2:$H$300,""),IF(_xlpm.x="","",_xlpm.x))</f>
        <v/>
      </c>
      <c r="F1089" s="22" t="str">
        <f>_xlfn.XLOOKUP(E1089,menu!$A$2:$A$37,menu!$B$2:$B$37,"")</f>
        <v/>
      </c>
      <c r="G1089" t="str">
        <f>_xlfn.XLOOKUP(E1089,menu!$A$2:$A$37,menu!$C$2:$C$37,"")</f>
        <v/>
      </c>
      <c r="H1089" t="str">
        <f>_xlfn.LET(_xlpm.x,_xlfn.XLOOKUP(_xlfn.XLOOKUP(D1089,beans!$A$2:$A$300,beans!$I$2:$I$300),menu!$E$2:$E$20,menu!$F$2:$F$20),IF(_xlpm.x="","",_xlpm.x))</f>
        <v/>
      </c>
      <c r="T1089" s="68" t="str">
        <f t="shared" si="116"/>
        <v/>
      </c>
      <c r="U1089" t="str">
        <f t="shared" si="112"/>
        <v/>
      </c>
      <c r="V1089">
        <f t="shared" si="117"/>
        <v>0</v>
      </c>
      <c r="W1089" t="str">
        <f t="shared" si="113"/>
        <v/>
      </c>
      <c r="AB1089" s="28" t="str">
        <f t="shared" si="114"/>
        <v xml:space="preserve"> </v>
      </c>
      <c r="AE1089" s="61" t="str">
        <f t="shared" si="115"/>
        <v/>
      </c>
      <c r="AF1089" s="77" t="str">
        <f>_xlfn.XLOOKUP(AD1089,menu!$K$2:$K$9,menu!$J$2:$J$9,"",1)</f>
        <v/>
      </c>
      <c r="AG1089" s="80" t="str">
        <f>_xlfn.XLOOKUP(AH1089,menu!$O$2:$O$9,menu!$H$2:$H$9,"")</f>
        <v/>
      </c>
      <c r="AI1089" t="str">
        <f>_xlfn.LET(_xlpm.x,_xlfn.CONCAT(_xlfn.XLOOKUP(D1089,beans!$A$2:$A$300,beans!$J$2:$J$300,"")," / ",_xlfn.XLOOKUP(D1089,beans!$A$2:$A$300,beans!$K$2:$K$300,"")," - ",_xlfn.XLOOKUP(D1089,beans!$A$2:$A$300,beans!$L$2:$L$300,"")),IF(_xlpm.x=" /  - ","",_xlpm.x))</f>
        <v/>
      </c>
    </row>
    <row r="1090" spans="1:35" x14ac:dyDescent="0.3">
      <c r="A1090">
        <v>1073</v>
      </c>
      <c r="E1090" t="str">
        <f>_xlfn.LET(_xlpm.x,_xlfn.XLOOKUP(D1090,beans!$A$2:$A$300,beans!$H$2:$H$300,""),IF(_xlpm.x="","",_xlpm.x))</f>
        <v/>
      </c>
      <c r="F1090" s="22" t="str">
        <f>_xlfn.XLOOKUP(E1090,menu!$A$2:$A$37,menu!$B$2:$B$37,"")</f>
        <v/>
      </c>
      <c r="G1090" t="str">
        <f>_xlfn.XLOOKUP(E1090,menu!$A$2:$A$37,menu!$C$2:$C$37,"")</f>
        <v/>
      </c>
      <c r="H1090" t="str">
        <f>_xlfn.LET(_xlpm.x,_xlfn.XLOOKUP(_xlfn.XLOOKUP(D1090,beans!$A$2:$A$300,beans!$I$2:$I$300),menu!$E$2:$E$20,menu!$F$2:$F$20),IF(_xlpm.x="","",_xlpm.x))</f>
        <v/>
      </c>
      <c r="T1090" s="68" t="str">
        <f t="shared" si="116"/>
        <v/>
      </c>
      <c r="U1090" t="str">
        <f t="shared" ref="U1090:U1153" si="118">_xlfn.LET(_xlpm.x,(TIMEVALUE("0:"&amp;SUBSTITUTE(R1090,"'",":"))-TIMEVALUE("0:"&amp;SUBSTITUTE(P1090,"'",":")))*86400,IF(_xlpm.x=0,"",ROUND(_xlpm.x,2)))</f>
        <v/>
      </c>
      <c r="V1090">
        <f t="shared" si="117"/>
        <v>0</v>
      </c>
      <c r="W1090" t="str">
        <f t="shared" ref="W1090:W1153" si="119">_xlfn.LET(_xlpm.x,(TIMEVALUE("0:"&amp;SUBSTITUTE(R1090,"'",":"))-TIMEVALUE("0:"&amp;SUBSTITUTE(P1090,"'",":")))*86400,IF(_xlpm.x=0,"",ROUND(_xlpm.x/((TIMEVALUE("0:"&amp;SUBSTITUTE(R1090,"'",":"))-TIMEVALUE("0:0:0"))*864),2)))</f>
        <v/>
      </c>
      <c r="AB1090" s="28" t="str">
        <f t="shared" ref="AB1090:AB1153" si="120">IF(Y1090 &gt; 0,(B1090-Y1090)/B1090," ")</f>
        <v xml:space="preserve"> </v>
      </c>
      <c r="AE1090" s="61" t="str">
        <f t="shared" ref="AE1090:AE1153" si="121">_xlfn.LET(_xlpm.x,AD1090-AC1090,IF(_xlpm.x=0,"",_xlpm.x))</f>
        <v/>
      </c>
      <c r="AF1090" s="77" t="str">
        <f>_xlfn.XLOOKUP(AD1090,menu!$K$2:$K$9,menu!$J$2:$J$9,"",1)</f>
        <v/>
      </c>
      <c r="AG1090" s="80" t="str">
        <f>_xlfn.XLOOKUP(AH1090,menu!$O$2:$O$9,menu!$H$2:$H$9,"")</f>
        <v/>
      </c>
      <c r="AI1090" t="str">
        <f>_xlfn.LET(_xlpm.x,_xlfn.CONCAT(_xlfn.XLOOKUP(D1090,beans!$A$2:$A$300,beans!$J$2:$J$300,"")," / ",_xlfn.XLOOKUP(D1090,beans!$A$2:$A$300,beans!$K$2:$K$300,"")," - ",_xlfn.XLOOKUP(D1090,beans!$A$2:$A$300,beans!$L$2:$L$300,"")),IF(_xlpm.x=" /  - ","",_xlpm.x))</f>
        <v/>
      </c>
    </row>
    <row r="1091" spans="1:35" x14ac:dyDescent="0.3">
      <c r="A1091">
        <v>1074</v>
      </c>
      <c r="E1091" t="str">
        <f>_xlfn.LET(_xlpm.x,_xlfn.XLOOKUP(D1091,beans!$A$2:$A$300,beans!$H$2:$H$300,""),IF(_xlpm.x="","",_xlpm.x))</f>
        <v/>
      </c>
      <c r="F1091" s="22" t="str">
        <f>_xlfn.XLOOKUP(E1091,menu!$A$2:$A$37,menu!$B$2:$B$37,"")</f>
        <v/>
      </c>
      <c r="G1091" t="str">
        <f>_xlfn.XLOOKUP(E1091,menu!$A$2:$A$37,menu!$C$2:$C$37,"")</f>
        <v/>
      </c>
      <c r="H1091" t="str">
        <f>_xlfn.LET(_xlpm.x,_xlfn.XLOOKUP(_xlfn.XLOOKUP(D1091,beans!$A$2:$A$300,beans!$I$2:$I$300),menu!$E$2:$E$20,menu!$F$2:$F$20),IF(_xlpm.x="","",_xlpm.x))</f>
        <v/>
      </c>
      <c r="T1091" s="68" t="str">
        <f t="shared" ref="T1091:T1154" si="122">_xlfn.LET(_xlpm.x,S1091-Q1091,IF(_xlpm.x=0,"",_xlpm.x))</f>
        <v/>
      </c>
      <c r="U1091" t="str">
        <f t="shared" si="118"/>
        <v/>
      </c>
      <c r="V1091">
        <f t="shared" ref="V1091:V1154" si="123">IFERROR(ROUND(T1091*60/U1091,1), )</f>
        <v>0</v>
      </c>
      <c r="W1091" t="str">
        <f t="shared" si="119"/>
        <v/>
      </c>
      <c r="AB1091" s="28" t="str">
        <f t="shared" si="120"/>
        <v xml:space="preserve"> </v>
      </c>
      <c r="AE1091" s="61" t="str">
        <f t="shared" si="121"/>
        <v/>
      </c>
      <c r="AF1091" s="77" t="str">
        <f>_xlfn.XLOOKUP(AD1091,menu!$K$2:$K$9,menu!$J$2:$J$9,"",1)</f>
        <v/>
      </c>
      <c r="AG1091" s="80" t="str">
        <f>_xlfn.XLOOKUP(AH1091,menu!$O$2:$O$9,menu!$H$2:$H$9,"")</f>
        <v/>
      </c>
      <c r="AI1091" t="str">
        <f>_xlfn.LET(_xlpm.x,_xlfn.CONCAT(_xlfn.XLOOKUP(D1091,beans!$A$2:$A$300,beans!$J$2:$J$300,"")," / ",_xlfn.XLOOKUP(D1091,beans!$A$2:$A$300,beans!$K$2:$K$300,"")," - ",_xlfn.XLOOKUP(D1091,beans!$A$2:$A$300,beans!$L$2:$L$300,"")),IF(_xlpm.x=" /  - ","",_xlpm.x))</f>
        <v/>
      </c>
    </row>
    <row r="1092" spans="1:35" x14ac:dyDescent="0.3">
      <c r="A1092">
        <v>1075</v>
      </c>
      <c r="E1092" t="str">
        <f>_xlfn.LET(_xlpm.x,_xlfn.XLOOKUP(D1092,beans!$A$2:$A$300,beans!$H$2:$H$300,""),IF(_xlpm.x="","",_xlpm.x))</f>
        <v/>
      </c>
      <c r="F1092" s="22" t="str">
        <f>_xlfn.XLOOKUP(E1092,menu!$A$2:$A$37,menu!$B$2:$B$37,"")</f>
        <v/>
      </c>
      <c r="G1092" t="str">
        <f>_xlfn.XLOOKUP(E1092,menu!$A$2:$A$37,menu!$C$2:$C$37,"")</f>
        <v/>
      </c>
      <c r="H1092" t="str">
        <f>_xlfn.LET(_xlpm.x,_xlfn.XLOOKUP(_xlfn.XLOOKUP(D1092,beans!$A$2:$A$300,beans!$I$2:$I$300),menu!$E$2:$E$20,menu!$F$2:$F$20),IF(_xlpm.x="","",_xlpm.x))</f>
        <v/>
      </c>
      <c r="T1092" s="68" t="str">
        <f t="shared" si="122"/>
        <v/>
      </c>
      <c r="U1092" t="str">
        <f t="shared" si="118"/>
        <v/>
      </c>
      <c r="V1092">
        <f t="shared" si="123"/>
        <v>0</v>
      </c>
      <c r="W1092" t="str">
        <f t="shared" si="119"/>
        <v/>
      </c>
      <c r="AB1092" s="28" t="str">
        <f t="shared" si="120"/>
        <v xml:space="preserve"> </v>
      </c>
      <c r="AE1092" s="61" t="str">
        <f t="shared" si="121"/>
        <v/>
      </c>
      <c r="AF1092" s="77" t="str">
        <f>_xlfn.XLOOKUP(AD1092,menu!$K$2:$K$9,menu!$J$2:$J$9,"",1)</f>
        <v/>
      </c>
      <c r="AG1092" s="80" t="str">
        <f>_xlfn.XLOOKUP(AH1092,menu!$O$2:$O$9,menu!$H$2:$H$9,"")</f>
        <v/>
      </c>
      <c r="AI1092" t="str">
        <f>_xlfn.LET(_xlpm.x,_xlfn.CONCAT(_xlfn.XLOOKUP(D1092,beans!$A$2:$A$300,beans!$J$2:$J$300,"")," / ",_xlfn.XLOOKUP(D1092,beans!$A$2:$A$300,beans!$K$2:$K$300,"")," - ",_xlfn.XLOOKUP(D1092,beans!$A$2:$A$300,beans!$L$2:$L$300,"")),IF(_xlpm.x=" /  - ","",_xlpm.x))</f>
        <v/>
      </c>
    </row>
    <row r="1093" spans="1:35" x14ac:dyDescent="0.3">
      <c r="A1093">
        <v>1076</v>
      </c>
      <c r="E1093" t="str">
        <f>_xlfn.LET(_xlpm.x,_xlfn.XLOOKUP(D1093,beans!$A$2:$A$300,beans!$H$2:$H$300,""),IF(_xlpm.x="","",_xlpm.x))</f>
        <v/>
      </c>
      <c r="F1093" s="22" t="str">
        <f>_xlfn.XLOOKUP(E1093,menu!$A$2:$A$37,menu!$B$2:$B$37,"")</f>
        <v/>
      </c>
      <c r="G1093" t="str">
        <f>_xlfn.XLOOKUP(E1093,menu!$A$2:$A$37,menu!$C$2:$C$37,"")</f>
        <v/>
      </c>
      <c r="H1093" t="str">
        <f>_xlfn.LET(_xlpm.x,_xlfn.XLOOKUP(_xlfn.XLOOKUP(D1093,beans!$A$2:$A$300,beans!$I$2:$I$300),menu!$E$2:$E$20,menu!$F$2:$F$20),IF(_xlpm.x="","",_xlpm.x))</f>
        <v/>
      </c>
      <c r="T1093" s="68" t="str">
        <f t="shared" si="122"/>
        <v/>
      </c>
      <c r="U1093" t="str">
        <f t="shared" si="118"/>
        <v/>
      </c>
      <c r="V1093">
        <f t="shared" si="123"/>
        <v>0</v>
      </c>
      <c r="W1093" t="str">
        <f t="shared" si="119"/>
        <v/>
      </c>
      <c r="AB1093" s="28" t="str">
        <f t="shared" si="120"/>
        <v xml:space="preserve"> </v>
      </c>
      <c r="AE1093" s="61" t="str">
        <f t="shared" si="121"/>
        <v/>
      </c>
      <c r="AF1093" s="77" t="str">
        <f>_xlfn.XLOOKUP(AD1093,menu!$K$2:$K$9,menu!$J$2:$J$9,"",1)</f>
        <v/>
      </c>
      <c r="AG1093" s="80" t="str">
        <f>_xlfn.XLOOKUP(AH1093,menu!$O$2:$O$9,menu!$H$2:$H$9,"")</f>
        <v/>
      </c>
      <c r="AI1093" t="str">
        <f>_xlfn.LET(_xlpm.x,_xlfn.CONCAT(_xlfn.XLOOKUP(D1093,beans!$A$2:$A$300,beans!$J$2:$J$300,"")," / ",_xlfn.XLOOKUP(D1093,beans!$A$2:$A$300,beans!$K$2:$K$300,"")," - ",_xlfn.XLOOKUP(D1093,beans!$A$2:$A$300,beans!$L$2:$L$300,"")),IF(_xlpm.x=" /  - ","",_xlpm.x))</f>
        <v/>
      </c>
    </row>
    <row r="1094" spans="1:35" x14ac:dyDescent="0.3">
      <c r="A1094">
        <v>1077</v>
      </c>
      <c r="E1094" t="str">
        <f>_xlfn.LET(_xlpm.x,_xlfn.XLOOKUP(D1094,beans!$A$2:$A$300,beans!$H$2:$H$300,""),IF(_xlpm.x="","",_xlpm.x))</f>
        <v/>
      </c>
      <c r="F1094" s="22" t="str">
        <f>_xlfn.XLOOKUP(E1094,menu!$A$2:$A$37,menu!$B$2:$B$37,"")</f>
        <v/>
      </c>
      <c r="G1094" t="str">
        <f>_xlfn.XLOOKUP(E1094,menu!$A$2:$A$37,menu!$C$2:$C$37,"")</f>
        <v/>
      </c>
      <c r="H1094" t="str">
        <f>_xlfn.LET(_xlpm.x,_xlfn.XLOOKUP(_xlfn.XLOOKUP(D1094,beans!$A$2:$A$300,beans!$I$2:$I$300),menu!$E$2:$E$20,menu!$F$2:$F$20),IF(_xlpm.x="","",_xlpm.x))</f>
        <v/>
      </c>
      <c r="T1094" s="68" t="str">
        <f t="shared" si="122"/>
        <v/>
      </c>
      <c r="U1094" t="str">
        <f t="shared" si="118"/>
        <v/>
      </c>
      <c r="V1094">
        <f t="shared" si="123"/>
        <v>0</v>
      </c>
      <c r="W1094" t="str">
        <f t="shared" si="119"/>
        <v/>
      </c>
      <c r="AB1094" s="28" t="str">
        <f t="shared" si="120"/>
        <v xml:space="preserve"> </v>
      </c>
      <c r="AE1094" s="61" t="str">
        <f t="shared" si="121"/>
        <v/>
      </c>
      <c r="AF1094" s="77" t="str">
        <f>_xlfn.XLOOKUP(AD1094,menu!$K$2:$K$9,menu!$J$2:$J$9,"",1)</f>
        <v/>
      </c>
      <c r="AG1094" s="80" t="str">
        <f>_xlfn.XLOOKUP(AH1094,menu!$O$2:$O$9,menu!$H$2:$H$9,"")</f>
        <v/>
      </c>
      <c r="AI1094" t="str">
        <f>_xlfn.LET(_xlpm.x,_xlfn.CONCAT(_xlfn.XLOOKUP(D1094,beans!$A$2:$A$300,beans!$J$2:$J$300,"")," / ",_xlfn.XLOOKUP(D1094,beans!$A$2:$A$300,beans!$K$2:$K$300,"")," - ",_xlfn.XLOOKUP(D1094,beans!$A$2:$A$300,beans!$L$2:$L$300,"")),IF(_xlpm.x=" /  - ","",_xlpm.x))</f>
        <v/>
      </c>
    </row>
    <row r="1095" spans="1:35" x14ac:dyDescent="0.3">
      <c r="A1095">
        <v>1078</v>
      </c>
      <c r="E1095" t="str">
        <f>_xlfn.LET(_xlpm.x,_xlfn.XLOOKUP(D1095,beans!$A$2:$A$300,beans!$H$2:$H$300,""),IF(_xlpm.x="","",_xlpm.x))</f>
        <v/>
      </c>
      <c r="F1095" s="22" t="str">
        <f>_xlfn.XLOOKUP(E1095,menu!$A$2:$A$37,menu!$B$2:$B$37,"")</f>
        <v/>
      </c>
      <c r="G1095" t="str">
        <f>_xlfn.XLOOKUP(E1095,menu!$A$2:$A$37,menu!$C$2:$C$37,"")</f>
        <v/>
      </c>
      <c r="H1095" t="str">
        <f>_xlfn.LET(_xlpm.x,_xlfn.XLOOKUP(_xlfn.XLOOKUP(D1095,beans!$A$2:$A$300,beans!$I$2:$I$300),menu!$E$2:$E$20,menu!$F$2:$F$20),IF(_xlpm.x="","",_xlpm.x))</f>
        <v/>
      </c>
      <c r="T1095" s="68" t="str">
        <f t="shared" si="122"/>
        <v/>
      </c>
      <c r="U1095" t="str">
        <f t="shared" si="118"/>
        <v/>
      </c>
      <c r="V1095">
        <f t="shared" si="123"/>
        <v>0</v>
      </c>
      <c r="W1095" t="str">
        <f t="shared" si="119"/>
        <v/>
      </c>
      <c r="AB1095" s="28" t="str">
        <f t="shared" si="120"/>
        <v xml:space="preserve"> </v>
      </c>
      <c r="AE1095" s="61" t="str">
        <f t="shared" si="121"/>
        <v/>
      </c>
      <c r="AF1095" s="77" t="str">
        <f>_xlfn.XLOOKUP(AD1095,menu!$K$2:$K$9,menu!$J$2:$J$9,"",1)</f>
        <v/>
      </c>
      <c r="AG1095" s="80" t="str">
        <f>_xlfn.XLOOKUP(AH1095,menu!$O$2:$O$9,menu!$H$2:$H$9,"")</f>
        <v/>
      </c>
      <c r="AI1095" t="str">
        <f>_xlfn.LET(_xlpm.x,_xlfn.CONCAT(_xlfn.XLOOKUP(D1095,beans!$A$2:$A$300,beans!$J$2:$J$300,"")," / ",_xlfn.XLOOKUP(D1095,beans!$A$2:$A$300,beans!$K$2:$K$300,"")," - ",_xlfn.XLOOKUP(D1095,beans!$A$2:$A$300,beans!$L$2:$L$300,"")),IF(_xlpm.x=" /  - ","",_xlpm.x))</f>
        <v/>
      </c>
    </row>
    <row r="1096" spans="1:35" x14ac:dyDescent="0.3">
      <c r="A1096">
        <v>1079</v>
      </c>
      <c r="E1096" t="str">
        <f>_xlfn.LET(_xlpm.x,_xlfn.XLOOKUP(D1096,beans!$A$2:$A$300,beans!$H$2:$H$300,""),IF(_xlpm.x="","",_xlpm.x))</f>
        <v/>
      </c>
      <c r="F1096" s="22" t="str">
        <f>_xlfn.XLOOKUP(E1096,menu!$A$2:$A$37,menu!$B$2:$B$37,"")</f>
        <v/>
      </c>
      <c r="G1096" t="str">
        <f>_xlfn.XLOOKUP(E1096,menu!$A$2:$A$37,menu!$C$2:$C$37,"")</f>
        <v/>
      </c>
      <c r="H1096" t="str">
        <f>_xlfn.LET(_xlpm.x,_xlfn.XLOOKUP(_xlfn.XLOOKUP(D1096,beans!$A$2:$A$300,beans!$I$2:$I$300),menu!$E$2:$E$20,menu!$F$2:$F$20),IF(_xlpm.x="","",_xlpm.x))</f>
        <v/>
      </c>
      <c r="T1096" s="68" t="str">
        <f t="shared" si="122"/>
        <v/>
      </c>
      <c r="U1096" t="str">
        <f t="shared" si="118"/>
        <v/>
      </c>
      <c r="V1096">
        <f t="shared" si="123"/>
        <v>0</v>
      </c>
      <c r="W1096" t="str">
        <f t="shared" si="119"/>
        <v/>
      </c>
      <c r="AB1096" s="28" t="str">
        <f t="shared" si="120"/>
        <v xml:space="preserve"> </v>
      </c>
      <c r="AE1096" s="61" t="str">
        <f t="shared" si="121"/>
        <v/>
      </c>
      <c r="AF1096" s="77" t="str">
        <f>_xlfn.XLOOKUP(AD1096,menu!$K$2:$K$9,menu!$J$2:$J$9,"",1)</f>
        <v/>
      </c>
      <c r="AG1096" s="80" t="str">
        <f>_xlfn.XLOOKUP(AH1096,menu!$O$2:$O$9,menu!$H$2:$H$9,"")</f>
        <v/>
      </c>
      <c r="AI1096" t="str">
        <f>_xlfn.LET(_xlpm.x,_xlfn.CONCAT(_xlfn.XLOOKUP(D1096,beans!$A$2:$A$300,beans!$J$2:$J$300,"")," / ",_xlfn.XLOOKUP(D1096,beans!$A$2:$A$300,beans!$K$2:$K$300,"")," - ",_xlfn.XLOOKUP(D1096,beans!$A$2:$A$300,beans!$L$2:$L$300,"")),IF(_xlpm.x=" /  - ","",_xlpm.x))</f>
        <v/>
      </c>
    </row>
    <row r="1097" spans="1:35" x14ac:dyDescent="0.3">
      <c r="A1097">
        <v>1080</v>
      </c>
      <c r="E1097" t="str">
        <f>_xlfn.LET(_xlpm.x,_xlfn.XLOOKUP(D1097,beans!$A$2:$A$300,beans!$H$2:$H$300,""),IF(_xlpm.x="","",_xlpm.x))</f>
        <v/>
      </c>
      <c r="F1097" s="22" t="str">
        <f>_xlfn.XLOOKUP(E1097,menu!$A$2:$A$37,menu!$B$2:$B$37,"")</f>
        <v/>
      </c>
      <c r="G1097" t="str">
        <f>_xlfn.XLOOKUP(E1097,menu!$A$2:$A$37,menu!$C$2:$C$37,"")</f>
        <v/>
      </c>
      <c r="H1097" t="str">
        <f>_xlfn.LET(_xlpm.x,_xlfn.XLOOKUP(_xlfn.XLOOKUP(D1097,beans!$A$2:$A$300,beans!$I$2:$I$300),menu!$E$2:$E$20,menu!$F$2:$F$20),IF(_xlpm.x="","",_xlpm.x))</f>
        <v/>
      </c>
      <c r="T1097" s="68" t="str">
        <f t="shared" si="122"/>
        <v/>
      </c>
      <c r="U1097" t="str">
        <f t="shared" si="118"/>
        <v/>
      </c>
      <c r="V1097">
        <f t="shared" si="123"/>
        <v>0</v>
      </c>
      <c r="W1097" t="str">
        <f t="shared" si="119"/>
        <v/>
      </c>
      <c r="AB1097" s="28" t="str">
        <f t="shared" si="120"/>
        <v xml:space="preserve"> </v>
      </c>
      <c r="AE1097" s="61" t="str">
        <f t="shared" si="121"/>
        <v/>
      </c>
      <c r="AF1097" s="77" t="str">
        <f>_xlfn.XLOOKUP(AD1097,menu!$K$2:$K$9,menu!$J$2:$J$9,"",1)</f>
        <v/>
      </c>
      <c r="AG1097" s="80" t="str">
        <f>_xlfn.XLOOKUP(AH1097,menu!$O$2:$O$9,menu!$H$2:$H$9,"")</f>
        <v/>
      </c>
      <c r="AI1097" t="str">
        <f>_xlfn.LET(_xlpm.x,_xlfn.CONCAT(_xlfn.XLOOKUP(D1097,beans!$A$2:$A$300,beans!$J$2:$J$300,"")," / ",_xlfn.XLOOKUP(D1097,beans!$A$2:$A$300,beans!$K$2:$K$300,"")," - ",_xlfn.XLOOKUP(D1097,beans!$A$2:$A$300,beans!$L$2:$L$300,"")),IF(_xlpm.x=" /  - ","",_xlpm.x))</f>
        <v/>
      </c>
    </row>
    <row r="1098" spans="1:35" x14ac:dyDescent="0.3">
      <c r="A1098">
        <v>1081</v>
      </c>
      <c r="E1098" t="str">
        <f>_xlfn.LET(_xlpm.x,_xlfn.XLOOKUP(D1098,beans!$A$2:$A$300,beans!$H$2:$H$300,""),IF(_xlpm.x="","",_xlpm.x))</f>
        <v/>
      </c>
      <c r="F1098" s="22" t="str">
        <f>_xlfn.XLOOKUP(E1098,menu!$A$2:$A$37,menu!$B$2:$B$37,"")</f>
        <v/>
      </c>
      <c r="G1098" t="str">
        <f>_xlfn.XLOOKUP(E1098,menu!$A$2:$A$37,menu!$C$2:$C$37,"")</f>
        <v/>
      </c>
      <c r="H1098" t="str">
        <f>_xlfn.LET(_xlpm.x,_xlfn.XLOOKUP(_xlfn.XLOOKUP(D1098,beans!$A$2:$A$300,beans!$I$2:$I$300),menu!$E$2:$E$20,menu!$F$2:$F$20),IF(_xlpm.x="","",_xlpm.x))</f>
        <v/>
      </c>
      <c r="T1098" s="68" t="str">
        <f t="shared" si="122"/>
        <v/>
      </c>
      <c r="U1098" t="str">
        <f t="shared" si="118"/>
        <v/>
      </c>
      <c r="V1098">
        <f t="shared" si="123"/>
        <v>0</v>
      </c>
      <c r="W1098" t="str">
        <f t="shared" si="119"/>
        <v/>
      </c>
      <c r="AB1098" s="28" t="str">
        <f t="shared" si="120"/>
        <v xml:space="preserve"> </v>
      </c>
      <c r="AE1098" s="61" t="str">
        <f t="shared" si="121"/>
        <v/>
      </c>
      <c r="AF1098" s="77" t="str">
        <f>_xlfn.XLOOKUP(AD1098,menu!$K$2:$K$9,menu!$J$2:$J$9,"",1)</f>
        <v/>
      </c>
      <c r="AG1098" s="80" t="str">
        <f>_xlfn.XLOOKUP(AH1098,menu!$O$2:$O$9,menu!$H$2:$H$9,"")</f>
        <v/>
      </c>
      <c r="AI1098" t="str">
        <f>_xlfn.LET(_xlpm.x,_xlfn.CONCAT(_xlfn.XLOOKUP(D1098,beans!$A$2:$A$300,beans!$J$2:$J$300,"")," / ",_xlfn.XLOOKUP(D1098,beans!$A$2:$A$300,beans!$K$2:$K$300,"")," - ",_xlfn.XLOOKUP(D1098,beans!$A$2:$A$300,beans!$L$2:$L$300,"")),IF(_xlpm.x=" /  - ","",_xlpm.x))</f>
        <v/>
      </c>
    </row>
    <row r="1099" spans="1:35" x14ac:dyDescent="0.3">
      <c r="A1099">
        <v>1082</v>
      </c>
      <c r="E1099" t="str">
        <f>_xlfn.LET(_xlpm.x,_xlfn.XLOOKUP(D1099,beans!$A$2:$A$300,beans!$H$2:$H$300,""),IF(_xlpm.x="","",_xlpm.x))</f>
        <v/>
      </c>
      <c r="F1099" s="22" t="str">
        <f>_xlfn.XLOOKUP(E1099,menu!$A$2:$A$37,menu!$B$2:$B$37,"")</f>
        <v/>
      </c>
      <c r="G1099" t="str">
        <f>_xlfn.XLOOKUP(E1099,menu!$A$2:$A$37,menu!$C$2:$C$37,"")</f>
        <v/>
      </c>
      <c r="H1099" t="str">
        <f>_xlfn.LET(_xlpm.x,_xlfn.XLOOKUP(_xlfn.XLOOKUP(D1099,beans!$A$2:$A$300,beans!$I$2:$I$300),menu!$E$2:$E$20,menu!$F$2:$F$20),IF(_xlpm.x="","",_xlpm.x))</f>
        <v/>
      </c>
      <c r="T1099" s="68" t="str">
        <f t="shared" si="122"/>
        <v/>
      </c>
      <c r="U1099" t="str">
        <f t="shared" si="118"/>
        <v/>
      </c>
      <c r="V1099">
        <f t="shared" si="123"/>
        <v>0</v>
      </c>
      <c r="W1099" t="str">
        <f t="shared" si="119"/>
        <v/>
      </c>
      <c r="AB1099" s="28" t="str">
        <f t="shared" si="120"/>
        <v xml:space="preserve"> </v>
      </c>
      <c r="AE1099" s="61" t="str">
        <f t="shared" si="121"/>
        <v/>
      </c>
      <c r="AF1099" s="77" t="str">
        <f>_xlfn.XLOOKUP(AD1099,menu!$K$2:$K$9,menu!$J$2:$J$9,"",1)</f>
        <v/>
      </c>
      <c r="AG1099" s="80" t="str">
        <f>_xlfn.XLOOKUP(AH1099,menu!$O$2:$O$9,menu!$H$2:$H$9,"")</f>
        <v/>
      </c>
      <c r="AI1099" t="str">
        <f>_xlfn.LET(_xlpm.x,_xlfn.CONCAT(_xlfn.XLOOKUP(D1099,beans!$A$2:$A$300,beans!$J$2:$J$300,"")," / ",_xlfn.XLOOKUP(D1099,beans!$A$2:$A$300,beans!$K$2:$K$300,"")," - ",_xlfn.XLOOKUP(D1099,beans!$A$2:$A$300,beans!$L$2:$L$300,"")),IF(_xlpm.x=" /  - ","",_xlpm.x))</f>
        <v/>
      </c>
    </row>
    <row r="1100" spans="1:35" x14ac:dyDescent="0.3">
      <c r="A1100">
        <v>1083</v>
      </c>
      <c r="E1100" t="str">
        <f>_xlfn.LET(_xlpm.x,_xlfn.XLOOKUP(D1100,beans!$A$2:$A$300,beans!$H$2:$H$300,""),IF(_xlpm.x="","",_xlpm.x))</f>
        <v/>
      </c>
      <c r="F1100" s="22" t="str">
        <f>_xlfn.XLOOKUP(E1100,menu!$A$2:$A$37,menu!$B$2:$B$37,"")</f>
        <v/>
      </c>
      <c r="G1100" t="str">
        <f>_xlfn.XLOOKUP(E1100,menu!$A$2:$A$37,menu!$C$2:$C$37,"")</f>
        <v/>
      </c>
      <c r="H1100" t="str">
        <f>_xlfn.LET(_xlpm.x,_xlfn.XLOOKUP(_xlfn.XLOOKUP(D1100,beans!$A$2:$A$300,beans!$I$2:$I$300),menu!$E$2:$E$20,menu!$F$2:$F$20),IF(_xlpm.x="","",_xlpm.x))</f>
        <v/>
      </c>
      <c r="T1100" s="68" t="str">
        <f t="shared" si="122"/>
        <v/>
      </c>
      <c r="U1100" t="str">
        <f t="shared" si="118"/>
        <v/>
      </c>
      <c r="V1100">
        <f t="shared" si="123"/>
        <v>0</v>
      </c>
      <c r="W1100" t="str">
        <f t="shared" si="119"/>
        <v/>
      </c>
      <c r="AB1100" s="28" t="str">
        <f t="shared" si="120"/>
        <v xml:space="preserve"> </v>
      </c>
      <c r="AE1100" s="61" t="str">
        <f t="shared" si="121"/>
        <v/>
      </c>
      <c r="AF1100" s="77" t="str">
        <f>_xlfn.XLOOKUP(AD1100,menu!$K$2:$K$9,menu!$J$2:$J$9,"",1)</f>
        <v/>
      </c>
      <c r="AG1100" s="80" t="str">
        <f>_xlfn.XLOOKUP(AH1100,menu!$O$2:$O$9,menu!$H$2:$H$9,"")</f>
        <v/>
      </c>
      <c r="AI1100" t="str">
        <f>_xlfn.LET(_xlpm.x,_xlfn.CONCAT(_xlfn.XLOOKUP(D1100,beans!$A$2:$A$300,beans!$J$2:$J$300,"")," / ",_xlfn.XLOOKUP(D1100,beans!$A$2:$A$300,beans!$K$2:$K$300,"")," - ",_xlfn.XLOOKUP(D1100,beans!$A$2:$A$300,beans!$L$2:$L$300,"")),IF(_xlpm.x=" /  - ","",_xlpm.x))</f>
        <v/>
      </c>
    </row>
    <row r="1101" spans="1:35" x14ac:dyDescent="0.3">
      <c r="A1101">
        <v>1084</v>
      </c>
      <c r="E1101" t="str">
        <f>_xlfn.LET(_xlpm.x,_xlfn.XLOOKUP(D1101,beans!$A$2:$A$300,beans!$H$2:$H$300,""),IF(_xlpm.x="","",_xlpm.x))</f>
        <v/>
      </c>
      <c r="F1101" s="22" t="str">
        <f>_xlfn.XLOOKUP(E1101,menu!$A$2:$A$37,menu!$B$2:$B$37,"")</f>
        <v/>
      </c>
      <c r="G1101" t="str">
        <f>_xlfn.XLOOKUP(E1101,menu!$A$2:$A$37,menu!$C$2:$C$37,"")</f>
        <v/>
      </c>
      <c r="H1101" t="str">
        <f>_xlfn.LET(_xlpm.x,_xlfn.XLOOKUP(_xlfn.XLOOKUP(D1101,beans!$A$2:$A$300,beans!$I$2:$I$300),menu!$E$2:$E$20,menu!$F$2:$F$20),IF(_xlpm.x="","",_xlpm.x))</f>
        <v/>
      </c>
      <c r="T1101" s="68" t="str">
        <f t="shared" si="122"/>
        <v/>
      </c>
      <c r="U1101" t="str">
        <f t="shared" si="118"/>
        <v/>
      </c>
      <c r="V1101">
        <f t="shared" si="123"/>
        <v>0</v>
      </c>
      <c r="W1101" t="str">
        <f t="shared" si="119"/>
        <v/>
      </c>
      <c r="AB1101" s="28" t="str">
        <f t="shared" si="120"/>
        <v xml:space="preserve"> </v>
      </c>
      <c r="AE1101" s="61" t="str">
        <f t="shared" si="121"/>
        <v/>
      </c>
      <c r="AF1101" s="77" t="str">
        <f>_xlfn.XLOOKUP(AD1101,menu!$K$2:$K$9,menu!$J$2:$J$9,"",1)</f>
        <v/>
      </c>
      <c r="AG1101" s="80" t="str">
        <f>_xlfn.XLOOKUP(AH1101,menu!$O$2:$O$9,menu!$H$2:$H$9,"")</f>
        <v/>
      </c>
      <c r="AI1101" t="str">
        <f>_xlfn.LET(_xlpm.x,_xlfn.CONCAT(_xlfn.XLOOKUP(D1101,beans!$A$2:$A$300,beans!$J$2:$J$300,"")," / ",_xlfn.XLOOKUP(D1101,beans!$A$2:$A$300,beans!$K$2:$K$300,"")," - ",_xlfn.XLOOKUP(D1101,beans!$A$2:$A$300,beans!$L$2:$L$300,"")),IF(_xlpm.x=" /  - ","",_xlpm.x))</f>
        <v/>
      </c>
    </row>
    <row r="1102" spans="1:35" x14ac:dyDescent="0.3">
      <c r="A1102">
        <v>1085</v>
      </c>
      <c r="E1102" t="str">
        <f>_xlfn.LET(_xlpm.x,_xlfn.XLOOKUP(D1102,beans!$A$2:$A$300,beans!$H$2:$H$300,""),IF(_xlpm.x="","",_xlpm.x))</f>
        <v/>
      </c>
      <c r="F1102" s="22" t="str">
        <f>_xlfn.XLOOKUP(E1102,menu!$A$2:$A$37,menu!$B$2:$B$37,"")</f>
        <v/>
      </c>
      <c r="G1102" t="str">
        <f>_xlfn.XLOOKUP(E1102,menu!$A$2:$A$37,menu!$C$2:$C$37,"")</f>
        <v/>
      </c>
      <c r="H1102" t="str">
        <f>_xlfn.LET(_xlpm.x,_xlfn.XLOOKUP(_xlfn.XLOOKUP(D1102,beans!$A$2:$A$300,beans!$I$2:$I$300),menu!$E$2:$E$20,menu!$F$2:$F$20),IF(_xlpm.x="","",_xlpm.x))</f>
        <v/>
      </c>
      <c r="T1102" s="68" t="str">
        <f t="shared" si="122"/>
        <v/>
      </c>
      <c r="U1102" t="str">
        <f t="shared" si="118"/>
        <v/>
      </c>
      <c r="V1102">
        <f t="shared" si="123"/>
        <v>0</v>
      </c>
      <c r="W1102" t="str">
        <f t="shared" si="119"/>
        <v/>
      </c>
      <c r="AB1102" s="28" t="str">
        <f t="shared" si="120"/>
        <v xml:space="preserve"> </v>
      </c>
      <c r="AE1102" s="61" t="str">
        <f t="shared" si="121"/>
        <v/>
      </c>
      <c r="AF1102" s="77" t="str">
        <f>_xlfn.XLOOKUP(AD1102,menu!$K$2:$K$9,menu!$J$2:$J$9,"",1)</f>
        <v/>
      </c>
      <c r="AG1102" s="80" t="str">
        <f>_xlfn.XLOOKUP(AH1102,menu!$O$2:$O$9,menu!$H$2:$H$9,"")</f>
        <v/>
      </c>
      <c r="AI1102" t="str">
        <f>_xlfn.LET(_xlpm.x,_xlfn.CONCAT(_xlfn.XLOOKUP(D1102,beans!$A$2:$A$300,beans!$J$2:$J$300,"")," / ",_xlfn.XLOOKUP(D1102,beans!$A$2:$A$300,beans!$K$2:$K$300,"")," - ",_xlfn.XLOOKUP(D1102,beans!$A$2:$A$300,beans!$L$2:$L$300,"")),IF(_xlpm.x=" /  - ","",_xlpm.x))</f>
        <v/>
      </c>
    </row>
    <row r="1103" spans="1:35" x14ac:dyDescent="0.3">
      <c r="A1103">
        <v>1086</v>
      </c>
      <c r="E1103" t="str">
        <f>_xlfn.LET(_xlpm.x,_xlfn.XLOOKUP(D1103,beans!$A$2:$A$300,beans!$H$2:$H$300,""),IF(_xlpm.x="","",_xlpm.x))</f>
        <v/>
      </c>
      <c r="F1103" s="22" t="str">
        <f>_xlfn.XLOOKUP(E1103,menu!$A$2:$A$37,menu!$B$2:$B$37,"")</f>
        <v/>
      </c>
      <c r="G1103" t="str">
        <f>_xlfn.XLOOKUP(E1103,menu!$A$2:$A$37,menu!$C$2:$C$37,"")</f>
        <v/>
      </c>
      <c r="H1103" t="str">
        <f>_xlfn.LET(_xlpm.x,_xlfn.XLOOKUP(_xlfn.XLOOKUP(D1103,beans!$A$2:$A$300,beans!$I$2:$I$300),menu!$E$2:$E$20,menu!$F$2:$F$20),IF(_xlpm.x="","",_xlpm.x))</f>
        <v/>
      </c>
      <c r="T1103" s="68" t="str">
        <f t="shared" si="122"/>
        <v/>
      </c>
      <c r="U1103" t="str">
        <f t="shared" si="118"/>
        <v/>
      </c>
      <c r="V1103">
        <f t="shared" si="123"/>
        <v>0</v>
      </c>
      <c r="W1103" t="str">
        <f t="shared" si="119"/>
        <v/>
      </c>
      <c r="AB1103" s="28" t="str">
        <f t="shared" si="120"/>
        <v xml:space="preserve"> </v>
      </c>
      <c r="AE1103" s="61" t="str">
        <f t="shared" si="121"/>
        <v/>
      </c>
      <c r="AF1103" s="77" t="str">
        <f>_xlfn.XLOOKUP(AD1103,menu!$K$2:$K$9,menu!$J$2:$J$9,"",1)</f>
        <v/>
      </c>
      <c r="AG1103" s="80" t="str">
        <f>_xlfn.XLOOKUP(AH1103,menu!$O$2:$O$9,menu!$H$2:$H$9,"")</f>
        <v/>
      </c>
      <c r="AI1103" t="str">
        <f>_xlfn.LET(_xlpm.x,_xlfn.CONCAT(_xlfn.XLOOKUP(D1103,beans!$A$2:$A$300,beans!$J$2:$J$300,"")," / ",_xlfn.XLOOKUP(D1103,beans!$A$2:$A$300,beans!$K$2:$K$300,"")," - ",_xlfn.XLOOKUP(D1103,beans!$A$2:$A$300,beans!$L$2:$L$300,"")),IF(_xlpm.x=" /  - ","",_xlpm.x))</f>
        <v/>
      </c>
    </row>
    <row r="1104" spans="1:35" x14ac:dyDescent="0.3">
      <c r="A1104">
        <v>1087</v>
      </c>
      <c r="E1104" t="str">
        <f>_xlfn.LET(_xlpm.x,_xlfn.XLOOKUP(D1104,beans!$A$2:$A$300,beans!$H$2:$H$300,""),IF(_xlpm.x="","",_xlpm.x))</f>
        <v/>
      </c>
      <c r="F1104" s="22" t="str">
        <f>_xlfn.XLOOKUP(E1104,menu!$A$2:$A$37,menu!$B$2:$B$37,"")</f>
        <v/>
      </c>
      <c r="G1104" t="str">
        <f>_xlfn.XLOOKUP(E1104,menu!$A$2:$A$37,menu!$C$2:$C$37,"")</f>
        <v/>
      </c>
      <c r="H1104" t="str">
        <f>_xlfn.LET(_xlpm.x,_xlfn.XLOOKUP(_xlfn.XLOOKUP(D1104,beans!$A$2:$A$300,beans!$I$2:$I$300),menu!$E$2:$E$20,menu!$F$2:$F$20),IF(_xlpm.x="","",_xlpm.x))</f>
        <v/>
      </c>
      <c r="T1104" s="68" t="str">
        <f t="shared" si="122"/>
        <v/>
      </c>
      <c r="U1104" t="str">
        <f t="shared" si="118"/>
        <v/>
      </c>
      <c r="V1104">
        <f t="shared" si="123"/>
        <v>0</v>
      </c>
      <c r="W1104" t="str">
        <f t="shared" si="119"/>
        <v/>
      </c>
      <c r="AB1104" s="28" t="str">
        <f t="shared" si="120"/>
        <v xml:space="preserve"> </v>
      </c>
      <c r="AE1104" s="61" t="str">
        <f t="shared" si="121"/>
        <v/>
      </c>
      <c r="AF1104" s="77" t="str">
        <f>_xlfn.XLOOKUP(AD1104,menu!$K$2:$K$9,menu!$J$2:$J$9,"",1)</f>
        <v/>
      </c>
      <c r="AG1104" s="80" t="str">
        <f>_xlfn.XLOOKUP(AH1104,menu!$O$2:$O$9,menu!$H$2:$H$9,"")</f>
        <v/>
      </c>
      <c r="AI1104" t="str">
        <f>_xlfn.LET(_xlpm.x,_xlfn.CONCAT(_xlfn.XLOOKUP(D1104,beans!$A$2:$A$300,beans!$J$2:$J$300,"")," / ",_xlfn.XLOOKUP(D1104,beans!$A$2:$A$300,beans!$K$2:$K$300,"")," - ",_xlfn.XLOOKUP(D1104,beans!$A$2:$A$300,beans!$L$2:$L$300,"")),IF(_xlpm.x=" /  - ","",_xlpm.x))</f>
        <v/>
      </c>
    </row>
    <row r="1105" spans="1:35" x14ac:dyDescent="0.3">
      <c r="A1105">
        <v>1088</v>
      </c>
      <c r="E1105" t="str">
        <f>_xlfn.LET(_xlpm.x,_xlfn.XLOOKUP(D1105,beans!$A$2:$A$300,beans!$H$2:$H$300,""),IF(_xlpm.x="","",_xlpm.x))</f>
        <v/>
      </c>
      <c r="F1105" s="22" t="str">
        <f>_xlfn.XLOOKUP(E1105,menu!$A$2:$A$37,menu!$B$2:$B$37,"")</f>
        <v/>
      </c>
      <c r="G1105" t="str">
        <f>_xlfn.XLOOKUP(E1105,menu!$A$2:$A$37,menu!$C$2:$C$37,"")</f>
        <v/>
      </c>
      <c r="H1105" t="str">
        <f>_xlfn.LET(_xlpm.x,_xlfn.XLOOKUP(_xlfn.XLOOKUP(D1105,beans!$A$2:$A$300,beans!$I$2:$I$300),menu!$E$2:$E$20,menu!$F$2:$F$20),IF(_xlpm.x="","",_xlpm.x))</f>
        <v/>
      </c>
      <c r="T1105" s="68" t="str">
        <f t="shared" si="122"/>
        <v/>
      </c>
      <c r="U1105" t="str">
        <f t="shared" si="118"/>
        <v/>
      </c>
      <c r="V1105">
        <f t="shared" si="123"/>
        <v>0</v>
      </c>
      <c r="W1105" t="str">
        <f t="shared" si="119"/>
        <v/>
      </c>
      <c r="AB1105" s="28" t="str">
        <f t="shared" si="120"/>
        <v xml:space="preserve"> </v>
      </c>
      <c r="AE1105" s="61" t="str">
        <f t="shared" si="121"/>
        <v/>
      </c>
      <c r="AF1105" s="77" t="str">
        <f>_xlfn.XLOOKUP(AD1105,menu!$K$2:$K$9,menu!$J$2:$J$9,"",1)</f>
        <v/>
      </c>
      <c r="AG1105" s="80" t="str">
        <f>_xlfn.XLOOKUP(AH1105,menu!$O$2:$O$9,menu!$H$2:$H$9,"")</f>
        <v/>
      </c>
      <c r="AI1105" t="str">
        <f>_xlfn.LET(_xlpm.x,_xlfn.CONCAT(_xlfn.XLOOKUP(D1105,beans!$A$2:$A$300,beans!$J$2:$J$300,"")," / ",_xlfn.XLOOKUP(D1105,beans!$A$2:$A$300,beans!$K$2:$K$300,"")," - ",_xlfn.XLOOKUP(D1105,beans!$A$2:$A$300,beans!$L$2:$L$300,"")),IF(_xlpm.x=" /  - ","",_xlpm.x))</f>
        <v/>
      </c>
    </row>
    <row r="1106" spans="1:35" x14ac:dyDescent="0.3">
      <c r="A1106">
        <v>1089</v>
      </c>
      <c r="E1106" t="str">
        <f>_xlfn.LET(_xlpm.x,_xlfn.XLOOKUP(D1106,beans!$A$2:$A$300,beans!$H$2:$H$300,""),IF(_xlpm.x="","",_xlpm.x))</f>
        <v/>
      </c>
      <c r="F1106" s="22" t="str">
        <f>_xlfn.XLOOKUP(E1106,menu!$A$2:$A$37,menu!$B$2:$B$37,"")</f>
        <v/>
      </c>
      <c r="G1106" t="str">
        <f>_xlfn.XLOOKUP(E1106,menu!$A$2:$A$37,menu!$C$2:$C$37,"")</f>
        <v/>
      </c>
      <c r="H1106" t="str">
        <f>_xlfn.LET(_xlpm.x,_xlfn.XLOOKUP(_xlfn.XLOOKUP(D1106,beans!$A$2:$A$300,beans!$I$2:$I$300),menu!$E$2:$E$20,menu!$F$2:$F$20),IF(_xlpm.x="","",_xlpm.x))</f>
        <v/>
      </c>
      <c r="T1106" s="68" t="str">
        <f t="shared" si="122"/>
        <v/>
      </c>
      <c r="U1106" t="str">
        <f t="shared" si="118"/>
        <v/>
      </c>
      <c r="V1106">
        <f t="shared" si="123"/>
        <v>0</v>
      </c>
      <c r="W1106" t="str">
        <f t="shared" si="119"/>
        <v/>
      </c>
      <c r="AB1106" s="28" t="str">
        <f t="shared" si="120"/>
        <v xml:space="preserve"> </v>
      </c>
      <c r="AE1106" s="61" t="str">
        <f t="shared" si="121"/>
        <v/>
      </c>
      <c r="AF1106" s="77" t="str">
        <f>_xlfn.XLOOKUP(AD1106,menu!$K$2:$K$9,menu!$J$2:$J$9,"",1)</f>
        <v/>
      </c>
      <c r="AG1106" s="80" t="str">
        <f>_xlfn.XLOOKUP(AH1106,menu!$O$2:$O$9,menu!$H$2:$H$9,"")</f>
        <v/>
      </c>
      <c r="AI1106" t="str">
        <f>_xlfn.LET(_xlpm.x,_xlfn.CONCAT(_xlfn.XLOOKUP(D1106,beans!$A$2:$A$300,beans!$J$2:$J$300,"")," / ",_xlfn.XLOOKUP(D1106,beans!$A$2:$A$300,beans!$K$2:$K$300,"")," - ",_xlfn.XLOOKUP(D1106,beans!$A$2:$A$300,beans!$L$2:$L$300,"")),IF(_xlpm.x=" /  - ","",_xlpm.x))</f>
        <v/>
      </c>
    </row>
    <row r="1107" spans="1:35" x14ac:dyDescent="0.3">
      <c r="A1107">
        <v>1090</v>
      </c>
      <c r="E1107" t="str">
        <f>_xlfn.LET(_xlpm.x,_xlfn.XLOOKUP(D1107,beans!$A$2:$A$300,beans!$H$2:$H$300,""),IF(_xlpm.x="","",_xlpm.x))</f>
        <v/>
      </c>
      <c r="F1107" s="22" t="str">
        <f>_xlfn.XLOOKUP(E1107,menu!$A$2:$A$37,menu!$B$2:$B$37,"")</f>
        <v/>
      </c>
      <c r="G1107" t="str">
        <f>_xlfn.XLOOKUP(E1107,menu!$A$2:$A$37,menu!$C$2:$C$37,"")</f>
        <v/>
      </c>
      <c r="H1107" t="str">
        <f>_xlfn.LET(_xlpm.x,_xlfn.XLOOKUP(_xlfn.XLOOKUP(D1107,beans!$A$2:$A$300,beans!$I$2:$I$300),menu!$E$2:$E$20,menu!$F$2:$F$20),IF(_xlpm.x="","",_xlpm.x))</f>
        <v/>
      </c>
      <c r="T1107" s="68" t="str">
        <f t="shared" si="122"/>
        <v/>
      </c>
      <c r="U1107" t="str">
        <f t="shared" si="118"/>
        <v/>
      </c>
      <c r="V1107">
        <f t="shared" si="123"/>
        <v>0</v>
      </c>
      <c r="W1107" t="str">
        <f t="shared" si="119"/>
        <v/>
      </c>
      <c r="AB1107" s="28" t="str">
        <f t="shared" si="120"/>
        <v xml:space="preserve"> </v>
      </c>
      <c r="AE1107" s="61" t="str">
        <f t="shared" si="121"/>
        <v/>
      </c>
      <c r="AF1107" s="77" t="str">
        <f>_xlfn.XLOOKUP(AD1107,menu!$K$2:$K$9,menu!$J$2:$J$9,"",1)</f>
        <v/>
      </c>
      <c r="AG1107" s="80" t="str">
        <f>_xlfn.XLOOKUP(AH1107,menu!$O$2:$O$9,menu!$H$2:$H$9,"")</f>
        <v/>
      </c>
      <c r="AI1107" t="str">
        <f>_xlfn.LET(_xlpm.x,_xlfn.CONCAT(_xlfn.XLOOKUP(D1107,beans!$A$2:$A$300,beans!$J$2:$J$300,"")," / ",_xlfn.XLOOKUP(D1107,beans!$A$2:$A$300,beans!$K$2:$K$300,"")," - ",_xlfn.XLOOKUP(D1107,beans!$A$2:$A$300,beans!$L$2:$L$300,"")),IF(_xlpm.x=" /  - ","",_xlpm.x))</f>
        <v/>
      </c>
    </row>
    <row r="1108" spans="1:35" x14ac:dyDescent="0.3">
      <c r="A1108">
        <v>1091</v>
      </c>
      <c r="E1108" t="str">
        <f>_xlfn.LET(_xlpm.x,_xlfn.XLOOKUP(D1108,beans!$A$2:$A$300,beans!$H$2:$H$300,""),IF(_xlpm.x="","",_xlpm.x))</f>
        <v/>
      </c>
      <c r="F1108" s="22" t="str">
        <f>_xlfn.XLOOKUP(E1108,menu!$A$2:$A$37,menu!$B$2:$B$37,"")</f>
        <v/>
      </c>
      <c r="G1108" t="str">
        <f>_xlfn.XLOOKUP(E1108,menu!$A$2:$A$37,menu!$C$2:$C$37,"")</f>
        <v/>
      </c>
      <c r="H1108" t="str">
        <f>_xlfn.LET(_xlpm.x,_xlfn.XLOOKUP(_xlfn.XLOOKUP(D1108,beans!$A$2:$A$300,beans!$I$2:$I$300),menu!$E$2:$E$20,menu!$F$2:$F$20),IF(_xlpm.x="","",_xlpm.x))</f>
        <v/>
      </c>
      <c r="T1108" s="68" t="str">
        <f t="shared" si="122"/>
        <v/>
      </c>
      <c r="U1108" t="str">
        <f t="shared" si="118"/>
        <v/>
      </c>
      <c r="V1108">
        <f t="shared" si="123"/>
        <v>0</v>
      </c>
      <c r="W1108" t="str">
        <f t="shared" si="119"/>
        <v/>
      </c>
      <c r="AB1108" s="28" t="str">
        <f t="shared" si="120"/>
        <v xml:space="preserve"> </v>
      </c>
      <c r="AE1108" s="61" t="str">
        <f t="shared" si="121"/>
        <v/>
      </c>
      <c r="AF1108" s="77" t="str">
        <f>_xlfn.XLOOKUP(AD1108,menu!$K$2:$K$9,menu!$J$2:$J$9,"",1)</f>
        <v/>
      </c>
      <c r="AG1108" s="80" t="str">
        <f>_xlfn.XLOOKUP(AH1108,menu!$O$2:$O$9,menu!$H$2:$H$9,"")</f>
        <v/>
      </c>
      <c r="AI1108" t="str">
        <f>_xlfn.LET(_xlpm.x,_xlfn.CONCAT(_xlfn.XLOOKUP(D1108,beans!$A$2:$A$300,beans!$J$2:$J$300,"")," / ",_xlfn.XLOOKUP(D1108,beans!$A$2:$A$300,beans!$K$2:$K$300,"")," - ",_xlfn.XLOOKUP(D1108,beans!$A$2:$A$300,beans!$L$2:$L$300,"")),IF(_xlpm.x=" /  - ","",_xlpm.x))</f>
        <v/>
      </c>
    </row>
    <row r="1109" spans="1:35" x14ac:dyDescent="0.3">
      <c r="A1109">
        <v>1092</v>
      </c>
      <c r="E1109" t="str">
        <f>_xlfn.LET(_xlpm.x,_xlfn.XLOOKUP(D1109,beans!$A$2:$A$300,beans!$H$2:$H$300,""),IF(_xlpm.x="","",_xlpm.x))</f>
        <v/>
      </c>
      <c r="F1109" s="22" t="str">
        <f>_xlfn.XLOOKUP(E1109,menu!$A$2:$A$37,menu!$B$2:$B$37,"")</f>
        <v/>
      </c>
      <c r="G1109" t="str">
        <f>_xlfn.XLOOKUP(E1109,menu!$A$2:$A$37,menu!$C$2:$C$37,"")</f>
        <v/>
      </c>
      <c r="H1109" t="str">
        <f>_xlfn.LET(_xlpm.x,_xlfn.XLOOKUP(_xlfn.XLOOKUP(D1109,beans!$A$2:$A$300,beans!$I$2:$I$300),menu!$E$2:$E$20,menu!$F$2:$F$20),IF(_xlpm.x="","",_xlpm.x))</f>
        <v/>
      </c>
      <c r="T1109" s="68" t="str">
        <f t="shared" si="122"/>
        <v/>
      </c>
      <c r="U1109" t="str">
        <f t="shared" si="118"/>
        <v/>
      </c>
      <c r="V1109">
        <f t="shared" si="123"/>
        <v>0</v>
      </c>
      <c r="W1109" t="str">
        <f t="shared" si="119"/>
        <v/>
      </c>
      <c r="AB1109" s="28" t="str">
        <f t="shared" si="120"/>
        <v xml:space="preserve"> </v>
      </c>
      <c r="AE1109" s="61" t="str">
        <f t="shared" si="121"/>
        <v/>
      </c>
      <c r="AF1109" s="77" t="str">
        <f>_xlfn.XLOOKUP(AD1109,menu!$K$2:$K$9,menu!$J$2:$J$9,"",1)</f>
        <v/>
      </c>
      <c r="AG1109" s="80" t="str">
        <f>_xlfn.XLOOKUP(AH1109,menu!$O$2:$O$9,menu!$H$2:$H$9,"")</f>
        <v/>
      </c>
      <c r="AI1109" t="str">
        <f>_xlfn.LET(_xlpm.x,_xlfn.CONCAT(_xlfn.XLOOKUP(D1109,beans!$A$2:$A$300,beans!$J$2:$J$300,"")," / ",_xlfn.XLOOKUP(D1109,beans!$A$2:$A$300,beans!$K$2:$K$300,"")," - ",_xlfn.XLOOKUP(D1109,beans!$A$2:$A$300,beans!$L$2:$L$300,"")),IF(_xlpm.x=" /  - ","",_xlpm.x))</f>
        <v/>
      </c>
    </row>
    <row r="1110" spans="1:35" x14ac:dyDescent="0.3">
      <c r="A1110">
        <v>1093</v>
      </c>
      <c r="E1110" t="str">
        <f>_xlfn.LET(_xlpm.x,_xlfn.XLOOKUP(D1110,beans!$A$2:$A$300,beans!$H$2:$H$300,""),IF(_xlpm.x="","",_xlpm.x))</f>
        <v/>
      </c>
      <c r="F1110" s="22" t="str">
        <f>_xlfn.XLOOKUP(E1110,menu!$A$2:$A$37,menu!$B$2:$B$37,"")</f>
        <v/>
      </c>
      <c r="G1110" t="str">
        <f>_xlfn.XLOOKUP(E1110,menu!$A$2:$A$37,menu!$C$2:$C$37,"")</f>
        <v/>
      </c>
      <c r="H1110" t="str">
        <f>_xlfn.LET(_xlpm.x,_xlfn.XLOOKUP(_xlfn.XLOOKUP(D1110,beans!$A$2:$A$300,beans!$I$2:$I$300),menu!$E$2:$E$20,menu!$F$2:$F$20),IF(_xlpm.x="","",_xlpm.x))</f>
        <v/>
      </c>
      <c r="T1110" s="68" t="str">
        <f t="shared" si="122"/>
        <v/>
      </c>
      <c r="U1110" t="str">
        <f t="shared" si="118"/>
        <v/>
      </c>
      <c r="V1110">
        <f t="shared" si="123"/>
        <v>0</v>
      </c>
      <c r="W1110" t="str">
        <f t="shared" si="119"/>
        <v/>
      </c>
      <c r="AB1110" s="28" t="str">
        <f t="shared" si="120"/>
        <v xml:space="preserve"> </v>
      </c>
      <c r="AE1110" s="61" t="str">
        <f t="shared" si="121"/>
        <v/>
      </c>
      <c r="AF1110" s="77" t="str">
        <f>_xlfn.XLOOKUP(AD1110,menu!$K$2:$K$9,menu!$J$2:$J$9,"",1)</f>
        <v/>
      </c>
      <c r="AG1110" s="80" t="str">
        <f>_xlfn.XLOOKUP(AH1110,menu!$O$2:$O$9,menu!$H$2:$H$9,"")</f>
        <v/>
      </c>
      <c r="AI1110" t="str">
        <f>_xlfn.LET(_xlpm.x,_xlfn.CONCAT(_xlfn.XLOOKUP(D1110,beans!$A$2:$A$300,beans!$J$2:$J$300,"")," / ",_xlfn.XLOOKUP(D1110,beans!$A$2:$A$300,beans!$K$2:$K$300,"")," - ",_xlfn.XLOOKUP(D1110,beans!$A$2:$A$300,beans!$L$2:$L$300,"")),IF(_xlpm.x=" /  - ","",_xlpm.x))</f>
        <v/>
      </c>
    </row>
    <row r="1111" spans="1:35" x14ac:dyDescent="0.3">
      <c r="A1111">
        <v>1094</v>
      </c>
      <c r="E1111" t="str">
        <f>_xlfn.LET(_xlpm.x,_xlfn.XLOOKUP(D1111,beans!$A$2:$A$300,beans!$H$2:$H$300,""),IF(_xlpm.x="","",_xlpm.x))</f>
        <v/>
      </c>
      <c r="F1111" s="22" t="str">
        <f>_xlfn.XLOOKUP(E1111,menu!$A$2:$A$37,menu!$B$2:$B$37,"")</f>
        <v/>
      </c>
      <c r="G1111" t="str">
        <f>_xlfn.XLOOKUP(E1111,menu!$A$2:$A$37,menu!$C$2:$C$37,"")</f>
        <v/>
      </c>
      <c r="H1111" t="str">
        <f>_xlfn.LET(_xlpm.x,_xlfn.XLOOKUP(_xlfn.XLOOKUP(D1111,beans!$A$2:$A$300,beans!$I$2:$I$300),menu!$E$2:$E$20,menu!$F$2:$F$20),IF(_xlpm.x="","",_xlpm.x))</f>
        <v/>
      </c>
      <c r="T1111" s="68" t="str">
        <f t="shared" si="122"/>
        <v/>
      </c>
      <c r="U1111" t="str">
        <f t="shared" si="118"/>
        <v/>
      </c>
      <c r="V1111">
        <f t="shared" si="123"/>
        <v>0</v>
      </c>
      <c r="W1111" t="str">
        <f t="shared" si="119"/>
        <v/>
      </c>
      <c r="AB1111" s="28" t="str">
        <f t="shared" si="120"/>
        <v xml:space="preserve"> </v>
      </c>
      <c r="AE1111" s="61" t="str">
        <f t="shared" si="121"/>
        <v/>
      </c>
      <c r="AF1111" s="77" t="str">
        <f>_xlfn.XLOOKUP(AD1111,menu!$K$2:$K$9,menu!$J$2:$J$9,"",1)</f>
        <v/>
      </c>
      <c r="AG1111" s="80" t="str">
        <f>_xlfn.XLOOKUP(AH1111,menu!$O$2:$O$9,menu!$H$2:$H$9,"")</f>
        <v/>
      </c>
      <c r="AI1111" t="str">
        <f>_xlfn.LET(_xlpm.x,_xlfn.CONCAT(_xlfn.XLOOKUP(D1111,beans!$A$2:$A$300,beans!$J$2:$J$300,"")," / ",_xlfn.XLOOKUP(D1111,beans!$A$2:$A$300,beans!$K$2:$K$300,"")," - ",_xlfn.XLOOKUP(D1111,beans!$A$2:$A$300,beans!$L$2:$L$300,"")),IF(_xlpm.x=" /  - ","",_xlpm.x))</f>
        <v/>
      </c>
    </row>
    <row r="1112" spans="1:35" x14ac:dyDescent="0.3">
      <c r="A1112">
        <v>1095</v>
      </c>
      <c r="E1112" t="str">
        <f>_xlfn.LET(_xlpm.x,_xlfn.XLOOKUP(D1112,beans!$A$2:$A$300,beans!$H$2:$H$300,""),IF(_xlpm.x="","",_xlpm.x))</f>
        <v/>
      </c>
      <c r="F1112" s="22" t="str">
        <f>_xlfn.XLOOKUP(E1112,menu!$A$2:$A$37,menu!$B$2:$B$37,"")</f>
        <v/>
      </c>
      <c r="G1112" t="str">
        <f>_xlfn.XLOOKUP(E1112,menu!$A$2:$A$37,menu!$C$2:$C$37,"")</f>
        <v/>
      </c>
      <c r="H1112" t="str">
        <f>_xlfn.LET(_xlpm.x,_xlfn.XLOOKUP(_xlfn.XLOOKUP(D1112,beans!$A$2:$A$300,beans!$I$2:$I$300),menu!$E$2:$E$20,menu!$F$2:$F$20),IF(_xlpm.x="","",_xlpm.x))</f>
        <v/>
      </c>
      <c r="T1112" s="68" t="str">
        <f t="shared" si="122"/>
        <v/>
      </c>
      <c r="U1112" t="str">
        <f t="shared" si="118"/>
        <v/>
      </c>
      <c r="V1112">
        <f t="shared" si="123"/>
        <v>0</v>
      </c>
      <c r="W1112" t="str">
        <f t="shared" si="119"/>
        <v/>
      </c>
      <c r="AB1112" s="28" t="str">
        <f t="shared" si="120"/>
        <v xml:space="preserve"> </v>
      </c>
      <c r="AE1112" s="61" t="str">
        <f t="shared" si="121"/>
        <v/>
      </c>
      <c r="AF1112" s="77" t="str">
        <f>_xlfn.XLOOKUP(AD1112,menu!$K$2:$K$9,menu!$J$2:$J$9,"",1)</f>
        <v/>
      </c>
      <c r="AG1112" s="80" t="str">
        <f>_xlfn.XLOOKUP(AH1112,menu!$O$2:$O$9,menu!$H$2:$H$9,"")</f>
        <v/>
      </c>
      <c r="AI1112" t="str">
        <f>_xlfn.LET(_xlpm.x,_xlfn.CONCAT(_xlfn.XLOOKUP(D1112,beans!$A$2:$A$300,beans!$J$2:$J$300,"")," / ",_xlfn.XLOOKUP(D1112,beans!$A$2:$A$300,beans!$K$2:$K$300,"")," - ",_xlfn.XLOOKUP(D1112,beans!$A$2:$A$300,beans!$L$2:$L$300,"")),IF(_xlpm.x=" /  - ","",_xlpm.x))</f>
        <v/>
      </c>
    </row>
    <row r="1113" spans="1:35" x14ac:dyDescent="0.3">
      <c r="A1113">
        <v>1096</v>
      </c>
      <c r="E1113" t="str">
        <f>_xlfn.LET(_xlpm.x,_xlfn.XLOOKUP(D1113,beans!$A$2:$A$300,beans!$H$2:$H$300,""),IF(_xlpm.x="","",_xlpm.x))</f>
        <v/>
      </c>
      <c r="F1113" s="22" t="str">
        <f>_xlfn.XLOOKUP(E1113,menu!$A$2:$A$37,menu!$B$2:$B$37,"")</f>
        <v/>
      </c>
      <c r="G1113" t="str">
        <f>_xlfn.XLOOKUP(E1113,menu!$A$2:$A$37,menu!$C$2:$C$37,"")</f>
        <v/>
      </c>
      <c r="H1113" t="str">
        <f>_xlfn.LET(_xlpm.x,_xlfn.XLOOKUP(_xlfn.XLOOKUP(D1113,beans!$A$2:$A$300,beans!$I$2:$I$300),menu!$E$2:$E$20,menu!$F$2:$F$20),IF(_xlpm.x="","",_xlpm.x))</f>
        <v/>
      </c>
      <c r="T1113" s="68" t="str">
        <f t="shared" si="122"/>
        <v/>
      </c>
      <c r="U1113" t="str">
        <f t="shared" si="118"/>
        <v/>
      </c>
      <c r="V1113">
        <f t="shared" si="123"/>
        <v>0</v>
      </c>
      <c r="W1113" t="str">
        <f t="shared" si="119"/>
        <v/>
      </c>
      <c r="AB1113" s="28" t="str">
        <f t="shared" si="120"/>
        <v xml:space="preserve"> </v>
      </c>
      <c r="AE1113" s="61" t="str">
        <f t="shared" si="121"/>
        <v/>
      </c>
      <c r="AF1113" s="77" t="str">
        <f>_xlfn.XLOOKUP(AD1113,menu!$K$2:$K$9,menu!$J$2:$J$9,"",1)</f>
        <v/>
      </c>
      <c r="AG1113" s="80" t="str">
        <f>_xlfn.XLOOKUP(AH1113,menu!$O$2:$O$9,menu!$H$2:$H$9,"")</f>
        <v/>
      </c>
      <c r="AI1113" t="str">
        <f>_xlfn.LET(_xlpm.x,_xlfn.CONCAT(_xlfn.XLOOKUP(D1113,beans!$A$2:$A$300,beans!$J$2:$J$300,"")," / ",_xlfn.XLOOKUP(D1113,beans!$A$2:$A$300,beans!$K$2:$K$300,"")," - ",_xlfn.XLOOKUP(D1113,beans!$A$2:$A$300,beans!$L$2:$L$300,"")),IF(_xlpm.x=" /  - ","",_xlpm.x))</f>
        <v/>
      </c>
    </row>
    <row r="1114" spans="1:35" x14ac:dyDescent="0.3">
      <c r="A1114">
        <v>1097</v>
      </c>
      <c r="E1114" t="str">
        <f>_xlfn.LET(_xlpm.x,_xlfn.XLOOKUP(D1114,beans!$A$2:$A$300,beans!$H$2:$H$300,""),IF(_xlpm.x="","",_xlpm.x))</f>
        <v/>
      </c>
      <c r="F1114" s="22" t="str">
        <f>_xlfn.XLOOKUP(E1114,menu!$A$2:$A$37,menu!$B$2:$B$37,"")</f>
        <v/>
      </c>
      <c r="G1114" t="str">
        <f>_xlfn.XLOOKUP(E1114,menu!$A$2:$A$37,menu!$C$2:$C$37,"")</f>
        <v/>
      </c>
      <c r="H1114" t="str">
        <f>_xlfn.LET(_xlpm.x,_xlfn.XLOOKUP(_xlfn.XLOOKUP(D1114,beans!$A$2:$A$300,beans!$I$2:$I$300),menu!$E$2:$E$20,menu!$F$2:$F$20),IF(_xlpm.x="","",_xlpm.x))</f>
        <v/>
      </c>
      <c r="T1114" s="68" t="str">
        <f t="shared" si="122"/>
        <v/>
      </c>
      <c r="U1114" t="str">
        <f t="shared" si="118"/>
        <v/>
      </c>
      <c r="V1114">
        <f t="shared" si="123"/>
        <v>0</v>
      </c>
      <c r="W1114" t="str">
        <f t="shared" si="119"/>
        <v/>
      </c>
      <c r="AB1114" s="28" t="str">
        <f t="shared" si="120"/>
        <v xml:space="preserve"> </v>
      </c>
      <c r="AE1114" s="61" t="str">
        <f t="shared" si="121"/>
        <v/>
      </c>
      <c r="AF1114" s="77" t="str">
        <f>_xlfn.XLOOKUP(AD1114,menu!$K$2:$K$9,menu!$J$2:$J$9,"",1)</f>
        <v/>
      </c>
      <c r="AG1114" s="80" t="str">
        <f>_xlfn.XLOOKUP(AH1114,menu!$O$2:$O$9,menu!$H$2:$H$9,"")</f>
        <v/>
      </c>
      <c r="AI1114" t="str">
        <f>_xlfn.LET(_xlpm.x,_xlfn.CONCAT(_xlfn.XLOOKUP(D1114,beans!$A$2:$A$300,beans!$J$2:$J$300,"")," / ",_xlfn.XLOOKUP(D1114,beans!$A$2:$A$300,beans!$K$2:$K$300,"")," - ",_xlfn.XLOOKUP(D1114,beans!$A$2:$A$300,beans!$L$2:$L$300,"")),IF(_xlpm.x=" /  - ","",_xlpm.x))</f>
        <v/>
      </c>
    </row>
    <row r="1115" spans="1:35" x14ac:dyDescent="0.3">
      <c r="A1115">
        <v>1098</v>
      </c>
      <c r="E1115" t="str">
        <f>_xlfn.LET(_xlpm.x,_xlfn.XLOOKUP(D1115,beans!$A$2:$A$300,beans!$H$2:$H$300,""),IF(_xlpm.x="","",_xlpm.x))</f>
        <v/>
      </c>
      <c r="F1115" s="22" t="str">
        <f>_xlfn.XLOOKUP(E1115,menu!$A$2:$A$37,menu!$B$2:$B$37,"")</f>
        <v/>
      </c>
      <c r="G1115" t="str">
        <f>_xlfn.XLOOKUP(E1115,menu!$A$2:$A$37,menu!$C$2:$C$37,"")</f>
        <v/>
      </c>
      <c r="H1115" t="str">
        <f>_xlfn.LET(_xlpm.x,_xlfn.XLOOKUP(_xlfn.XLOOKUP(D1115,beans!$A$2:$A$300,beans!$I$2:$I$300),menu!$E$2:$E$20,menu!$F$2:$F$20),IF(_xlpm.x="","",_xlpm.x))</f>
        <v/>
      </c>
      <c r="T1115" s="68" t="str">
        <f t="shared" si="122"/>
        <v/>
      </c>
      <c r="U1115" t="str">
        <f t="shared" si="118"/>
        <v/>
      </c>
      <c r="V1115">
        <f t="shared" si="123"/>
        <v>0</v>
      </c>
      <c r="W1115" t="str">
        <f t="shared" si="119"/>
        <v/>
      </c>
      <c r="AB1115" s="28" t="str">
        <f t="shared" si="120"/>
        <v xml:space="preserve"> </v>
      </c>
      <c r="AE1115" s="61" t="str">
        <f t="shared" si="121"/>
        <v/>
      </c>
      <c r="AF1115" s="77" t="str">
        <f>_xlfn.XLOOKUP(AD1115,menu!$K$2:$K$9,menu!$J$2:$J$9,"",1)</f>
        <v/>
      </c>
      <c r="AG1115" s="80" t="str">
        <f>_xlfn.XLOOKUP(AH1115,menu!$O$2:$O$9,menu!$H$2:$H$9,"")</f>
        <v/>
      </c>
      <c r="AI1115" t="str">
        <f>_xlfn.LET(_xlpm.x,_xlfn.CONCAT(_xlfn.XLOOKUP(D1115,beans!$A$2:$A$300,beans!$J$2:$J$300,"")," / ",_xlfn.XLOOKUP(D1115,beans!$A$2:$A$300,beans!$K$2:$K$300,"")," - ",_xlfn.XLOOKUP(D1115,beans!$A$2:$A$300,beans!$L$2:$L$300,"")),IF(_xlpm.x=" /  - ","",_xlpm.x))</f>
        <v/>
      </c>
    </row>
    <row r="1116" spans="1:35" x14ac:dyDescent="0.3">
      <c r="A1116">
        <v>1099</v>
      </c>
      <c r="E1116" t="str">
        <f>_xlfn.LET(_xlpm.x,_xlfn.XLOOKUP(D1116,beans!$A$2:$A$300,beans!$H$2:$H$300,""),IF(_xlpm.x="","",_xlpm.x))</f>
        <v/>
      </c>
      <c r="F1116" s="22" t="str">
        <f>_xlfn.XLOOKUP(E1116,menu!$A$2:$A$37,menu!$B$2:$B$37,"")</f>
        <v/>
      </c>
      <c r="G1116" t="str">
        <f>_xlfn.XLOOKUP(E1116,menu!$A$2:$A$37,menu!$C$2:$C$37,"")</f>
        <v/>
      </c>
      <c r="H1116" t="str">
        <f>_xlfn.LET(_xlpm.x,_xlfn.XLOOKUP(_xlfn.XLOOKUP(D1116,beans!$A$2:$A$300,beans!$I$2:$I$300),menu!$E$2:$E$20,menu!$F$2:$F$20),IF(_xlpm.x="","",_xlpm.x))</f>
        <v/>
      </c>
      <c r="T1116" s="68" t="str">
        <f t="shared" si="122"/>
        <v/>
      </c>
      <c r="U1116" t="str">
        <f t="shared" si="118"/>
        <v/>
      </c>
      <c r="V1116">
        <f t="shared" si="123"/>
        <v>0</v>
      </c>
      <c r="W1116" t="str">
        <f t="shared" si="119"/>
        <v/>
      </c>
      <c r="AB1116" s="28" t="str">
        <f t="shared" si="120"/>
        <v xml:space="preserve"> </v>
      </c>
      <c r="AE1116" s="61" t="str">
        <f t="shared" si="121"/>
        <v/>
      </c>
      <c r="AF1116" s="77" t="str">
        <f>_xlfn.XLOOKUP(AD1116,menu!$K$2:$K$9,menu!$J$2:$J$9,"",1)</f>
        <v/>
      </c>
      <c r="AG1116" s="80" t="str">
        <f>_xlfn.XLOOKUP(AH1116,menu!$O$2:$O$9,menu!$H$2:$H$9,"")</f>
        <v/>
      </c>
      <c r="AI1116" t="str">
        <f>_xlfn.LET(_xlpm.x,_xlfn.CONCAT(_xlfn.XLOOKUP(D1116,beans!$A$2:$A$300,beans!$J$2:$J$300,"")," / ",_xlfn.XLOOKUP(D1116,beans!$A$2:$A$300,beans!$K$2:$K$300,"")," - ",_xlfn.XLOOKUP(D1116,beans!$A$2:$A$300,beans!$L$2:$L$300,"")),IF(_xlpm.x=" /  - ","",_xlpm.x))</f>
        <v/>
      </c>
    </row>
    <row r="1117" spans="1:35" x14ac:dyDescent="0.3">
      <c r="A1117">
        <v>1100</v>
      </c>
      <c r="E1117" t="str">
        <f>_xlfn.LET(_xlpm.x,_xlfn.XLOOKUP(D1117,beans!$A$2:$A$300,beans!$H$2:$H$300,""),IF(_xlpm.x="","",_xlpm.x))</f>
        <v/>
      </c>
      <c r="F1117" s="22" t="str">
        <f>_xlfn.XLOOKUP(E1117,menu!$A$2:$A$37,menu!$B$2:$B$37,"")</f>
        <v/>
      </c>
      <c r="G1117" t="str">
        <f>_xlfn.XLOOKUP(E1117,menu!$A$2:$A$37,menu!$C$2:$C$37,"")</f>
        <v/>
      </c>
      <c r="H1117" t="str">
        <f>_xlfn.LET(_xlpm.x,_xlfn.XLOOKUP(_xlfn.XLOOKUP(D1117,beans!$A$2:$A$300,beans!$I$2:$I$300),menu!$E$2:$E$20,menu!$F$2:$F$20),IF(_xlpm.x="","",_xlpm.x))</f>
        <v/>
      </c>
      <c r="T1117" s="68" t="str">
        <f t="shared" si="122"/>
        <v/>
      </c>
      <c r="U1117" t="str">
        <f t="shared" si="118"/>
        <v/>
      </c>
      <c r="V1117">
        <f t="shared" si="123"/>
        <v>0</v>
      </c>
      <c r="W1117" t="str">
        <f t="shared" si="119"/>
        <v/>
      </c>
      <c r="AB1117" s="28" t="str">
        <f t="shared" si="120"/>
        <v xml:space="preserve"> </v>
      </c>
      <c r="AE1117" s="61" t="str">
        <f t="shared" si="121"/>
        <v/>
      </c>
      <c r="AF1117" s="77" t="str">
        <f>_xlfn.XLOOKUP(AD1117,menu!$K$2:$K$9,menu!$J$2:$J$9,"",1)</f>
        <v/>
      </c>
      <c r="AG1117" s="80" t="str">
        <f>_xlfn.XLOOKUP(AH1117,menu!$O$2:$O$9,menu!$H$2:$H$9,"")</f>
        <v/>
      </c>
      <c r="AI1117" t="str">
        <f>_xlfn.LET(_xlpm.x,_xlfn.CONCAT(_xlfn.XLOOKUP(D1117,beans!$A$2:$A$300,beans!$J$2:$J$300,"")," / ",_xlfn.XLOOKUP(D1117,beans!$A$2:$A$300,beans!$K$2:$K$300,"")," - ",_xlfn.XLOOKUP(D1117,beans!$A$2:$A$300,beans!$L$2:$L$300,"")),IF(_xlpm.x=" /  - ","",_xlpm.x))</f>
        <v/>
      </c>
    </row>
    <row r="1118" spans="1:35" x14ac:dyDescent="0.3">
      <c r="A1118">
        <v>1101</v>
      </c>
      <c r="E1118" t="str">
        <f>_xlfn.LET(_xlpm.x,_xlfn.XLOOKUP(D1118,beans!$A$2:$A$300,beans!$H$2:$H$300,""),IF(_xlpm.x="","",_xlpm.x))</f>
        <v/>
      </c>
      <c r="F1118" s="22" t="str">
        <f>_xlfn.XLOOKUP(E1118,menu!$A$2:$A$37,menu!$B$2:$B$37,"")</f>
        <v/>
      </c>
      <c r="G1118" t="str">
        <f>_xlfn.XLOOKUP(E1118,menu!$A$2:$A$37,menu!$C$2:$C$37,"")</f>
        <v/>
      </c>
      <c r="H1118" t="str">
        <f>_xlfn.LET(_xlpm.x,_xlfn.XLOOKUP(_xlfn.XLOOKUP(D1118,beans!$A$2:$A$300,beans!$I$2:$I$300),menu!$E$2:$E$20,menu!$F$2:$F$20),IF(_xlpm.x="","",_xlpm.x))</f>
        <v/>
      </c>
      <c r="T1118" s="68" t="str">
        <f t="shared" si="122"/>
        <v/>
      </c>
      <c r="U1118" t="str">
        <f t="shared" si="118"/>
        <v/>
      </c>
      <c r="V1118">
        <f t="shared" si="123"/>
        <v>0</v>
      </c>
      <c r="W1118" t="str">
        <f t="shared" si="119"/>
        <v/>
      </c>
      <c r="AB1118" s="28" t="str">
        <f t="shared" si="120"/>
        <v xml:space="preserve"> </v>
      </c>
      <c r="AE1118" s="61" t="str">
        <f t="shared" si="121"/>
        <v/>
      </c>
      <c r="AF1118" s="77" t="str">
        <f>_xlfn.XLOOKUP(AD1118,menu!$K$2:$K$9,menu!$J$2:$J$9,"",1)</f>
        <v/>
      </c>
      <c r="AG1118" s="80" t="str">
        <f>_xlfn.XLOOKUP(AH1118,menu!$O$2:$O$9,menu!$H$2:$H$9,"")</f>
        <v/>
      </c>
      <c r="AI1118" t="str">
        <f>_xlfn.LET(_xlpm.x,_xlfn.CONCAT(_xlfn.XLOOKUP(D1118,beans!$A$2:$A$300,beans!$J$2:$J$300,"")," / ",_xlfn.XLOOKUP(D1118,beans!$A$2:$A$300,beans!$K$2:$K$300,"")," - ",_xlfn.XLOOKUP(D1118,beans!$A$2:$A$300,beans!$L$2:$L$300,"")),IF(_xlpm.x=" /  - ","",_xlpm.x))</f>
        <v/>
      </c>
    </row>
    <row r="1119" spans="1:35" x14ac:dyDescent="0.3">
      <c r="A1119">
        <v>1102</v>
      </c>
      <c r="E1119" t="str">
        <f>_xlfn.LET(_xlpm.x,_xlfn.XLOOKUP(D1119,beans!$A$2:$A$300,beans!$H$2:$H$300,""),IF(_xlpm.x="","",_xlpm.x))</f>
        <v/>
      </c>
      <c r="F1119" s="22" t="str">
        <f>_xlfn.XLOOKUP(E1119,menu!$A$2:$A$37,menu!$B$2:$B$37,"")</f>
        <v/>
      </c>
      <c r="G1119" t="str">
        <f>_xlfn.XLOOKUP(E1119,menu!$A$2:$A$37,menu!$C$2:$C$37,"")</f>
        <v/>
      </c>
      <c r="H1119" t="str">
        <f>_xlfn.LET(_xlpm.x,_xlfn.XLOOKUP(_xlfn.XLOOKUP(D1119,beans!$A$2:$A$300,beans!$I$2:$I$300),menu!$E$2:$E$20,menu!$F$2:$F$20),IF(_xlpm.x="","",_xlpm.x))</f>
        <v/>
      </c>
      <c r="T1119" s="68" t="str">
        <f t="shared" si="122"/>
        <v/>
      </c>
      <c r="U1119" t="str">
        <f t="shared" si="118"/>
        <v/>
      </c>
      <c r="V1119">
        <f t="shared" si="123"/>
        <v>0</v>
      </c>
      <c r="W1119" t="str">
        <f t="shared" si="119"/>
        <v/>
      </c>
      <c r="AB1119" s="28" t="str">
        <f t="shared" si="120"/>
        <v xml:space="preserve"> </v>
      </c>
      <c r="AE1119" s="61" t="str">
        <f t="shared" si="121"/>
        <v/>
      </c>
      <c r="AF1119" s="77" t="str">
        <f>_xlfn.XLOOKUP(AD1119,menu!$K$2:$K$9,menu!$J$2:$J$9,"",1)</f>
        <v/>
      </c>
      <c r="AG1119" s="80" t="str">
        <f>_xlfn.XLOOKUP(AH1119,menu!$O$2:$O$9,menu!$H$2:$H$9,"")</f>
        <v/>
      </c>
      <c r="AI1119" t="str">
        <f>_xlfn.LET(_xlpm.x,_xlfn.CONCAT(_xlfn.XLOOKUP(D1119,beans!$A$2:$A$300,beans!$J$2:$J$300,"")," / ",_xlfn.XLOOKUP(D1119,beans!$A$2:$A$300,beans!$K$2:$K$300,"")," - ",_xlfn.XLOOKUP(D1119,beans!$A$2:$A$300,beans!$L$2:$L$300,"")),IF(_xlpm.x=" /  - ","",_xlpm.x))</f>
        <v/>
      </c>
    </row>
    <row r="1120" spans="1:35" x14ac:dyDescent="0.3">
      <c r="A1120">
        <v>1103</v>
      </c>
      <c r="E1120" t="str">
        <f>_xlfn.LET(_xlpm.x,_xlfn.XLOOKUP(D1120,beans!$A$2:$A$300,beans!$H$2:$H$300,""),IF(_xlpm.x="","",_xlpm.x))</f>
        <v/>
      </c>
      <c r="F1120" s="22" t="str">
        <f>_xlfn.XLOOKUP(E1120,menu!$A$2:$A$37,menu!$B$2:$B$37,"")</f>
        <v/>
      </c>
      <c r="G1120" t="str">
        <f>_xlfn.XLOOKUP(E1120,menu!$A$2:$A$37,menu!$C$2:$C$37,"")</f>
        <v/>
      </c>
      <c r="H1120" t="str">
        <f>_xlfn.LET(_xlpm.x,_xlfn.XLOOKUP(_xlfn.XLOOKUP(D1120,beans!$A$2:$A$300,beans!$I$2:$I$300),menu!$E$2:$E$20,menu!$F$2:$F$20),IF(_xlpm.x="","",_xlpm.x))</f>
        <v/>
      </c>
      <c r="T1120" s="68" t="str">
        <f t="shared" si="122"/>
        <v/>
      </c>
      <c r="U1120" t="str">
        <f t="shared" si="118"/>
        <v/>
      </c>
      <c r="V1120">
        <f t="shared" si="123"/>
        <v>0</v>
      </c>
      <c r="W1120" t="str">
        <f t="shared" si="119"/>
        <v/>
      </c>
      <c r="AB1120" s="28" t="str">
        <f t="shared" si="120"/>
        <v xml:space="preserve"> </v>
      </c>
      <c r="AE1120" s="61" t="str">
        <f t="shared" si="121"/>
        <v/>
      </c>
      <c r="AF1120" s="77" t="str">
        <f>_xlfn.XLOOKUP(AD1120,menu!$K$2:$K$9,menu!$J$2:$J$9,"",1)</f>
        <v/>
      </c>
      <c r="AG1120" s="80" t="str">
        <f>_xlfn.XLOOKUP(AH1120,menu!$O$2:$O$9,menu!$H$2:$H$9,"")</f>
        <v/>
      </c>
      <c r="AI1120" t="str">
        <f>_xlfn.LET(_xlpm.x,_xlfn.CONCAT(_xlfn.XLOOKUP(D1120,beans!$A$2:$A$300,beans!$J$2:$J$300,"")," / ",_xlfn.XLOOKUP(D1120,beans!$A$2:$A$300,beans!$K$2:$K$300,"")," - ",_xlfn.XLOOKUP(D1120,beans!$A$2:$A$300,beans!$L$2:$L$300,"")),IF(_xlpm.x=" /  - ","",_xlpm.x))</f>
        <v/>
      </c>
    </row>
    <row r="1121" spans="1:35" x14ac:dyDescent="0.3">
      <c r="A1121">
        <v>1104</v>
      </c>
      <c r="E1121" t="str">
        <f>_xlfn.LET(_xlpm.x,_xlfn.XLOOKUP(D1121,beans!$A$2:$A$300,beans!$H$2:$H$300,""),IF(_xlpm.x="","",_xlpm.x))</f>
        <v/>
      </c>
      <c r="F1121" s="22" t="str">
        <f>_xlfn.XLOOKUP(E1121,menu!$A$2:$A$37,menu!$B$2:$B$37,"")</f>
        <v/>
      </c>
      <c r="G1121" t="str">
        <f>_xlfn.XLOOKUP(E1121,menu!$A$2:$A$37,menu!$C$2:$C$37,"")</f>
        <v/>
      </c>
      <c r="H1121" t="str">
        <f>_xlfn.LET(_xlpm.x,_xlfn.XLOOKUP(_xlfn.XLOOKUP(D1121,beans!$A$2:$A$300,beans!$I$2:$I$300),menu!$E$2:$E$20,menu!$F$2:$F$20),IF(_xlpm.x="","",_xlpm.x))</f>
        <v/>
      </c>
      <c r="T1121" s="68" t="str">
        <f t="shared" si="122"/>
        <v/>
      </c>
      <c r="U1121" t="str">
        <f t="shared" si="118"/>
        <v/>
      </c>
      <c r="V1121">
        <f t="shared" si="123"/>
        <v>0</v>
      </c>
      <c r="W1121" t="str">
        <f t="shared" si="119"/>
        <v/>
      </c>
      <c r="AB1121" s="28" t="str">
        <f t="shared" si="120"/>
        <v xml:space="preserve"> </v>
      </c>
      <c r="AE1121" s="61" t="str">
        <f t="shared" si="121"/>
        <v/>
      </c>
      <c r="AF1121" s="77" t="str">
        <f>_xlfn.XLOOKUP(AD1121,menu!$K$2:$K$9,menu!$J$2:$J$9,"",1)</f>
        <v/>
      </c>
      <c r="AG1121" s="80" t="str">
        <f>_xlfn.XLOOKUP(AH1121,menu!$O$2:$O$9,menu!$H$2:$H$9,"")</f>
        <v/>
      </c>
      <c r="AI1121" t="str">
        <f>_xlfn.LET(_xlpm.x,_xlfn.CONCAT(_xlfn.XLOOKUP(D1121,beans!$A$2:$A$300,beans!$J$2:$J$300,"")," / ",_xlfn.XLOOKUP(D1121,beans!$A$2:$A$300,beans!$K$2:$K$300,"")," - ",_xlfn.XLOOKUP(D1121,beans!$A$2:$A$300,beans!$L$2:$L$300,"")),IF(_xlpm.x=" /  - ","",_xlpm.x))</f>
        <v/>
      </c>
    </row>
    <row r="1122" spans="1:35" x14ac:dyDescent="0.3">
      <c r="A1122">
        <v>1105</v>
      </c>
      <c r="E1122" t="str">
        <f>_xlfn.LET(_xlpm.x,_xlfn.XLOOKUP(D1122,beans!$A$2:$A$300,beans!$H$2:$H$300,""),IF(_xlpm.x="","",_xlpm.x))</f>
        <v/>
      </c>
      <c r="F1122" s="22" t="str">
        <f>_xlfn.XLOOKUP(E1122,menu!$A$2:$A$37,menu!$B$2:$B$37,"")</f>
        <v/>
      </c>
      <c r="G1122" t="str">
        <f>_xlfn.XLOOKUP(E1122,menu!$A$2:$A$37,menu!$C$2:$C$37,"")</f>
        <v/>
      </c>
      <c r="H1122" t="str">
        <f>_xlfn.LET(_xlpm.x,_xlfn.XLOOKUP(_xlfn.XLOOKUP(D1122,beans!$A$2:$A$300,beans!$I$2:$I$300),menu!$E$2:$E$20,menu!$F$2:$F$20),IF(_xlpm.x="","",_xlpm.x))</f>
        <v/>
      </c>
      <c r="T1122" s="68" t="str">
        <f t="shared" si="122"/>
        <v/>
      </c>
      <c r="U1122" t="str">
        <f t="shared" si="118"/>
        <v/>
      </c>
      <c r="V1122">
        <f t="shared" si="123"/>
        <v>0</v>
      </c>
      <c r="W1122" t="str">
        <f t="shared" si="119"/>
        <v/>
      </c>
      <c r="AB1122" s="28" t="str">
        <f t="shared" si="120"/>
        <v xml:space="preserve"> </v>
      </c>
      <c r="AE1122" s="61" t="str">
        <f t="shared" si="121"/>
        <v/>
      </c>
      <c r="AF1122" s="77" t="str">
        <f>_xlfn.XLOOKUP(AD1122,menu!$K$2:$K$9,menu!$J$2:$J$9,"",1)</f>
        <v/>
      </c>
      <c r="AG1122" s="80" t="str">
        <f>_xlfn.XLOOKUP(AH1122,menu!$O$2:$O$9,menu!$H$2:$H$9,"")</f>
        <v/>
      </c>
      <c r="AI1122" t="str">
        <f>_xlfn.LET(_xlpm.x,_xlfn.CONCAT(_xlfn.XLOOKUP(D1122,beans!$A$2:$A$300,beans!$J$2:$J$300,"")," / ",_xlfn.XLOOKUP(D1122,beans!$A$2:$A$300,beans!$K$2:$K$300,"")," - ",_xlfn.XLOOKUP(D1122,beans!$A$2:$A$300,beans!$L$2:$L$300,"")),IF(_xlpm.x=" /  - ","",_xlpm.x))</f>
        <v/>
      </c>
    </row>
    <row r="1123" spans="1:35" x14ac:dyDescent="0.3">
      <c r="A1123">
        <v>1106</v>
      </c>
      <c r="E1123" t="str">
        <f>_xlfn.LET(_xlpm.x,_xlfn.XLOOKUP(D1123,beans!$A$2:$A$300,beans!$H$2:$H$300,""),IF(_xlpm.x="","",_xlpm.x))</f>
        <v/>
      </c>
      <c r="F1123" s="22" t="str">
        <f>_xlfn.XLOOKUP(E1123,menu!$A$2:$A$37,menu!$B$2:$B$37,"")</f>
        <v/>
      </c>
      <c r="G1123" t="str">
        <f>_xlfn.XLOOKUP(E1123,menu!$A$2:$A$37,menu!$C$2:$C$37,"")</f>
        <v/>
      </c>
      <c r="H1123" t="str">
        <f>_xlfn.LET(_xlpm.x,_xlfn.XLOOKUP(_xlfn.XLOOKUP(D1123,beans!$A$2:$A$300,beans!$I$2:$I$300),menu!$E$2:$E$20,menu!$F$2:$F$20),IF(_xlpm.x="","",_xlpm.x))</f>
        <v/>
      </c>
      <c r="T1123" s="68" t="str">
        <f t="shared" si="122"/>
        <v/>
      </c>
      <c r="U1123" t="str">
        <f t="shared" si="118"/>
        <v/>
      </c>
      <c r="V1123">
        <f t="shared" si="123"/>
        <v>0</v>
      </c>
      <c r="W1123" t="str">
        <f t="shared" si="119"/>
        <v/>
      </c>
      <c r="AB1123" s="28" t="str">
        <f t="shared" si="120"/>
        <v xml:space="preserve"> </v>
      </c>
      <c r="AE1123" s="61" t="str">
        <f t="shared" si="121"/>
        <v/>
      </c>
      <c r="AF1123" s="77" t="str">
        <f>_xlfn.XLOOKUP(AD1123,menu!$K$2:$K$9,menu!$J$2:$J$9,"",1)</f>
        <v/>
      </c>
      <c r="AG1123" s="80" t="str">
        <f>_xlfn.XLOOKUP(AH1123,menu!$O$2:$O$9,menu!$H$2:$H$9,"")</f>
        <v/>
      </c>
      <c r="AI1123" t="str">
        <f>_xlfn.LET(_xlpm.x,_xlfn.CONCAT(_xlfn.XLOOKUP(D1123,beans!$A$2:$A$300,beans!$J$2:$J$300,"")," / ",_xlfn.XLOOKUP(D1123,beans!$A$2:$A$300,beans!$K$2:$K$300,"")," - ",_xlfn.XLOOKUP(D1123,beans!$A$2:$A$300,beans!$L$2:$L$300,"")),IF(_xlpm.x=" /  - ","",_xlpm.x))</f>
        <v/>
      </c>
    </row>
    <row r="1124" spans="1:35" x14ac:dyDescent="0.3">
      <c r="A1124">
        <v>1107</v>
      </c>
      <c r="E1124" t="str">
        <f>_xlfn.LET(_xlpm.x,_xlfn.XLOOKUP(D1124,beans!$A$2:$A$300,beans!$H$2:$H$300,""),IF(_xlpm.x="","",_xlpm.x))</f>
        <v/>
      </c>
      <c r="F1124" s="22" t="str">
        <f>_xlfn.XLOOKUP(E1124,menu!$A$2:$A$37,menu!$B$2:$B$37,"")</f>
        <v/>
      </c>
      <c r="G1124" t="str">
        <f>_xlfn.XLOOKUP(E1124,menu!$A$2:$A$37,menu!$C$2:$C$37,"")</f>
        <v/>
      </c>
      <c r="H1124" t="str">
        <f>_xlfn.LET(_xlpm.x,_xlfn.XLOOKUP(_xlfn.XLOOKUP(D1124,beans!$A$2:$A$300,beans!$I$2:$I$300),menu!$E$2:$E$20,menu!$F$2:$F$20),IF(_xlpm.x="","",_xlpm.x))</f>
        <v/>
      </c>
      <c r="T1124" s="68" t="str">
        <f t="shared" si="122"/>
        <v/>
      </c>
      <c r="U1124" t="str">
        <f t="shared" si="118"/>
        <v/>
      </c>
      <c r="V1124">
        <f t="shared" si="123"/>
        <v>0</v>
      </c>
      <c r="W1124" t="str">
        <f t="shared" si="119"/>
        <v/>
      </c>
      <c r="AB1124" s="28" t="str">
        <f t="shared" si="120"/>
        <v xml:space="preserve"> </v>
      </c>
      <c r="AE1124" s="61" t="str">
        <f t="shared" si="121"/>
        <v/>
      </c>
      <c r="AF1124" s="77" t="str">
        <f>_xlfn.XLOOKUP(AD1124,menu!$K$2:$K$9,menu!$J$2:$J$9,"",1)</f>
        <v/>
      </c>
      <c r="AG1124" s="80" t="str">
        <f>_xlfn.XLOOKUP(AH1124,menu!$O$2:$O$9,menu!$H$2:$H$9,"")</f>
        <v/>
      </c>
      <c r="AI1124" t="str">
        <f>_xlfn.LET(_xlpm.x,_xlfn.CONCAT(_xlfn.XLOOKUP(D1124,beans!$A$2:$A$300,beans!$J$2:$J$300,"")," / ",_xlfn.XLOOKUP(D1124,beans!$A$2:$A$300,beans!$K$2:$K$300,"")," - ",_xlfn.XLOOKUP(D1124,beans!$A$2:$A$300,beans!$L$2:$L$300,"")),IF(_xlpm.x=" /  - ","",_xlpm.x))</f>
        <v/>
      </c>
    </row>
    <row r="1125" spans="1:35" x14ac:dyDescent="0.3">
      <c r="A1125">
        <v>1108</v>
      </c>
      <c r="E1125" t="str">
        <f>_xlfn.LET(_xlpm.x,_xlfn.XLOOKUP(D1125,beans!$A$2:$A$300,beans!$H$2:$H$300,""),IF(_xlpm.x="","",_xlpm.x))</f>
        <v/>
      </c>
      <c r="F1125" s="22" t="str">
        <f>_xlfn.XLOOKUP(E1125,menu!$A$2:$A$37,menu!$B$2:$B$37,"")</f>
        <v/>
      </c>
      <c r="G1125" t="str">
        <f>_xlfn.XLOOKUP(E1125,menu!$A$2:$A$37,menu!$C$2:$C$37,"")</f>
        <v/>
      </c>
      <c r="H1125" t="str">
        <f>_xlfn.LET(_xlpm.x,_xlfn.XLOOKUP(_xlfn.XLOOKUP(D1125,beans!$A$2:$A$300,beans!$I$2:$I$300),menu!$E$2:$E$20,menu!$F$2:$F$20),IF(_xlpm.x="","",_xlpm.x))</f>
        <v/>
      </c>
      <c r="T1125" s="68" t="str">
        <f t="shared" si="122"/>
        <v/>
      </c>
      <c r="U1125" t="str">
        <f t="shared" si="118"/>
        <v/>
      </c>
      <c r="V1125">
        <f t="shared" si="123"/>
        <v>0</v>
      </c>
      <c r="W1125" t="str">
        <f t="shared" si="119"/>
        <v/>
      </c>
      <c r="AB1125" s="28" t="str">
        <f t="shared" si="120"/>
        <v xml:space="preserve"> </v>
      </c>
      <c r="AE1125" s="61" t="str">
        <f t="shared" si="121"/>
        <v/>
      </c>
      <c r="AF1125" s="77" t="str">
        <f>_xlfn.XLOOKUP(AD1125,menu!$K$2:$K$9,menu!$J$2:$J$9,"",1)</f>
        <v/>
      </c>
      <c r="AG1125" s="80" t="str">
        <f>_xlfn.XLOOKUP(AH1125,menu!$O$2:$O$9,menu!$H$2:$H$9,"")</f>
        <v/>
      </c>
      <c r="AI1125" t="str">
        <f>_xlfn.LET(_xlpm.x,_xlfn.CONCAT(_xlfn.XLOOKUP(D1125,beans!$A$2:$A$300,beans!$J$2:$J$300,"")," / ",_xlfn.XLOOKUP(D1125,beans!$A$2:$A$300,beans!$K$2:$K$300,"")," - ",_xlfn.XLOOKUP(D1125,beans!$A$2:$A$300,beans!$L$2:$L$300,"")),IF(_xlpm.x=" /  - ","",_xlpm.x))</f>
        <v/>
      </c>
    </row>
    <row r="1126" spans="1:35" x14ac:dyDescent="0.3">
      <c r="A1126">
        <v>1109</v>
      </c>
      <c r="E1126" t="str">
        <f>_xlfn.LET(_xlpm.x,_xlfn.XLOOKUP(D1126,beans!$A$2:$A$300,beans!$H$2:$H$300,""),IF(_xlpm.x="","",_xlpm.x))</f>
        <v/>
      </c>
      <c r="F1126" s="22" t="str">
        <f>_xlfn.XLOOKUP(E1126,menu!$A$2:$A$37,menu!$B$2:$B$37,"")</f>
        <v/>
      </c>
      <c r="G1126" t="str">
        <f>_xlfn.XLOOKUP(E1126,menu!$A$2:$A$37,menu!$C$2:$C$37,"")</f>
        <v/>
      </c>
      <c r="H1126" t="str">
        <f>_xlfn.LET(_xlpm.x,_xlfn.XLOOKUP(_xlfn.XLOOKUP(D1126,beans!$A$2:$A$300,beans!$I$2:$I$300),menu!$E$2:$E$20,menu!$F$2:$F$20),IF(_xlpm.x="","",_xlpm.x))</f>
        <v/>
      </c>
      <c r="T1126" s="68" t="str">
        <f t="shared" si="122"/>
        <v/>
      </c>
      <c r="U1126" t="str">
        <f t="shared" si="118"/>
        <v/>
      </c>
      <c r="V1126">
        <f t="shared" si="123"/>
        <v>0</v>
      </c>
      <c r="W1126" t="str">
        <f t="shared" si="119"/>
        <v/>
      </c>
      <c r="AB1126" s="28" t="str">
        <f t="shared" si="120"/>
        <v xml:space="preserve"> </v>
      </c>
      <c r="AE1126" s="61" t="str">
        <f t="shared" si="121"/>
        <v/>
      </c>
      <c r="AF1126" s="77" t="str">
        <f>_xlfn.XLOOKUP(AD1126,menu!$K$2:$K$9,menu!$J$2:$J$9,"",1)</f>
        <v/>
      </c>
      <c r="AG1126" s="80" t="str">
        <f>_xlfn.XLOOKUP(AH1126,menu!$O$2:$O$9,menu!$H$2:$H$9,"")</f>
        <v/>
      </c>
      <c r="AI1126" t="str">
        <f>_xlfn.LET(_xlpm.x,_xlfn.CONCAT(_xlfn.XLOOKUP(D1126,beans!$A$2:$A$300,beans!$J$2:$J$300,"")," / ",_xlfn.XLOOKUP(D1126,beans!$A$2:$A$300,beans!$K$2:$K$300,"")," - ",_xlfn.XLOOKUP(D1126,beans!$A$2:$A$300,beans!$L$2:$L$300,"")),IF(_xlpm.x=" /  - ","",_xlpm.x))</f>
        <v/>
      </c>
    </row>
    <row r="1127" spans="1:35" x14ac:dyDescent="0.3">
      <c r="A1127">
        <v>1110</v>
      </c>
      <c r="E1127" t="str">
        <f>_xlfn.LET(_xlpm.x,_xlfn.XLOOKUP(D1127,beans!$A$2:$A$300,beans!$H$2:$H$300,""),IF(_xlpm.x="","",_xlpm.x))</f>
        <v/>
      </c>
      <c r="F1127" s="22" t="str">
        <f>_xlfn.XLOOKUP(E1127,menu!$A$2:$A$37,menu!$B$2:$B$37,"")</f>
        <v/>
      </c>
      <c r="G1127" t="str">
        <f>_xlfn.XLOOKUP(E1127,menu!$A$2:$A$37,menu!$C$2:$C$37,"")</f>
        <v/>
      </c>
      <c r="H1127" t="str">
        <f>_xlfn.LET(_xlpm.x,_xlfn.XLOOKUP(_xlfn.XLOOKUP(D1127,beans!$A$2:$A$300,beans!$I$2:$I$300),menu!$E$2:$E$20,menu!$F$2:$F$20),IF(_xlpm.x="","",_xlpm.x))</f>
        <v/>
      </c>
      <c r="T1127" s="68" t="str">
        <f t="shared" si="122"/>
        <v/>
      </c>
      <c r="U1127" t="str">
        <f t="shared" si="118"/>
        <v/>
      </c>
      <c r="V1127">
        <f t="shared" si="123"/>
        <v>0</v>
      </c>
      <c r="W1127" t="str">
        <f t="shared" si="119"/>
        <v/>
      </c>
      <c r="AB1127" s="28" t="str">
        <f t="shared" si="120"/>
        <v xml:space="preserve"> </v>
      </c>
      <c r="AE1127" s="61" t="str">
        <f t="shared" si="121"/>
        <v/>
      </c>
      <c r="AF1127" s="77" t="str">
        <f>_xlfn.XLOOKUP(AD1127,menu!$K$2:$K$9,menu!$J$2:$J$9,"",1)</f>
        <v/>
      </c>
      <c r="AG1127" s="80" t="str">
        <f>_xlfn.XLOOKUP(AH1127,menu!$O$2:$O$9,menu!$H$2:$H$9,"")</f>
        <v/>
      </c>
      <c r="AI1127" t="str">
        <f>_xlfn.LET(_xlpm.x,_xlfn.CONCAT(_xlfn.XLOOKUP(D1127,beans!$A$2:$A$300,beans!$J$2:$J$300,"")," / ",_xlfn.XLOOKUP(D1127,beans!$A$2:$A$300,beans!$K$2:$K$300,"")," - ",_xlfn.XLOOKUP(D1127,beans!$A$2:$A$300,beans!$L$2:$L$300,"")),IF(_xlpm.x=" /  - ","",_xlpm.x))</f>
        <v/>
      </c>
    </row>
    <row r="1128" spans="1:35" x14ac:dyDescent="0.3">
      <c r="A1128">
        <v>1111</v>
      </c>
      <c r="E1128" t="str">
        <f>_xlfn.LET(_xlpm.x,_xlfn.XLOOKUP(D1128,beans!$A$2:$A$300,beans!$H$2:$H$300,""),IF(_xlpm.x="","",_xlpm.x))</f>
        <v/>
      </c>
      <c r="F1128" s="22" t="str">
        <f>_xlfn.XLOOKUP(E1128,menu!$A$2:$A$37,menu!$B$2:$B$37,"")</f>
        <v/>
      </c>
      <c r="G1128" t="str">
        <f>_xlfn.XLOOKUP(E1128,menu!$A$2:$A$37,menu!$C$2:$C$37,"")</f>
        <v/>
      </c>
      <c r="H1128" t="str">
        <f>_xlfn.LET(_xlpm.x,_xlfn.XLOOKUP(_xlfn.XLOOKUP(D1128,beans!$A$2:$A$300,beans!$I$2:$I$300),menu!$E$2:$E$20,menu!$F$2:$F$20),IF(_xlpm.x="","",_xlpm.x))</f>
        <v/>
      </c>
      <c r="T1128" s="68" t="str">
        <f t="shared" si="122"/>
        <v/>
      </c>
      <c r="U1128" t="str">
        <f t="shared" si="118"/>
        <v/>
      </c>
      <c r="V1128">
        <f t="shared" si="123"/>
        <v>0</v>
      </c>
      <c r="W1128" t="str">
        <f t="shared" si="119"/>
        <v/>
      </c>
      <c r="AB1128" s="28" t="str">
        <f t="shared" si="120"/>
        <v xml:space="preserve"> </v>
      </c>
      <c r="AE1128" s="61" t="str">
        <f t="shared" si="121"/>
        <v/>
      </c>
      <c r="AF1128" s="77" t="str">
        <f>_xlfn.XLOOKUP(AD1128,menu!$K$2:$K$9,menu!$J$2:$J$9,"",1)</f>
        <v/>
      </c>
      <c r="AG1128" s="80" t="str">
        <f>_xlfn.XLOOKUP(AH1128,menu!$O$2:$O$9,menu!$H$2:$H$9,"")</f>
        <v/>
      </c>
      <c r="AI1128" t="str">
        <f>_xlfn.LET(_xlpm.x,_xlfn.CONCAT(_xlfn.XLOOKUP(D1128,beans!$A$2:$A$300,beans!$J$2:$J$300,"")," / ",_xlfn.XLOOKUP(D1128,beans!$A$2:$A$300,beans!$K$2:$K$300,"")," - ",_xlfn.XLOOKUP(D1128,beans!$A$2:$A$300,beans!$L$2:$L$300,"")),IF(_xlpm.x=" /  - ","",_xlpm.x))</f>
        <v/>
      </c>
    </row>
    <row r="1129" spans="1:35" x14ac:dyDescent="0.3">
      <c r="A1129">
        <v>1112</v>
      </c>
      <c r="E1129" t="str">
        <f>_xlfn.LET(_xlpm.x,_xlfn.XLOOKUP(D1129,beans!$A$2:$A$300,beans!$H$2:$H$300,""),IF(_xlpm.x="","",_xlpm.x))</f>
        <v/>
      </c>
      <c r="F1129" s="22" t="str">
        <f>_xlfn.XLOOKUP(E1129,menu!$A$2:$A$37,menu!$B$2:$B$37,"")</f>
        <v/>
      </c>
      <c r="G1129" t="str">
        <f>_xlfn.XLOOKUP(E1129,menu!$A$2:$A$37,menu!$C$2:$C$37,"")</f>
        <v/>
      </c>
      <c r="H1129" t="str">
        <f>_xlfn.LET(_xlpm.x,_xlfn.XLOOKUP(_xlfn.XLOOKUP(D1129,beans!$A$2:$A$300,beans!$I$2:$I$300),menu!$E$2:$E$20,menu!$F$2:$F$20),IF(_xlpm.x="","",_xlpm.x))</f>
        <v/>
      </c>
      <c r="T1129" s="68" t="str">
        <f t="shared" si="122"/>
        <v/>
      </c>
      <c r="U1129" t="str">
        <f t="shared" si="118"/>
        <v/>
      </c>
      <c r="V1129">
        <f t="shared" si="123"/>
        <v>0</v>
      </c>
      <c r="W1129" t="str">
        <f t="shared" si="119"/>
        <v/>
      </c>
      <c r="AB1129" s="28" t="str">
        <f t="shared" si="120"/>
        <v xml:space="preserve"> </v>
      </c>
      <c r="AE1129" s="61" t="str">
        <f t="shared" si="121"/>
        <v/>
      </c>
      <c r="AF1129" s="77" t="str">
        <f>_xlfn.XLOOKUP(AD1129,menu!$K$2:$K$9,menu!$J$2:$J$9,"",1)</f>
        <v/>
      </c>
      <c r="AG1129" s="80" t="str">
        <f>_xlfn.XLOOKUP(AH1129,menu!$O$2:$O$9,menu!$H$2:$H$9,"")</f>
        <v/>
      </c>
      <c r="AI1129" t="str">
        <f>_xlfn.LET(_xlpm.x,_xlfn.CONCAT(_xlfn.XLOOKUP(D1129,beans!$A$2:$A$300,beans!$J$2:$J$300,"")," / ",_xlfn.XLOOKUP(D1129,beans!$A$2:$A$300,beans!$K$2:$K$300,"")," - ",_xlfn.XLOOKUP(D1129,beans!$A$2:$A$300,beans!$L$2:$L$300,"")),IF(_xlpm.x=" /  - ","",_xlpm.x))</f>
        <v/>
      </c>
    </row>
    <row r="1130" spans="1:35" x14ac:dyDescent="0.3">
      <c r="A1130">
        <v>1113</v>
      </c>
      <c r="E1130" t="str">
        <f>_xlfn.LET(_xlpm.x,_xlfn.XLOOKUP(D1130,beans!$A$2:$A$300,beans!$H$2:$H$300,""),IF(_xlpm.x="","",_xlpm.x))</f>
        <v/>
      </c>
      <c r="F1130" s="22" t="str">
        <f>_xlfn.XLOOKUP(E1130,menu!$A$2:$A$37,menu!$B$2:$B$37,"")</f>
        <v/>
      </c>
      <c r="G1130" t="str">
        <f>_xlfn.XLOOKUP(E1130,menu!$A$2:$A$37,menu!$C$2:$C$37,"")</f>
        <v/>
      </c>
      <c r="H1130" t="str">
        <f>_xlfn.LET(_xlpm.x,_xlfn.XLOOKUP(_xlfn.XLOOKUP(D1130,beans!$A$2:$A$300,beans!$I$2:$I$300),menu!$E$2:$E$20,menu!$F$2:$F$20),IF(_xlpm.x="","",_xlpm.x))</f>
        <v/>
      </c>
      <c r="T1130" s="68" t="str">
        <f t="shared" si="122"/>
        <v/>
      </c>
      <c r="U1130" t="str">
        <f t="shared" si="118"/>
        <v/>
      </c>
      <c r="V1130">
        <f t="shared" si="123"/>
        <v>0</v>
      </c>
      <c r="W1130" t="str">
        <f t="shared" si="119"/>
        <v/>
      </c>
      <c r="AB1130" s="28" t="str">
        <f t="shared" si="120"/>
        <v xml:space="preserve"> </v>
      </c>
      <c r="AE1130" s="61" t="str">
        <f t="shared" si="121"/>
        <v/>
      </c>
      <c r="AF1130" s="77" t="str">
        <f>_xlfn.XLOOKUP(AD1130,menu!$K$2:$K$9,menu!$J$2:$J$9,"",1)</f>
        <v/>
      </c>
      <c r="AG1130" s="80" t="str">
        <f>_xlfn.XLOOKUP(AH1130,menu!$O$2:$O$9,menu!$H$2:$H$9,"")</f>
        <v/>
      </c>
      <c r="AI1130" t="str">
        <f>_xlfn.LET(_xlpm.x,_xlfn.CONCAT(_xlfn.XLOOKUP(D1130,beans!$A$2:$A$300,beans!$J$2:$J$300,"")," / ",_xlfn.XLOOKUP(D1130,beans!$A$2:$A$300,beans!$K$2:$K$300,"")," - ",_xlfn.XLOOKUP(D1130,beans!$A$2:$A$300,beans!$L$2:$L$300,"")),IF(_xlpm.x=" /  - ","",_xlpm.x))</f>
        <v/>
      </c>
    </row>
    <row r="1131" spans="1:35" x14ac:dyDescent="0.3">
      <c r="A1131">
        <v>1114</v>
      </c>
      <c r="E1131" t="str">
        <f>_xlfn.LET(_xlpm.x,_xlfn.XLOOKUP(D1131,beans!$A$2:$A$300,beans!$H$2:$H$300,""),IF(_xlpm.x="","",_xlpm.x))</f>
        <v/>
      </c>
      <c r="F1131" s="22" t="str">
        <f>_xlfn.XLOOKUP(E1131,menu!$A$2:$A$37,menu!$B$2:$B$37,"")</f>
        <v/>
      </c>
      <c r="G1131" t="str">
        <f>_xlfn.XLOOKUP(E1131,menu!$A$2:$A$37,menu!$C$2:$C$37,"")</f>
        <v/>
      </c>
      <c r="H1131" t="str">
        <f>_xlfn.LET(_xlpm.x,_xlfn.XLOOKUP(_xlfn.XLOOKUP(D1131,beans!$A$2:$A$300,beans!$I$2:$I$300),menu!$E$2:$E$20,menu!$F$2:$F$20),IF(_xlpm.x="","",_xlpm.x))</f>
        <v/>
      </c>
      <c r="T1131" s="68" t="str">
        <f t="shared" si="122"/>
        <v/>
      </c>
      <c r="U1131" t="str">
        <f t="shared" si="118"/>
        <v/>
      </c>
      <c r="V1131">
        <f t="shared" si="123"/>
        <v>0</v>
      </c>
      <c r="W1131" t="str">
        <f t="shared" si="119"/>
        <v/>
      </c>
      <c r="AB1131" s="28" t="str">
        <f t="shared" si="120"/>
        <v xml:space="preserve"> </v>
      </c>
      <c r="AE1131" s="61" t="str">
        <f t="shared" si="121"/>
        <v/>
      </c>
      <c r="AF1131" s="77" t="str">
        <f>_xlfn.XLOOKUP(AD1131,menu!$K$2:$K$9,menu!$J$2:$J$9,"",1)</f>
        <v/>
      </c>
      <c r="AG1131" s="80" t="str">
        <f>_xlfn.XLOOKUP(AH1131,menu!$O$2:$O$9,menu!$H$2:$H$9,"")</f>
        <v/>
      </c>
      <c r="AI1131" t="str">
        <f>_xlfn.LET(_xlpm.x,_xlfn.CONCAT(_xlfn.XLOOKUP(D1131,beans!$A$2:$A$300,beans!$J$2:$J$300,"")," / ",_xlfn.XLOOKUP(D1131,beans!$A$2:$A$300,beans!$K$2:$K$300,"")," - ",_xlfn.XLOOKUP(D1131,beans!$A$2:$A$300,beans!$L$2:$L$300,"")),IF(_xlpm.x=" /  - ","",_xlpm.x))</f>
        <v/>
      </c>
    </row>
    <row r="1132" spans="1:35" x14ac:dyDescent="0.3">
      <c r="A1132">
        <v>1115</v>
      </c>
      <c r="E1132" t="str">
        <f>_xlfn.LET(_xlpm.x,_xlfn.XLOOKUP(D1132,beans!$A$2:$A$300,beans!$H$2:$H$300,""),IF(_xlpm.x="","",_xlpm.x))</f>
        <v/>
      </c>
      <c r="F1132" s="22" t="str">
        <f>_xlfn.XLOOKUP(E1132,menu!$A$2:$A$37,menu!$B$2:$B$37,"")</f>
        <v/>
      </c>
      <c r="G1132" t="str">
        <f>_xlfn.XLOOKUP(E1132,menu!$A$2:$A$37,menu!$C$2:$C$37,"")</f>
        <v/>
      </c>
      <c r="H1132" t="str">
        <f>_xlfn.LET(_xlpm.x,_xlfn.XLOOKUP(_xlfn.XLOOKUP(D1132,beans!$A$2:$A$300,beans!$I$2:$I$300),menu!$E$2:$E$20,menu!$F$2:$F$20),IF(_xlpm.x="","",_xlpm.x))</f>
        <v/>
      </c>
      <c r="T1132" s="68" t="str">
        <f t="shared" si="122"/>
        <v/>
      </c>
      <c r="U1132" t="str">
        <f t="shared" si="118"/>
        <v/>
      </c>
      <c r="V1132">
        <f t="shared" si="123"/>
        <v>0</v>
      </c>
      <c r="W1132" t="str">
        <f t="shared" si="119"/>
        <v/>
      </c>
      <c r="AB1132" s="28" t="str">
        <f t="shared" si="120"/>
        <v xml:space="preserve"> </v>
      </c>
      <c r="AE1132" s="61" t="str">
        <f t="shared" si="121"/>
        <v/>
      </c>
      <c r="AF1132" s="77" t="str">
        <f>_xlfn.XLOOKUP(AD1132,menu!$K$2:$K$9,menu!$J$2:$J$9,"",1)</f>
        <v/>
      </c>
      <c r="AG1132" s="80" t="str">
        <f>_xlfn.XLOOKUP(AH1132,menu!$O$2:$O$9,menu!$H$2:$H$9,"")</f>
        <v/>
      </c>
      <c r="AI1132" t="str">
        <f>_xlfn.LET(_xlpm.x,_xlfn.CONCAT(_xlfn.XLOOKUP(D1132,beans!$A$2:$A$300,beans!$J$2:$J$300,"")," / ",_xlfn.XLOOKUP(D1132,beans!$A$2:$A$300,beans!$K$2:$K$300,"")," - ",_xlfn.XLOOKUP(D1132,beans!$A$2:$A$300,beans!$L$2:$L$300,"")),IF(_xlpm.x=" /  - ","",_xlpm.x))</f>
        <v/>
      </c>
    </row>
    <row r="1133" spans="1:35" x14ac:dyDescent="0.3">
      <c r="A1133">
        <v>1116</v>
      </c>
      <c r="E1133" t="str">
        <f>_xlfn.LET(_xlpm.x,_xlfn.XLOOKUP(D1133,beans!$A$2:$A$300,beans!$H$2:$H$300,""),IF(_xlpm.x="","",_xlpm.x))</f>
        <v/>
      </c>
      <c r="F1133" s="22" t="str">
        <f>_xlfn.XLOOKUP(E1133,menu!$A$2:$A$37,menu!$B$2:$B$37,"")</f>
        <v/>
      </c>
      <c r="G1133" t="str">
        <f>_xlfn.XLOOKUP(E1133,menu!$A$2:$A$37,menu!$C$2:$C$37,"")</f>
        <v/>
      </c>
      <c r="H1133" t="str">
        <f>_xlfn.LET(_xlpm.x,_xlfn.XLOOKUP(_xlfn.XLOOKUP(D1133,beans!$A$2:$A$300,beans!$I$2:$I$300),menu!$E$2:$E$20,menu!$F$2:$F$20),IF(_xlpm.x="","",_xlpm.x))</f>
        <v/>
      </c>
      <c r="T1133" s="68" t="str">
        <f t="shared" si="122"/>
        <v/>
      </c>
      <c r="U1133" t="str">
        <f t="shared" si="118"/>
        <v/>
      </c>
      <c r="V1133">
        <f t="shared" si="123"/>
        <v>0</v>
      </c>
      <c r="W1133" t="str">
        <f t="shared" si="119"/>
        <v/>
      </c>
      <c r="AB1133" s="28" t="str">
        <f t="shared" si="120"/>
        <v xml:space="preserve"> </v>
      </c>
      <c r="AE1133" s="61" t="str">
        <f t="shared" si="121"/>
        <v/>
      </c>
      <c r="AF1133" s="77" t="str">
        <f>_xlfn.XLOOKUP(AD1133,menu!$K$2:$K$9,menu!$J$2:$J$9,"",1)</f>
        <v/>
      </c>
      <c r="AG1133" s="80" t="str">
        <f>_xlfn.XLOOKUP(AH1133,menu!$O$2:$O$9,menu!$H$2:$H$9,"")</f>
        <v/>
      </c>
      <c r="AI1133" t="str">
        <f>_xlfn.LET(_xlpm.x,_xlfn.CONCAT(_xlfn.XLOOKUP(D1133,beans!$A$2:$A$300,beans!$J$2:$J$300,"")," / ",_xlfn.XLOOKUP(D1133,beans!$A$2:$A$300,beans!$K$2:$K$300,"")," - ",_xlfn.XLOOKUP(D1133,beans!$A$2:$A$300,beans!$L$2:$L$300,"")),IF(_xlpm.x=" /  - ","",_xlpm.x))</f>
        <v/>
      </c>
    </row>
    <row r="1134" spans="1:35" x14ac:dyDescent="0.3">
      <c r="A1134">
        <v>1117</v>
      </c>
      <c r="E1134" t="str">
        <f>_xlfn.LET(_xlpm.x,_xlfn.XLOOKUP(D1134,beans!$A$2:$A$300,beans!$H$2:$H$300,""),IF(_xlpm.x="","",_xlpm.x))</f>
        <v/>
      </c>
      <c r="F1134" s="22" t="str">
        <f>_xlfn.XLOOKUP(E1134,menu!$A$2:$A$37,menu!$B$2:$B$37,"")</f>
        <v/>
      </c>
      <c r="G1134" t="str">
        <f>_xlfn.XLOOKUP(E1134,menu!$A$2:$A$37,menu!$C$2:$C$37,"")</f>
        <v/>
      </c>
      <c r="H1134" t="str">
        <f>_xlfn.LET(_xlpm.x,_xlfn.XLOOKUP(_xlfn.XLOOKUP(D1134,beans!$A$2:$A$300,beans!$I$2:$I$300),menu!$E$2:$E$20,menu!$F$2:$F$20),IF(_xlpm.x="","",_xlpm.x))</f>
        <v/>
      </c>
      <c r="T1134" s="68" t="str">
        <f t="shared" si="122"/>
        <v/>
      </c>
      <c r="U1134" t="str">
        <f t="shared" si="118"/>
        <v/>
      </c>
      <c r="V1134">
        <f t="shared" si="123"/>
        <v>0</v>
      </c>
      <c r="W1134" t="str">
        <f t="shared" si="119"/>
        <v/>
      </c>
      <c r="AB1134" s="28" t="str">
        <f t="shared" si="120"/>
        <v xml:space="preserve"> </v>
      </c>
      <c r="AE1134" s="61" t="str">
        <f t="shared" si="121"/>
        <v/>
      </c>
      <c r="AF1134" s="77" t="str">
        <f>_xlfn.XLOOKUP(AD1134,menu!$K$2:$K$9,menu!$J$2:$J$9,"",1)</f>
        <v/>
      </c>
      <c r="AG1134" s="80" t="str">
        <f>_xlfn.XLOOKUP(AH1134,menu!$O$2:$O$9,menu!$H$2:$H$9,"")</f>
        <v/>
      </c>
      <c r="AI1134" t="str">
        <f>_xlfn.LET(_xlpm.x,_xlfn.CONCAT(_xlfn.XLOOKUP(D1134,beans!$A$2:$A$300,beans!$J$2:$J$300,"")," / ",_xlfn.XLOOKUP(D1134,beans!$A$2:$A$300,beans!$K$2:$K$300,"")," - ",_xlfn.XLOOKUP(D1134,beans!$A$2:$A$300,beans!$L$2:$L$300,"")),IF(_xlpm.x=" /  - ","",_xlpm.x))</f>
        <v/>
      </c>
    </row>
    <row r="1135" spans="1:35" x14ac:dyDescent="0.3">
      <c r="A1135">
        <v>1118</v>
      </c>
      <c r="E1135" t="str">
        <f>_xlfn.LET(_xlpm.x,_xlfn.XLOOKUP(D1135,beans!$A$2:$A$300,beans!$H$2:$H$300,""),IF(_xlpm.x="","",_xlpm.x))</f>
        <v/>
      </c>
      <c r="F1135" s="22" t="str">
        <f>_xlfn.XLOOKUP(E1135,menu!$A$2:$A$37,menu!$B$2:$B$37,"")</f>
        <v/>
      </c>
      <c r="G1135" t="str">
        <f>_xlfn.XLOOKUP(E1135,menu!$A$2:$A$37,menu!$C$2:$C$37,"")</f>
        <v/>
      </c>
      <c r="H1135" t="str">
        <f>_xlfn.LET(_xlpm.x,_xlfn.XLOOKUP(_xlfn.XLOOKUP(D1135,beans!$A$2:$A$300,beans!$I$2:$I$300),menu!$E$2:$E$20,menu!$F$2:$F$20),IF(_xlpm.x="","",_xlpm.x))</f>
        <v/>
      </c>
      <c r="T1135" s="68" t="str">
        <f t="shared" si="122"/>
        <v/>
      </c>
      <c r="U1135" t="str">
        <f t="shared" si="118"/>
        <v/>
      </c>
      <c r="V1135">
        <f t="shared" si="123"/>
        <v>0</v>
      </c>
      <c r="W1135" t="str">
        <f t="shared" si="119"/>
        <v/>
      </c>
      <c r="AB1135" s="28" t="str">
        <f t="shared" si="120"/>
        <v xml:space="preserve"> </v>
      </c>
      <c r="AE1135" s="61" t="str">
        <f t="shared" si="121"/>
        <v/>
      </c>
      <c r="AF1135" s="77" t="str">
        <f>_xlfn.XLOOKUP(AD1135,menu!$K$2:$K$9,menu!$J$2:$J$9,"",1)</f>
        <v/>
      </c>
      <c r="AG1135" s="80" t="str">
        <f>_xlfn.XLOOKUP(AH1135,menu!$O$2:$O$9,menu!$H$2:$H$9,"")</f>
        <v/>
      </c>
      <c r="AI1135" t="str">
        <f>_xlfn.LET(_xlpm.x,_xlfn.CONCAT(_xlfn.XLOOKUP(D1135,beans!$A$2:$A$300,beans!$J$2:$J$300,"")," / ",_xlfn.XLOOKUP(D1135,beans!$A$2:$A$300,beans!$K$2:$K$300,"")," - ",_xlfn.XLOOKUP(D1135,beans!$A$2:$A$300,beans!$L$2:$L$300,"")),IF(_xlpm.x=" /  - ","",_xlpm.x))</f>
        <v/>
      </c>
    </row>
    <row r="1136" spans="1:35" x14ac:dyDescent="0.3">
      <c r="A1136">
        <v>1119</v>
      </c>
      <c r="E1136" t="str">
        <f>_xlfn.LET(_xlpm.x,_xlfn.XLOOKUP(D1136,beans!$A$2:$A$300,beans!$H$2:$H$300,""),IF(_xlpm.x="","",_xlpm.x))</f>
        <v/>
      </c>
      <c r="F1136" s="22" t="str">
        <f>_xlfn.XLOOKUP(E1136,menu!$A$2:$A$37,menu!$B$2:$B$37,"")</f>
        <v/>
      </c>
      <c r="G1136" t="str">
        <f>_xlfn.XLOOKUP(E1136,menu!$A$2:$A$37,menu!$C$2:$C$37,"")</f>
        <v/>
      </c>
      <c r="H1136" t="str">
        <f>_xlfn.LET(_xlpm.x,_xlfn.XLOOKUP(_xlfn.XLOOKUP(D1136,beans!$A$2:$A$300,beans!$I$2:$I$300),menu!$E$2:$E$20,menu!$F$2:$F$20),IF(_xlpm.x="","",_xlpm.x))</f>
        <v/>
      </c>
      <c r="T1136" s="68" t="str">
        <f t="shared" si="122"/>
        <v/>
      </c>
      <c r="U1136" t="str">
        <f t="shared" si="118"/>
        <v/>
      </c>
      <c r="V1136">
        <f t="shared" si="123"/>
        <v>0</v>
      </c>
      <c r="W1136" t="str">
        <f t="shared" si="119"/>
        <v/>
      </c>
      <c r="AB1136" s="28" t="str">
        <f t="shared" si="120"/>
        <v xml:space="preserve"> </v>
      </c>
      <c r="AE1136" s="61" t="str">
        <f t="shared" si="121"/>
        <v/>
      </c>
      <c r="AF1136" s="77" t="str">
        <f>_xlfn.XLOOKUP(AD1136,menu!$K$2:$K$9,menu!$J$2:$J$9,"",1)</f>
        <v/>
      </c>
      <c r="AG1136" s="80" t="str">
        <f>_xlfn.XLOOKUP(AH1136,menu!$O$2:$O$9,menu!$H$2:$H$9,"")</f>
        <v/>
      </c>
      <c r="AI1136" t="str">
        <f>_xlfn.LET(_xlpm.x,_xlfn.CONCAT(_xlfn.XLOOKUP(D1136,beans!$A$2:$A$300,beans!$J$2:$J$300,"")," / ",_xlfn.XLOOKUP(D1136,beans!$A$2:$A$300,beans!$K$2:$K$300,"")," - ",_xlfn.XLOOKUP(D1136,beans!$A$2:$A$300,beans!$L$2:$L$300,"")),IF(_xlpm.x=" /  - ","",_xlpm.x))</f>
        <v/>
      </c>
    </row>
    <row r="1137" spans="1:35" x14ac:dyDescent="0.3">
      <c r="A1137">
        <v>1120</v>
      </c>
      <c r="E1137" t="str">
        <f>_xlfn.LET(_xlpm.x,_xlfn.XLOOKUP(D1137,beans!$A$2:$A$300,beans!$H$2:$H$300,""),IF(_xlpm.x="","",_xlpm.x))</f>
        <v/>
      </c>
      <c r="F1137" s="22" t="str">
        <f>_xlfn.XLOOKUP(E1137,menu!$A$2:$A$37,menu!$B$2:$B$37,"")</f>
        <v/>
      </c>
      <c r="G1137" t="str">
        <f>_xlfn.XLOOKUP(E1137,menu!$A$2:$A$37,menu!$C$2:$C$37,"")</f>
        <v/>
      </c>
      <c r="H1137" t="str">
        <f>_xlfn.LET(_xlpm.x,_xlfn.XLOOKUP(_xlfn.XLOOKUP(D1137,beans!$A$2:$A$300,beans!$I$2:$I$300),menu!$E$2:$E$20,menu!$F$2:$F$20),IF(_xlpm.x="","",_xlpm.x))</f>
        <v/>
      </c>
      <c r="T1137" s="68" t="str">
        <f t="shared" si="122"/>
        <v/>
      </c>
      <c r="U1137" t="str">
        <f t="shared" si="118"/>
        <v/>
      </c>
      <c r="V1137">
        <f t="shared" si="123"/>
        <v>0</v>
      </c>
      <c r="W1137" t="str">
        <f t="shared" si="119"/>
        <v/>
      </c>
      <c r="AB1137" s="28" t="str">
        <f t="shared" si="120"/>
        <v xml:space="preserve"> </v>
      </c>
      <c r="AE1137" s="61" t="str">
        <f t="shared" si="121"/>
        <v/>
      </c>
      <c r="AF1137" s="77" t="str">
        <f>_xlfn.XLOOKUP(AD1137,menu!$K$2:$K$9,menu!$J$2:$J$9,"",1)</f>
        <v/>
      </c>
      <c r="AG1137" s="80" t="str">
        <f>_xlfn.XLOOKUP(AH1137,menu!$O$2:$O$9,menu!$H$2:$H$9,"")</f>
        <v/>
      </c>
      <c r="AI1137" t="str">
        <f>_xlfn.LET(_xlpm.x,_xlfn.CONCAT(_xlfn.XLOOKUP(D1137,beans!$A$2:$A$300,beans!$J$2:$J$300,"")," / ",_xlfn.XLOOKUP(D1137,beans!$A$2:$A$300,beans!$K$2:$K$300,"")," - ",_xlfn.XLOOKUP(D1137,beans!$A$2:$A$300,beans!$L$2:$L$300,"")),IF(_xlpm.x=" /  - ","",_xlpm.x))</f>
        <v/>
      </c>
    </row>
    <row r="1138" spans="1:35" x14ac:dyDescent="0.3">
      <c r="A1138">
        <v>1121</v>
      </c>
      <c r="E1138" t="str">
        <f>_xlfn.LET(_xlpm.x,_xlfn.XLOOKUP(D1138,beans!$A$2:$A$300,beans!$H$2:$H$300,""),IF(_xlpm.x="","",_xlpm.x))</f>
        <v/>
      </c>
      <c r="F1138" s="22" t="str">
        <f>_xlfn.XLOOKUP(E1138,menu!$A$2:$A$37,menu!$B$2:$B$37,"")</f>
        <v/>
      </c>
      <c r="G1138" t="str">
        <f>_xlfn.XLOOKUP(E1138,menu!$A$2:$A$37,menu!$C$2:$C$37,"")</f>
        <v/>
      </c>
      <c r="H1138" t="str">
        <f>_xlfn.LET(_xlpm.x,_xlfn.XLOOKUP(_xlfn.XLOOKUP(D1138,beans!$A$2:$A$300,beans!$I$2:$I$300),menu!$E$2:$E$20,menu!$F$2:$F$20),IF(_xlpm.x="","",_xlpm.x))</f>
        <v/>
      </c>
      <c r="T1138" s="68" t="str">
        <f t="shared" si="122"/>
        <v/>
      </c>
      <c r="U1138" t="str">
        <f t="shared" si="118"/>
        <v/>
      </c>
      <c r="V1138">
        <f t="shared" si="123"/>
        <v>0</v>
      </c>
      <c r="W1138" t="str">
        <f t="shared" si="119"/>
        <v/>
      </c>
      <c r="AB1138" s="28" t="str">
        <f t="shared" si="120"/>
        <v xml:space="preserve"> </v>
      </c>
      <c r="AE1138" s="61" t="str">
        <f t="shared" si="121"/>
        <v/>
      </c>
      <c r="AF1138" s="77" t="str">
        <f>_xlfn.XLOOKUP(AD1138,menu!$K$2:$K$9,menu!$J$2:$J$9,"",1)</f>
        <v/>
      </c>
      <c r="AG1138" s="80" t="str">
        <f>_xlfn.XLOOKUP(AH1138,menu!$O$2:$O$9,menu!$H$2:$H$9,"")</f>
        <v/>
      </c>
      <c r="AI1138" t="str">
        <f>_xlfn.LET(_xlpm.x,_xlfn.CONCAT(_xlfn.XLOOKUP(D1138,beans!$A$2:$A$300,beans!$J$2:$J$300,"")," / ",_xlfn.XLOOKUP(D1138,beans!$A$2:$A$300,beans!$K$2:$K$300,"")," - ",_xlfn.XLOOKUP(D1138,beans!$A$2:$A$300,beans!$L$2:$L$300,"")),IF(_xlpm.x=" /  - ","",_xlpm.x))</f>
        <v/>
      </c>
    </row>
    <row r="1139" spans="1:35" x14ac:dyDescent="0.3">
      <c r="A1139">
        <v>1122</v>
      </c>
      <c r="E1139" t="str">
        <f>_xlfn.LET(_xlpm.x,_xlfn.XLOOKUP(D1139,beans!$A$2:$A$300,beans!$H$2:$H$300,""),IF(_xlpm.x="","",_xlpm.x))</f>
        <v/>
      </c>
      <c r="F1139" s="22" t="str">
        <f>_xlfn.XLOOKUP(E1139,menu!$A$2:$A$37,menu!$B$2:$B$37,"")</f>
        <v/>
      </c>
      <c r="G1139" t="str">
        <f>_xlfn.XLOOKUP(E1139,menu!$A$2:$A$37,menu!$C$2:$C$37,"")</f>
        <v/>
      </c>
      <c r="H1139" t="str">
        <f>_xlfn.LET(_xlpm.x,_xlfn.XLOOKUP(_xlfn.XLOOKUP(D1139,beans!$A$2:$A$300,beans!$I$2:$I$300),menu!$E$2:$E$20,menu!$F$2:$F$20),IF(_xlpm.x="","",_xlpm.x))</f>
        <v/>
      </c>
      <c r="T1139" s="68" t="str">
        <f t="shared" si="122"/>
        <v/>
      </c>
      <c r="U1139" t="str">
        <f t="shared" si="118"/>
        <v/>
      </c>
      <c r="V1139">
        <f t="shared" si="123"/>
        <v>0</v>
      </c>
      <c r="W1139" t="str">
        <f t="shared" si="119"/>
        <v/>
      </c>
      <c r="AB1139" s="28" t="str">
        <f t="shared" si="120"/>
        <v xml:space="preserve"> </v>
      </c>
      <c r="AE1139" s="61" t="str">
        <f t="shared" si="121"/>
        <v/>
      </c>
      <c r="AF1139" s="77" t="str">
        <f>_xlfn.XLOOKUP(AD1139,menu!$K$2:$K$9,menu!$J$2:$J$9,"",1)</f>
        <v/>
      </c>
      <c r="AG1139" s="80" t="str">
        <f>_xlfn.XLOOKUP(AH1139,menu!$O$2:$O$9,menu!$H$2:$H$9,"")</f>
        <v/>
      </c>
      <c r="AI1139" t="str">
        <f>_xlfn.LET(_xlpm.x,_xlfn.CONCAT(_xlfn.XLOOKUP(D1139,beans!$A$2:$A$300,beans!$J$2:$J$300,"")," / ",_xlfn.XLOOKUP(D1139,beans!$A$2:$A$300,beans!$K$2:$K$300,"")," - ",_xlfn.XLOOKUP(D1139,beans!$A$2:$A$300,beans!$L$2:$L$300,"")),IF(_xlpm.x=" /  - ","",_xlpm.x))</f>
        <v/>
      </c>
    </row>
    <row r="1140" spans="1:35" x14ac:dyDescent="0.3">
      <c r="A1140">
        <v>1123</v>
      </c>
      <c r="E1140" t="str">
        <f>_xlfn.LET(_xlpm.x,_xlfn.XLOOKUP(D1140,beans!$A$2:$A$300,beans!$H$2:$H$300,""),IF(_xlpm.x="","",_xlpm.x))</f>
        <v/>
      </c>
      <c r="F1140" s="22" t="str">
        <f>_xlfn.XLOOKUP(E1140,menu!$A$2:$A$37,menu!$B$2:$B$37,"")</f>
        <v/>
      </c>
      <c r="G1140" t="str">
        <f>_xlfn.XLOOKUP(E1140,menu!$A$2:$A$37,menu!$C$2:$C$37,"")</f>
        <v/>
      </c>
      <c r="H1140" t="str">
        <f>_xlfn.LET(_xlpm.x,_xlfn.XLOOKUP(_xlfn.XLOOKUP(D1140,beans!$A$2:$A$300,beans!$I$2:$I$300),menu!$E$2:$E$20,menu!$F$2:$F$20),IF(_xlpm.x="","",_xlpm.x))</f>
        <v/>
      </c>
      <c r="T1140" s="68" t="str">
        <f t="shared" si="122"/>
        <v/>
      </c>
      <c r="U1140" t="str">
        <f t="shared" si="118"/>
        <v/>
      </c>
      <c r="V1140">
        <f t="shared" si="123"/>
        <v>0</v>
      </c>
      <c r="W1140" t="str">
        <f t="shared" si="119"/>
        <v/>
      </c>
      <c r="AB1140" s="28" t="str">
        <f t="shared" si="120"/>
        <v xml:space="preserve"> </v>
      </c>
      <c r="AE1140" s="61" t="str">
        <f t="shared" si="121"/>
        <v/>
      </c>
      <c r="AF1140" s="77" t="str">
        <f>_xlfn.XLOOKUP(AD1140,menu!$K$2:$K$9,menu!$J$2:$J$9,"",1)</f>
        <v/>
      </c>
      <c r="AG1140" s="80" t="str">
        <f>_xlfn.XLOOKUP(AH1140,menu!$O$2:$O$9,menu!$H$2:$H$9,"")</f>
        <v/>
      </c>
      <c r="AI1140" t="str">
        <f>_xlfn.LET(_xlpm.x,_xlfn.CONCAT(_xlfn.XLOOKUP(D1140,beans!$A$2:$A$300,beans!$J$2:$J$300,"")," / ",_xlfn.XLOOKUP(D1140,beans!$A$2:$A$300,beans!$K$2:$K$300,"")," - ",_xlfn.XLOOKUP(D1140,beans!$A$2:$A$300,beans!$L$2:$L$300,"")),IF(_xlpm.x=" /  - ","",_xlpm.x))</f>
        <v/>
      </c>
    </row>
    <row r="1141" spans="1:35" x14ac:dyDescent="0.3">
      <c r="A1141">
        <v>1124</v>
      </c>
      <c r="E1141" t="str">
        <f>_xlfn.LET(_xlpm.x,_xlfn.XLOOKUP(D1141,beans!$A$2:$A$300,beans!$H$2:$H$300,""),IF(_xlpm.x="","",_xlpm.x))</f>
        <v/>
      </c>
      <c r="F1141" s="22" t="str">
        <f>_xlfn.XLOOKUP(E1141,menu!$A$2:$A$37,menu!$B$2:$B$37,"")</f>
        <v/>
      </c>
      <c r="G1141" t="str">
        <f>_xlfn.XLOOKUP(E1141,menu!$A$2:$A$37,menu!$C$2:$C$37,"")</f>
        <v/>
      </c>
      <c r="H1141" t="str">
        <f>_xlfn.LET(_xlpm.x,_xlfn.XLOOKUP(_xlfn.XLOOKUP(D1141,beans!$A$2:$A$300,beans!$I$2:$I$300),menu!$E$2:$E$20,menu!$F$2:$F$20),IF(_xlpm.x="","",_xlpm.x))</f>
        <v/>
      </c>
      <c r="T1141" s="68" t="str">
        <f t="shared" si="122"/>
        <v/>
      </c>
      <c r="U1141" t="str">
        <f t="shared" si="118"/>
        <v/>
      </c>
      <c r="V1141">
        <f t="shared" si="123"/>
        <v>0</v>
      </c>
      <c r="W1141" t="str">
        <f t="shared" si="119"/>
        <v/>
      </c>
      <c r="AB1141" s="28" t="str">
        <f t="shared" si="120"/>
        <v xml:space="preserve"> </v>
      </c>
      <c r="AE1141" s="61" t="str">
        <f t="shared" si="121"/>
        <v/>
      </c>
      <c r="AF1141" s="77" t="str">
        <f>_xlfn.XLOOKUP(AD1141,menu!$K$2:$K$9,menu!$J$2:$J$9,"",1)</f>
        <v/>
      </c>
      <c r="AG1141" s="80" t="str">
        <f>_xlfn.XLOOKUP(AH1141,menu!$O$2:$O$9,menu!$H$2:$H$9,"")</f>
        <v/>
      </c>
      <c r="AI1141" t="str">
        <f>_xlfn.LET(_xlpm.x,_xlfn.CONCAT(_xlfn.XLOOKUP(D1141,beans!$A$2:$A$300,beans!$J$2:$J$300,"")," / ",_xlfn.XLOOKUP(D1141,beans!$A$2:$A$300,beans!$K$2:$K$300,"")," - ",_xlfn.XLOOKUP(D1141,beans!$A$2:$A$300,beans!$L$2:$L$300,"")),IF(_xlpm.x=" /  - ","",_xlpm.x))</f>
        <v/>
      </c>
    </row>
    <row r="1142" spans="1:35" x14ac:dyDescent="0.3">
      <c r="A1142">
        <v>1125</v>
      </c>
      <c r="E1142" t="str">
        <f>_xlfn.LET(_xlpm.x,_xlfn.XLOOKUP(D1142,beans!$A$2:$A$300,beans!$H$2:$H$300,""),IF(_xlpm.x="","",_xlpm.x))</f>
        <v/>
      </c>
      <c r="F1142" s="22" t="str">
        <f>_xlfn.XLOOKUP(E1142,menu!$A$2:$A$37,menu!$B$2:$B$37,"")</f>
        <v/>
      </c>
      <c r="G1142" t="str">
        <f>_xlfn.XLOOKUP(E1142,menu!$A$2:$A$37,menu!$C$2:$C$37,"")</f>
        <v/>
      </c>
      <c r="H1142" t="str">
        <f>_xlfn.LET(_xlpm.x,_xlfn.XLOOKUP(_xlfn.XLOOKUP(D1142,beans!$A$2:$A$300,beans!$I$2:$I$300),menu!$E$2:$E$20,menu!$F$2:$F$20),IF(_xlpm.x="","",_xlpm.x))</f>
        <v/>
      </c>
      <c r="T1142" s="68" t="str">
        <f t="shared" si="122"/>
        <v/>
      </c>
      <c r="U1142" t="str">
        <f t="shared" si="118"/>
        <v/>
      </c>
      <c r="V1142">
        <f t="shared" si="123"/>
        <v>0</v>
      </c>
      <c r="W1142" t="str">
        <f t="shared" si="119"/>
        <v/>
      </c>
      <c r="AB1142" s="28" t="str">
        <f t="shared" si="120"/>
        <v xml:space="preserve"> </v>
      </c>
      <c r="AE1142" s="61" t="str">
        <f t="shared" si="121"/>
        <v/>
      </c>
      <c r="AF1142" s="77" t="str">
        <f>_xlfn.XLOOKUP(AD1142,menu!$K$2:$K$9,menu!$J$2:$J$9,"",1)</f>
        <v/>
      </c>
      <c r="AG1142" s="80" t="str">
        <f>_xlfn.XLOOKUP(AH1142,menu!$O$2:$O$9,menu!$H$2:$H$9,"")</f>
        <v/>
      </c>
      <c r="AI1142" t="str">
        <f>_xlfn.LET(_xlpm.x,_xlfn.CONCAT(_xlfn.XLOOKUP(D1142,beans!$A$2:$A$300,beans!$J$2:$J$300,"")," / ",_xlfn.XLOOKUP(D1142,beans!$A$2:$A$300,beans!$K$2:$K$300,"")," - ",_xlfn.XLOOKUP(D1142,beans!$A$2:$A$300,beans!$L$2:$L$300,"")),IF(_xlpm.x=" /  - ","",_xlpm.x))</f>
        <v/>
      </c>
    </row>
    <row r="1143" spans="1:35" x14ac:dyDescent="0.3">
      <c r="A1143">
        <v>1126</v>
      </c>
      <c r="E1143" t="str">
        <f>_xlfn.LET(_xlpm.x,_xlfn.XLOOKUP(D1143,beans!$A$2:$A$300,beans!$H$2:$H$300,""),IF(_xlpm.x="","",_xlpm.x))</f>
        <v/>
      </c>
      <c r="F1143" s="22" t="str">
        <f>_xlfn.XLOOKUP(E1143,menu!$A$2:$A$37,menu!$B$2:$B$37,"")</f>
        <v/>
      </c>
      <c r="G1143" t="str">
        <f>_xlfn.XLOOKUP(E1143,menu!$A$2:$A$37,menu!$C$2:$C$37,"")</f>
        <v/>
      </c>
      <c r="H1143" t="str">
        <f>_xlfn.LET(_xlpm.x,_xlfn.XLOOKUP(_xlfn.XLOOKUP(D1143,beans!$A$2:$A$300,beans!$I$2:$I$300),menu!$E$2:$E$20,menu!$F$2:$F$20),IF(_xlpm.x="","",_xlpm.x))</f>
        <v/>
      </c>
      <c r="T1143" s="68" t="str">
        <f t="shared" si="122"/>
        <v/>
      </c>
      <c r="U1143" t="str">
        <f t="shared" si="118"/>
        <v/>
      </c>
      <c r="V1143">
        <f t="shared" si="123"/>
        <v>0</v>
      </c>
      <c r="W1143" t="str">
        <f t="shared" si="119"/>
        <v/>
      </c>
      <c r="AB1143" s="28" t="str">
        <f t="shared" si="120"/>
        <v xml:space="preserve"> </v>
      </c>
      <c r="AE1143" s="61" t="str">
        <f t="shared" si="121"/>
        <v/>
      </c>
      <c r="AF1143" s="77" t="str">
        <f>_xlfn.XLOOKUP(AD1143,menu!$K$2:$K$9,menu!$J$2:$J$9,"",1)</f>
        <v/>
      </c>
      <c r="AG1143" s="80" t="str">
        <f>_xlfn.XLOOKUP(AH1143,menu!$O$2:$O$9,menu!$H$2:$H$9,"")</f>
        <v/>
      </c>
      <c r="AI1143" t="str">
        <f>_xlfn.LET(_xlpm.x,_xlfn.CONCAT(_xlfn.XLOOKUP(D1143,beans!$A$2:$A$300,beans!$J$2:$J$300,"")," / ",_xlfn.XLOOKUP(D1143,beans!$A$2:$A$300,beans!$K$2:$K$300,"")," - ",_xlfn.XLOOKUP(D1143,beans!$A$2:$A$300,beans!$L$2:$L$300,"")),IF(_xlpm.x=" /  - ","",_xlpm.x))</f>
        <v/>
      </c>
    </row>
    <row r="1144" spans="1:35" x14ac:dyDescent="0.3">
      <c r="A1144">
        <v>1127</v>
      </c>
      <c r="E1144" t="str">
        <f>_xlfn.LET(_xlpm.x,_xlfn.XLOOKUP(D1144,beans!$A$2:$A$300,beans!$H$2:$H$300,""),IF(_xlpm.x="","",_xlpm.x))</f>
        <v/>
      </c>
      <c r="F1144" s="22" t="str">
        <f>_xlfn.XLOOKUP(E1144,menu!$A$2:$A$37,menu!$B$2:$B$37,"")</f>
        <v/>
      </c>
      <c r="G1144" t="str">
        <f>_xlfn.XLOOKUP(E1144,menu!$A$2:$A$37,menu!$C$2:$C$37,"")</f>
        <v/>
      </c>
      <c r="H1144" t="str">
        <f>_xlfn.LET(_xlpm.x,_xlfn.XLOOKUP(_xlfn.XLOOKUP(D1144,beans!$A$2:$A$300,beans!$I$2:$I$300),menu!$E$2:$E$20,menu!$F$2:$F$20),IF(_xlpm.x="","",_xlpm.x))</f>
        <v/>
      </c>
      <c r="T1144" s="68" t="str">
        <f t="shared" si="122"/>
        <v/>
      </c>
      <c r="U1144" t="str">
        <f t="shared" si="118"/>
        <v/>
      </c>
      <c r="V1144">
        <f t="shared" si="123"/>
        <v>0</v>
      </c>
      <c r="W1144" t="str">
        <f t="shared" si="119"/>
        <v/>
      </c>
      <c r="AB1144" s="28" t="str">
        <f t="shared" si="120"/>
        <v xml:space="preserve"> </v>
      </c>
      <c r="AE1144" s="61" t="str">
        <f t="shared" si="121"/>
        <v/>
      </c>
      <c r="AF1144" s="77" t="str">
        <f>_xlfn.XLOOKUP(AD1144,menu!$K$2:$K$9,menu!$J$2:$J$9,"",1)</f>
        <v/>
      </c>
      <c r="AG1144" s="80" t="str">
        <f>_xlfn.XLOOKUP(AH1144,menu!$O$2:$O$9,menu!$H$2:$H$9,"")</f>
        <v/>
      </c>
      <c r="AI1144" t="str">
        <f>_xlfn.LET(_xlpm.x,_xlfn.CONCAT(_xlfn.XLOOKUP(D1144,beans!$A$2:$A$300,beans!$J$2:$J$300,"")," / ",_xlfn.XLOOKUP(D1144,beans!$A$2:$A$300,beans!$K$2:$K$300,"")," - ",_xlfn.XLOOKUP(D1144,beans!$A$2:$A$300,beans!$L$2:$L$300,"")),IF(_xlpm.x=" /  - ","",_xlpm.x))</f>
        <v/>
      </c>
    </row>
    <row r="1145" spans="1:35" x14ac:dyDescent="0.3">
      <c r="A1145">
        <v>1128</v>
      </c>
      <c r="E1145" t="str">
        <f>_xlfn.LET(_xlpm.x,_xlfn.XLOOKUP(D1145,beans!$A$2:$A$300,beans!$H$2:$H$300,""),IF(_xlpm.x="","",_xlpm.x))</f>
        <v/>
      </c>
      <c r="F1145" s="22" t="str">
        <f>_xlfn.XLOOKUP(E1145,menu!$A$2:$A$37,menu!$B$2:$B$37,"")</f>
        <v/>
      </c>
      <c r="G1145" t="str">
        <f>_xlfn.XLOOKUP(E1145,menu!$A$2:$A$37,menu!$C$2:$C$37,"")</f>
        <v/>
      </c>
      <c r="H1145" t="str">
        <f>_xlfn.LET(_xlpm.x,_xlfn.XLOOKUP(_xlfn.XLOOKUP(D1145,beans!$A$2:$A$300,beans!$I$2:$I$300),menu!$E$2:$E$20,menu!$F$2:$F$20),IF(_xlpm.x="","",_xlpm.x))</f>
        <v/>
      </c>
      <c r="T1145" s="68" t="str">
        <f t="shared" si="122"/>
        <v/>
      </c>
      <c r="U1145" t="str">
        <f t="shared" si="118"/>
        <v/>
      </c>
      <c r="V1145">
        <f t="shared" si="123"/>
        <v>0</v>
      </c>
      <c r="W1145" t="str">
        <f t="shared" si="119"/>
        <v/>
      </c>
      <c r="AB1145" s="28" t="str">
        <f t="shared" si="120"/>
        <v xml:space="preserve"> </v>
      </c>
      <c r="AE1145" s="61" t="str">
        <f t="shared" si="121"/>
        <v/>
      </c>
      <c r="AF1145" s="77" t="str">
        <f>_xlfn.XLOOKUP(AD1145,menu!$K$2:$K$9,menu!$J$2:$J$9,"",1)</f>
        <v/>
      </c>
      <c r="AG1145" s="80" t="str">
        <f>_xlfn.XLOOKUP(AH1145,menu!$O$2:$O$9,menu!$H$2:$H$9,"")</f>
        <v/>
      </c>
      <c r="AI1145" t="str">
        <f>_xlfn.LET(_xlpm.x,_xlfn.CONCAT(_xlfn.XLOOKUP(D1145,beans!$A$2:$A$300,beans!$J$2:$J$300,"")," / ",_xlfn.XLOOKUP(D1145,beans!$A$2:$A$300,beans!$K$2:$K$300,"")," - ",_xlfn.XLOOKUP(D1145,beans!$A$2:$A$300,beans!$L$2:$L$300,"")),IF(_xlpm.x=" /  - ","",_xlpm.x))</f>
        <v/>
      </c>
    </row>
    <row r="1146" spans="1:35" x14ac:dyDescent="0.3">
      <c r="A1146">
        <v>1129</v>
      </c>
      <c r="E1146" t="str">
        <f>_xlfn.LET(_xlpm.x,_xlfn.XLOOKUP(D1146,beans!$A$2:$A$300,beans!$H$2:$H$300,""),IF(_xlpm.x="","",_xlpm.x))</f>
        <v/>
      </c>
      <c r="F1146" s="22" t="str">
        <f>_xlfn.XLOOKUP(E1146,menu!$A$2:$A$37,menu!$B$2:$B$37,"")</f>
        <v/>
      </c>
      <c r="G1146" t="str">
        <f>_xlfn.XLOOKUP(E1146,menu!$A$2:$A$37,menu!$C$2:$C$37,"")</f>
        <v/>
      </c>
      <c r="H1146" t="str">
        <f>_xlfn.LET(_xlpm.x,_xlfn.XLOOKUP(_xlfn.XLOOKUP(D1146,beans!$A$2:$A$300,beans!$I$2:$I$300),menu!$E$2:$E$20,menu!$F$2:$F$20),IF(_xlpm.x="","",_xlpm.x))</f>
        <v/>
      </c>
      <c r="T1146" s="68" t="str">
        <f t="shared" si="122"/>
        <v/>
      </c>
      <c r="U1146" t="str">
        <f t="shared" si="118"/>
        <v/>
      </c>
      <c r="V1146">
        <f t="shared" si="123"/>
        <v>0</v>
      </c>
      <c r="W1146" t="str">
        <f t="shared" si="119"/>
        <v/>
      </c>
      <c r="AB1146" s="28" t="str">
        <f t="shared" si="120"/>
        <v xml:space="preserve"> </v>
      </c>
      <c r="AE1146" s="61" t="str">
        <f t="shared" si="121"/>
        <v/>
      </c>
      <c r="AF1146" s="77" t="str">
        <f>_xlfn.XLOOKUP(AD1146,menu!$K$2:$K$9,menu!$J$2:$J$9,"",1)</f>
        <v/>
      </c>
      <c r="AG1146" s="80" t="str">
        <f>_xlfn.XLOOKUP(AH1146,menu!$O$2:$O$9,menu!$H$2:$H$9,"")</f>
        <v/>
      </c>
      <c r="AI1146" t="str">
        <f>_xlfn.LET(_xlpm.x,_xlfn.CONCAT(_xlfn.XLOOKUP(D1146,beans!$A$2:$A$300,beans!$J$2:$J$300,"")," / ",_xlfn.XLOOKUP(D1146,beans!$A$2:$A$300,beans!$K$2:$K$300,"")," - ",_xlfn.XLOOKUP(D1146,beans!$A$2:$A$300,beans!$L$2:$L$300,"")),IF(_xlpm.x=" /  - ","",_xlpm.x))</f>
        <v/>
      </c>
    </row>
    <row r="1147" spans="1:35" x14ac:dyDescent="0.3">
      <c r="A1147">
        <v>1130</v>
      </c>
      <c r="E1147" t="str">
        <f>_xlfn.LET(_xlpm.x,_xlfn.XLOOKUP(D1147,beans!$A$2:$A$300,beans!$H$2:$H$300,""),IF(_xlpm.x="","",_xlpm.x))</f>
        <v/>
      </c>
      <c r="F1147" s="22" t="str">
        <f>_xlfn.XLOOKUP(E1147,menu!$A$2:$A$37,menu!$B$2:$B$37,"")</f>
        <v/>
      </c>
      <c r="G1147" t="str">
        <f>_xlfn.XLOOKUP(E1147,menu!$A$2:$A$37,menu!$C$2:$C$37,"")</f>
        <v/>
      </c>
      <c r="H1147" t="str">
        <f>_xlfn.LET(_xlpm.x,_xlfn.XLOOKUP(_xlfn.XLOOKUP(D1147,beans!$A$2:$A$300,beans!$I$2:$I$300),menu!$E$2:$E$20,menu!$F$2:$F$20),IF(_xlpm.x="","",_xlpm.x))</f>
        <v/>
      </c>
      <c r="T1147" s="68" t="str">
        <f t="shared" si="122"/>
        <v/>
      </c>
      <c r="U1147" t="str">
        <f t="shared" si="118"/>
        <v/>
      </c>
      <c r="V1147">
        <f t="shared" si="123"/>
        <v>0</v>
      </c>
      <c r="W1147" t="str">
        <f t="shared" si="119"/>
        <v/>
      </c>
      <c r="AB1147" s="28" t="str">
        <f t="shared" si="120"/>
        <v xml:space="preserve"> </v>
      </c>
      <c r="AE1147" s="61" t="str">
        <f t="shared" si="121"/>
        <v/>
      </c>
      <c r="AF1147" s="77" t="str">
        <f>_xlfn.XLOOKUP(AD1147,menu!$K$2:$K$9,menu!$J$2:$J$9,"",1)</f>
        <v/>
      </c>
      <c r="AG1147" s="80" t="str">
        <f>_xlfn.XLOOKUP(AH1147,menu!$O$2:$O$9,menu!$H$2:$H$9,"")</f>
        <v/>
      </c>
      <c r="AI1147" t="str">
        <f>_xlfn.LET(_xlpm.x,_xlfn.CONCAT(_xlfn.XLOOKUP(D1147,beans!$A$2:$A$300,beans!$J$2:$J$300,"")," / ",_xlfn.XLOOKUP(D1147,beans!$A$2:$A$300,beans!$K$2:$K$300,"")," - ",_xlfn.XLOOKUP(D1147,beans!$A$2:$A$300,beans!$L$2:$L$300,"")),IF(_xlpm.x=" /  - ","",_xlpm.x))</f>
        <v/>
      </c>
    </row>
    <row r="1148" spans="1:35" x14ac:dyDescent="0.3">
      <c r="A1148">
        <v>1131</v>
      </c>
      <c r="E1148" t="str">
        <f>_xlfn.LET(_xlpm.x,_xlfn.XLOOKUP(D1148,beans!$A$2:$A$300,beans!$H$2:$H$300,""),IF(_xlpm.x="","",_xlpm.x))</f>
        <v/>
      </c>
      <c r="F1148" s="22" t="str">
        <f>_xlfn.XLOOKUP(E1148,menu!$A$2:$A$37,menu!$B$2:$B$37,"")</f>
        <v/>
      </c>
      <c r="G1148" t="str">
        <f>_xlfn.XLOOKUP(E1148,menu!$A$2:$A$37,menu!$C$2:$C$37,"")</f>
        <v/>
      </c>
      <c r="H1148" t="str">
        <f>_xlfn.LET(_xlpm.x,_xlfn.XLOOKUP(_xlfn.XLOOKUP(D1148,beans!$A$2:$A$300,beans!$I$2:$I$300),menu!$E$2:$E$20,menu!$F$2:$F$20),IF(_xlpm.x="","",_xlpm.x))</f>
        <v/>
      </c>
      <c r="T1148" s="68" t="str">
        <f t="shared" si="122"/>
        <v/>
      </c>
      <c r="U1148" t="str">
        <f t="shared" si="118"/>
        <v/>
      </c>
      <c r="V1148">
        <f t="shared" si="123"/>
        <v>0</v>
      </c>
      <c r="W1148" t="str">
        <f t="shared" si="119"/>
        <v/>
      </c>
      <c r="AB1148" s="28" t="str">
        <f t="shared" si="120"/>
        <v xml:space="preserve"> </v>
      </c>
      <c r="AE1148" s="61" t="str">
        <f t="shared" si="121"/>
        <v/>
      </c>
      <c r="AF1148" s="77" t="str">
        <f>_xlfn.XLOOKUP(AD1148,menu!$K$2:$K$9,menu!$J$2:$J$9,"",1)</f>
        <v/>
      </c>
      <c r="AG1148" s="80" t="str">
        <f>_xlfn.XLOOKUP(AH1148,menu!$O$2:$O$9,menu!$H$2:$H$9,"")</f>
        <v/>
      </c>
      <c r="AI1148" t="str">
        <f>_xlfn.LET(_xlpm.x,_xlfn.CONCAT(_xlfn.XLOOKUP(D1148,beans!$A$2:$A$300,beans!$J$2:$J$300,"")," / ",_xlfn.XLOOKUP(D1148,beans!$A$2:$A$300,beans!$K$2:$K$300,"")," - ",_xlfn.XLOOKUP(D1148,beans!$A$2:$A$300,beans!$L$2:$L$300,"")),IF(_xlpm.x=" /  - ","",_xlpm.x))</f>
        <v/>
      </c>
    </row>
    <row r="1149" spans="1:35" x14ac:dyDescent="0.3">
      <c r="A1149">
        <v>1132</v>
      </c>
      <c r="E1149" t="str">
        <f>_xlfn.LET(_xlpm.x,_xlfn.XLOOKUP(D1149,beans!$A$2:$A$300,beans!$H$2:$H$300,""),IF(_xlpm.x="","",_xlpm.x))</f>
        <v/>
      </c>
      <c r="F1149" s="22" t="str">
        <f>_xlfn.XLOOKUP(E1149,menu!$A$2:$A$37,menu!$B$2:$B$37,"")</f>
        <v/>
      </c>
      <c r="G1149" t="str">
        <f>_xlfn.XLOOKUP(E1149,menu!$A$2:$A$37,menu!$C$2:$C$37,"")</f>
        <v/>
      </c>
      <c r="H1149" t="str">
        <f>_xlfn.LET(_xlpm.x,_xlfn.XLOOKUP(_xlfn.XLOOKUP(D1149,beans!$A$2:$A$300,beans!$I$2:$I$300),menu!$E$2:$E$20,menu!$F$2:$F$20),IF(_xlpm.x="","",_xlpm.x))</f>
        <v/>
      </c>
      <c r="T1149" s="68" t="str">
        <f t="shared" si="122"/>
        <v/>
      </c>
      <c r="U1149" t="str">
        <f t="shared" si="118"/>
        <v/>
      </c>
      <c r="V1149">
        <f t="shared" si="123"/>
        <v>0</v>
      </c>
      <c r="W1149" t="str">
        <f t="shared" si="119"/>
        <v/>
      </c>
      <c r="AB1149" s="28" t="str">
        <f t="shared" si="120"/>
        <v xml:space="preserve"> </v>
      </c>
      <c r="AE1149" s="61" t="str">
        <f t="shared" si="121"/>
        <v/>
      </c>
      <c r="AF1149" s="77" t="str">
        <f>_xlfn.XLOOKUP(AD1149,menu!$K$2:$K$9,menu!$J$2:$J$9,"",1)</f>
        <v/>
      </c>
      <c r="AG1149" s="80" t="str">
        <f>_xlfn.XLOOKUP(AH1149,menu!$O$2:$O$9,menu!$H$2:$H$9,"")</f>
        <v/>
      </c>
      <c r="AI1149" t="str">
        <f>_xlfn.LET(_xlpm.x,_xlfn.CONCAT(_xlfn.XLOOKUP(D1149,beans!$A$2:$A$300,beans!$J$2:$J$300,"")," / ",_xlfn.XLOOKUP(D1149,beans!$A$2:$A$300,beans!$K$2:$K$300,"")," - ",_xlfn.XLOOKUP(D1149,beans!$A$2:$A$300,beans!$L$2:$L$300,"")),IF(_xlpm.x=" /  - ","",_xlpm.x))</f>
        <v/>
      </c>
    </row>
    <row r="1150" spans="1:35" x14ac:dyDescent="0.3">
      <c r="A1150">
        <v>1133</v>
      </c>
      <c r="E1150" t="str">
        <f>_xlfn.LET(_xlpm.x,_xlfn.XLOOKUP(D1150,beans!$A$2:$A$300,beans!$H$2:$H$300,""),IF(_xlpm.x="","",_xlpm.x))</f>
        <v/>
      </c>
      <c r="F1150" s="22" t="str">
        <f>_xlfn.XLOOKUP(E1150,menu!$A$2:$A$37,menu!$B$2:$B$37,"")</f>
        <v/>
      </c>
      <c r="G1150" t="str">
        <f>_xlfn.XLOOKUP(E1150,menu!$A$2:$A$37,menu!$C$2:$C$37,"")</f>
        <v/>
      </c>
      <c r="H1150" t="str">
        <f>_xlfn.LET(_xlpm.x,_xlfn.XLOOKUP(_xlfn.XLOOKUP(D1150,beans!$A$2:$A$300,beans!$I$2:$I$300),menu!$E$2:$E$20,menu!$F$2:$F$20),IF(_xlpm.x="","",_xlpm.x))</f>
        <v/>
      </c>
      <c r="T1150" s="68" t="str">
        <f t="shared" si="122"/>
        <v/>
      </c>
      <c r="U1150" t="str">
        <f t="shared" si="118"/>
        <v/>
      </c>
      <c r="V1150">
        <f t="shared" si="123"/>
        <v>0</v>
      </c>
      <c r="W1150" t="str">
        <f t="shared" si="119"/>
        <v/>
      </c>
      <c r="AB1150" s="28" t="str">
        <f t="shared" si="120"/>
        <v xml:space="preserve"> </v>
      </c>
      <c r="AE1150" s="61" t="str">
        <f t="shared" si="121"/>
        <v/>
      </c>
      <c r="AF1150" s="77" t="str">
        <f>_xlfn.XLOOKUP(AD1150,menu!$K$2:$K$9,menu!$J$2:$J$9,"",1)</f>
        <v/>
      </c>
      <c r="AG1150" s="80" t="str">
        <f>_xlfn.XLOOKUP(AH1150,menu!$O$2:$O$9,menu!$H$2:$H$9,"")</f>
        <v/>
      </c>
      <c r="AI1150" t="str">
        <f>_xlfn.LET(_xlpm.x,_xlfn.CONCAT(_xlfn.XLOOKUP(D1150,beans!$A$2:$A$300,beans!$J$2:$J$300,"")," / ",_xlfn.XLOOKUP(D1150,beans!$A$2:$A$300,beans!$K$2:$K$300,"")," - ",_xlfn.XLOOKUP(D1150,beans!$A$2:$A$300,beans!$L$2:$L$300,"")),IF(_xlpm.x=" /  - ","",_xlpm.x))</f>
        <v/>
      </c>
    </row>
    <row r="1151" spans="1:35" x14ac:dyDescent="0.3">
      <c r="A1151">
        <v>1134</v>
      </c>
      <c r="E1151" t="str">
        <f>_xlfn.LET(_xlpm.x,_xlfn.XLOOKUP(D1151,beans!$A$2:$A$300,beans!$H$2:$H$300,""),IF(_xlpm.x="","",_xlpm.x))</f>
        <v/>
      </c>
      <c r="F1151" s="22" t="str">
        <f>_xlfn.XLOOKUP(E1151,menu!$A$2:$A$37,menu!$B$2:$B$37,"")</f>
        <v/>
      </c>
      <c r="G1151" t="str">
        <f>_xlfn.XLOOKUP(E1151,menu!$A$2:$A$37,menu!$C$2:$C$37,"")</f>
        <v/>
      </c>
      <c r="H1151" t="str">
        <f>_xlfn.LET(_xlpm.x,_xlfn.XLOOKUP(_xlfn.XLOOKUP(D1151,beans!$A$2:$A$300,beans!$I$2:$I$300),menu!$E$2:$E$20,menu!$F$2:$F$20),IF(_xlpm.x="","",_xlpm.x))</f>
        <v/>
      </c>
      <c r="T1151" s="68" t="str">
        <f t="shared" si="122"/>
        <v/>
      </c>
      <c r="U1151" t="str">
        <f t="shared" si="118"/>
        <v/>
      </c>
      <c r="V1151">
        <f t="shared" si="123"/>
        <v>0</v>
      </c>
      <c r="W1151" t="str">
        <f t="shared" si="119"/>
        <v/>
      </c>
      <c r="AB1151" s="28" t="str">
        <f t="shared" si="120"/>
        <v xml:space="preserve"> </v>
      </c>
      <c r="AE1151" s="61" t="str">
        <f t="shared" si="121"/>
        <v/>
      </c>
      <c r="AF1151" s="77" t="str">
        <f>_xlfn.XLOOKUP(AD1151,menu!$K$2:$K$9,menu!$J$2:$J$9,"",1)</f>
        <v/>
      </c>
      <c r="AG1151" s="80" t="str">
        <f>_xlfn.XLOOKUP(AH1151,menu!$O$2:$O$9,menu!$H$2:$H$9,"")</f>
        <v/>
      </c>
      <c r="AI1151" t="str">
        <f>_xlfn.LET(_xlpm.x,_xlfn.CONCAT(_xlfn.XLOOKUP(D1151,beans!$A$2:$A$300,beans!$J$2:$J$300,"")," / ",_xlfn.XLOOKUP(D1151,beans!$A$2:$A$300,beans!$K$2:$K$300,"")," - ",_xlfn.XLOOKUP(D1151,beans!$A$2:$A$300,beans!$L$2:$L$300,"")),IF(_xlpm.x=" /  - ","",_xlpm.x))</f>
        <v/>
      </c>
    </row>
    <row r="1152" spans="1:35" x14ac:dyDescent="0.3">
      <c r="A1152">
        <v>1135</v>
      </c>
      <c r="E1152" t="str">
        <f>_xlfn.LET(_xlpm.x,_xlfn.XLOOKUP(D1152,beans!$A$2:$A$300,beans!$H$2:$H$300,""),IF(_xlpm.x="","",_xlpm.x))</f>
        <v/>
      </c>
      <c r="F1152" s="22" t="str">
        <f>_xlfn.XLOOKUP(E1152,menu!$A$2:$A$37,menu!$B$2:$B$37,"")</f>
        <v/>
      </c>
      <c r="G1152" t="str">
        <f>_xlfn.XLOOKUP(E1152,menu!$A$2:$A$37,menu!$C$2:$C$37,"")</f>
        <v/>
      </c>
      <c r="H1152" t="str">
        <f>_xlfn.LET(_xlpm.x,_xlfn.XLOOKUP(_xlfn.XLOOKUP(D1152,beans!$A$2:$A$300,beans!$I$2:$I$300),menu!$E$2:$E$20,menu!$F$2:$F$20),IF(_xlpm.x="","",_xlpm.x))</f>
        <v/>
      </c>
      <c r="T1152" s="68" t="str">
        <f t="shared" si="122"/>
        <v/>
      </c>
      <c r="U1152" t="str">
        <f t="shared" si="118"/>
        <v/>
      </c>
      <c r="V1152">
        <f t="shared" si="123"/>
        <v>0</v>
      </c>
      <c r="W1152" t="str">
        <f t="shared" si="119"/>
        <v/>
      </c>
      <c r="AB1152" s="28" t="str">
        <f t="shared" si="120"/>
        <v xml:space="preserve"> </v>
      </c>
      <c r="AE1152" s="61" t="str">
        <f t="shared" si="121"/>
        <v/>
      </c>
      <c r="AF1152" s="77" t="str">
        <f>_xlfn.XLOOKUP(AD1152,menu!$K$2:$K$9,menu!$J$2:$J$9,"",1)</f>
        <v/>
      </c>
      <c r="AG1152" s="80" t="str">
        <f>_xlfn.XLOOKUP(AH1152,menu!$O$2:$O$9,menu!$H$2:$H$9,"")</f>
        <v/>
      </c>
      <c r="AI1152" t="str">
        <f>_xlfn.LET(_xlpm.x,_xlfn.CONCAT(_xlfn.XLOOKUP(D1152,beans!$A$2:$A$300,beans!$J$2:$J$300,"")," / ",_xlfn.XLOOKUP(D1152,beans!$A$2:$A$300,beans!$K$2:$K$300,"")," - ",_xlfn.XLOOKUP(D1152,beans!$A$2:$A$300,beans!$L$2:$L$300,"")),IF(_xlpm.x=" /  - ","",_xlpm.x))</f>
        <v/>
      </c>
    </row>
    <row r="1153" spans="1:35" x14ac:dyDescent="0.3">
      <c r="A1153">
        <v>1136</v>
      </c>
      <c r="E1153" t="str">
        <f>_xlfn.LET(_xlpm.x,_xlfn.XLOOKUP(D1153,beans!$A$2:$A$300,beans!$H$2:$H$300,""),IF(_xlpm.x="","",_xlpm.x))</f>
        <v/>
      </c>
      <c r="F1153" s="22" t="str">
        <f>_xlfn.XLOOKUP(E1153,menu!$A$2:$A$37,menu!$B$2:$B$37,"")</f>
        <v/>
      </c>
      <c r="G1153" t="str">
        <f>_xlfn.XLOOKUP(E1153,menu!$A$2:$A$37,menu!$C$2:$C$37,"")</f>
        <v/>
      </c>
      <c r="H1153" t="str">
        <f>_xlfn.LET(_xlpm.x,_xlfn.XLOOKUP(_xlfn.XLOOKUP(D1153,beans!$A$2:$A$300,beans!$I$2:$I$300),menu!$E$2:$E$20,menu!$F$2:$F$20),IF(_xlpm.x="","",_xlpm.x))</f>
        <v/>
      </c>
      <c r="T1153" s="68" t="str">
        <f t="shared" si="122"/>
        <v/>
      </c>
      <c r="U1153" t="str">
        <f t="shared" si="118"/>
        <v/>
      </c>
      <c r="V1153">
        <f t="shared" si="123"/>
        <v>0</v>
      </c>
      <c r="W1153" t="str">
        <f t="shared" si="119"/>
        <v/>
      </c>
      <c r="AB1153" s="28" t="str">
        <f t="shared" si="120"/>
        <v xml:space="preserve"> </v>
      </c>
      <c r="AE1153" s="61" t="str">
        <f t="shared" si="121"/>
        <v/>
      </c>
      <c r="AF1153" s="77" t="str">
        <f>_xlfn.XLOOKUP(AD1153,menu!$K$2:$K$9,menu!$J$2:$J$9,"",1)</f>
        <v/>
      </c>
      <c r="AG1153" s="80" t="str">
        <f>_xlfn.XLOOKUP(AH1153,menu!$O$2:$O$9,menu!$H$2:$H$9,"")</f>
        <v/>
      </c>
      <c r="AI1153" t="str">
        <f>_xlfn.LET(_xlpm.x,_xlfn.CONCAT(_xlfn.XLOOKUP(D1153,beans!$A$2:$A$300,beans!$J$2:$J$300,"")," / ",_xlfn.XLOOKUP(D1153,beans!$A$2:$A$300,beans!$K$2:$K$300,"")," - ",_xlfn.XLOOKUP(D1153,beans!$A$2:$A$300,beans!$L$2:$L$300,"")),IF(_xlpm.x=" /  - ","",_xlpm.x))</f>
        <v/>
      </c>
    </row>
    <row r="1154" spans="1:35" x14ac:dyDescent="0.3">
      <c r="A1154">
        <v>1137</v>
      </c>
      <c r="E1154" t="str">
        <f>_xlfn.LET(_xlpm.x,_xlfn.XLOOKUP(D1154,beans!$A$2:$A$300,beans!$H$2:$H$300,""),IF(_xlpm.x="","",_xlpm.x))</f>
        <v/>
      </c>
      <c r="F1154" s="22" t="str">
        <f>_xlfn.XLOOKUP(E1154,menu!$A$2:$A$37,menu!$B$2:$B$37,"")</f>
        <v/>
      </c>
      <c r="G1154" t="str">
        <f>_xlfn.XLOOKUP(E1154,menu!$A$2:$A$37,menu!$C$2:$C$37,"")</f>
        <v/>
      </c>
      <c r="H1154" t="str">
        <f>_xlfn.LET(_xlpm.x,_xlfn.XLOOKUP(_xlfn.XLOOKUP(D1154,beans!$A$2:$A$300,beans!$I$2:$I$300),menu!$E$2:$E$20,menu!$F$2:$F$20),IF(_xlpm.x="","",_xlpm.x))</f>
        <v/>
      </c>
      <c r="T1154" s="68" t="str">
        <f t="shared" si="122"/>
        <v/>
      </c>
      <c r="U1154" t="str">
        <f t="shared" ref="U1154:U1217" si="124">_xlfn.LET(_xlpm.x,(TIMEVALUE("0:"&amp;SUBSTITUTE(R1154,"'",":"))-TIMEVALUE("0:"&amp;SUBSTITUTE(P1154,"'",":")))*86400,IF(_xlpm.x=0,"",ROUND(_xlpm.x,2)))</f>
        <v/>
      </c>
      <c r="V1154">
        <f t="shared" si="123"/>
        <v>0</v>
      </c>
      <c r="W1154" t="str">
        <f t="shared" ref="W1154:W1217" si="125">_xlfn.LET(_xlpm.x,(TIMEVALUE("0:"&amp;SUBSTITUTE(R1154,"'",":"))-TIMEVALUE("0:"&amp;SUBSTITUTE(P1154,"'",":")))*86400,IF(_xlpm.x=0,"",ROUND(_xlpm.x/((TIMEVALUE("0:"&amp;SUBSTITUTE(R1154,"'",":"))-TIMEVALUE("0:0:0"))*864),2)))</f>
        <v/>
      </c>
      <c r="AB1154" s="28" t="str">
        <f t="shared" ref="AB1154:AB1217" si="126">IF(Y1154 &gt; 0,(B1154-Y1154)/B1154," ")</f>
        <v xml:space="preserve"> </v>
      </c>
      <c r="AE1154" s="61" t="str">
        <f t="shared" ref="AE1154:AE1217" si="127">_xlfn.LET(_xlpm.x,AD1154-AC1154,IF(_xlpm.x=0,"",_xlpm.x))</f>
        <v/>
      </c>
      <c r="AF1154" s="77" t="str">
        <f>_xlfn.XLOOKUP(AD1154,menu!$K$2:$K$9,menu!$J$2:$J$9,"",1)</f>
        <v/>
      </c>
      <c r="AG1154" s="80" t="str">
        <f>_xlfn.XLOOKUP(AH1154,menu!$O$2:$O$9,menu!$H$2:$H$9,"")</f>
        <v/>
      </c>
      <c r="AI1154" t="str">
        <f>_xlfn.LET(_xlpm.x,_xlfn.CONCAT(_xlfn.XLOOKUP(D1154,beans!$A$2:$A$300,beans!$J$2:$J$300,"")," / ",_xlfn.XLOOKUP(D1154,beans!$A$2:$A$300,beans!$K$2:$K$300,"")," - ",_xlfn.XLOOKUP(D1154,beans!$A$2:$A$300,beans!$L$2:$L$300,"")),IF(_xlpm.x=" /  - ","",_xlpm.x))</f>
        <v/>
      </c>
    </row>
    <row r="1155" spans="1:35" x14ac:dyDescent="0.3">
      <c r="A1155">
        <v>1138</v>
      </c>
      <c r="E1155" t="str">
        <f>_xlfn.LET(_xlpm.x,_xlfn.XLOOKUP(D1155,beans!$A$2:$A$300,beans!$H$2:$H$300,""),IF(_xlpm.x="","",_xlpm.x))</f>
        <v/>
      </c>
      <c r="F1155" s="22" t="str">
        <f>_xlfn.XLOOKUP(E1155,menu!$A$2:$A$37,menu!$B$2:$B$37,"")</f>
        <v/>
      </c>
      <c r="G1155" t="str">
        <f>_xlfn.XLOOKUP(E1155,menu!$A$2:$A$37,menu!$C$2:$C$37,"")</f>
        <v/>
      </c>
      <c r="H1155" t="str">
        <f>_xlfn.LET(_xlpm.x,_xlfn.XLOOKUP(_xlfn.XLOOKUP(D1155,beans!$A$2:$A$300,beans!$I$2:$I$300),menu!$E$2:$E$20,menu!$F$2:$F$20),IF(_xlpm.x="","",_xlpm.x))</f>
        <v/>
      </c>
      <c r="T1155" s="68" t="str">
        <f t="shared" ref="T1155:T1218" si="128">_xlfn.LET(_xlpm.x,S1155-Q1155,IF(_xlpm.x=0,"",_xlpm.x))</f>
        <v/>
      </c>
      <c r="U1155" t="str">
        <f t="shared" si="124"/>
        <v/>
      </c>
      <c r="V1155">
        <f t="shared" ref="V1155:V1218" si="129">IFERROR(ROUND(T1155*60/U1155,1), )</f>
        <v>0</v>
      </c>
      <c r="W1155" t="str">
        <f t="shared" si="125"/>
        <v/>
      </c>
      <c r="AB1155" s="28" t="str">
        <f t="shared" si="126"/>
        <v xml:space="preserve"> </v>
      </c>
      <c r="AE1155" s="61" t="str">
        <f t="shared" si="127"/>
        <v/>
      </c>
      <c r="AF1155" s="77" t="str">
        <f>_xlfn.XLOOKUP(AD1155,menu!$K$2:$K$9,menu!$J$2:$J$9,"",1)</f>
        <v/>
      </c>
      <c r="AG1155" s="80" t="str">
        <f>_xlfn.XLOOKUP(AH1155,menu!$O$2:$O$9,menu!$H$2:$H$9,"")</f>
        <v/>
      </c>
      <c r="AI1155" t="str">
        <f>_xlfn.LET(_xlpm.x,_xlfn.CONCAT(_xlfn.XLOOKUP(D1155,beans!$A$2:$A$300,beans!$J$2:$J$300,"")," / ",_xlfn.XLOOKUP(D1155,beans!$A$2:$A$300,beans!$K$2:$K$300,"")," - ",_xlfn.XLOOKUP(D1155,beans!$A$2:$A$300,beans!$L$2:$L$300,"")),IF(_xlpm.x=" /  - ","",_xlpm.x))</f>
        <v/>
      </c>
    </row>
    <row r="1156" spans="1:35" x14ac:dyDescent="0.3">
      <c r="A1156">
        <v>1139</v>
      </c>
      <c r="E1156" t="str">
        <f>_xlfn.LET(_xlpm.x,_xlfn.XLOOKUP(D1156,beans!$A$2:$A$300,beans!$H$2:$H$300,""),IF(_xlpm.x="","",_xlpm.x))</f>
        <v/>
      </c>
      <c r="F1156" s="22" t="str">
        <f>_xlfn.XLOOKUP(E1156,menu!$A$2:$A$37,menu!$B$2:$B$37,"")</f>
        <v/>
      </c>
      <c r="G1156" t="str">
        <f>_xlfn.XLOOKUP(E1156,menu!$A$2:$A$37,menu!$C$2:$C$37,"")</f>
        <v/>
      </c>
      <c r="H1156" t="str">
        <f>_xlfn.LET(_xlpm.x,_xlfn.XLOOKUP(_xlfn.XLOOKUP(D1156,beans!$A$2:$A$300,beans!$I$2:$I$300),menu!$E$2:$E$20,menu!$F$2:$F$20),IF(_xlpm.x="","",_xlpm.x))</f>
        <v/>
      </c>
      <c r="T1156" s="68" t="str">
        <f t="shared" si="128"/>
        <v/>
      </c>
      <c r="U1156" t="str">
        <f t="shared" si="124"/>
        <v/>
      </c>
      <c r="V1156">
        <f t="shared" si="129"/>
        <v>0</v>
      </c>
      <c r="W1156" t="str">
        <f t="shared" si="125"/>
        <v/>
      </c>
      <c r="AB1156" s="28" t="str">
        <f t="shared" si="126"/>
        <v xml:space="preserve"> </v>
      </c>
      <c r="AE1156" s="61" t="str">
        <f t="shared" si="127"/>
        <v/>
      </c>
      <c r="AF1156" s="77" t="str">
        <f>_xlfn.XLOOKUP(AD1156,menu!$K$2:$K$9,menu!$J$2:$J$9,"",1)</f>
        <v/>
      </c>
      <c r="AG1156" s="80" t="str">
        <f>_xlfn.XLOOKUP(AH1156,menu!$O$2:$O$9,menu!$H$2:$H$9,"")</f>
        <v/>
      </c>
      <c r="AI1156" t="str">
        <f>_xlfn.LET(_xlpm.x,_xlfn.CONCAT(_xlfn.XLOOKUP(D1156,beans!$A$2:$A$300,beans!$J$2:$J$300,"")," / ",_xlfn.XLOOKUP(D1156,beans!$A$2:$A$300,beans!$K$2:$K$300,"")," - ",_xlfn.XLOOKUP(D1156,beans!$A$2:$A$300,beans!$L$2:$L$300,"")),IF(_xlpm.x=" /  - ","",_xlpm.x))</f>
        <v/>
      </c>
    </row>
    <row r="1157" spans="1:35" x14ac:dyDescent="0.3">
      <c r="A1157">
        <v>1140</v>
      </c>
      <c r="E1157" t="str">
        <f>_xlfn.LET(_xlpm.x,_xlfn.XLOOKUP(D1157,beans!$A$2:$A$300,beans!$H$2:$H$300,""),IF(_xlpm.x="","",_xlpm.x))</f>
        <v/>
      </c>
      <c r="F1157" s="22" t="str">
        <f>_xlfn.XLOOKUP(E1157,menu!$A$2:$A$37,menu!$B$2:$B$37,"")</f>
        <v/>
      </c>
      <c r="G1157" t="str">
        <f>_xlfn.XLOOKUP(E1157,menu!$A$2:$A$37,menu!$C$2:$C$37,"")</f>
        <v/>
      </c>
      <c r="H1157" t="str">
        <f>_xlfn.LET(_xlpm.x,_xlfn.XLOOKUP(_xlfn.XLOOKUP(D1157,beans!$A$2:$A$300,beans!$I$2:$I$300),menu!$E$2:$E$20,menu!$F$2:$F$20),IF(_xlpm.x="","",_xlpm.x))</f>
        <v/>
      </c>
      <c r="T1157" s="68" t="str">
        <f t="shared" si="128"/>
        <v/>
      </c>
      <c r="U1157" t="str">
        <f t="shared" si="124"/>
        <v/>
      </c>
      <c r="V1157">
        <f t="shared" si="129"/>
        <v>0</v>
      </c>
      <c r="W1157" t="str">
        <f t="shared" si="125"/>
        <v/>
      </c>
      <c r="AB1157" s="28" t="str">
        <f t="shared" si="126"/>
        <v xml:space="preserve"> </v>
      </c>
      <c r="AE1157" s="61" t="str">
        <f t="shared" si="127"/>
        <v/>
      </c>
      <c r="AF1157" s="77" t="str">
        <f>_xlfn.XLOOKUP(AD1157,menu!$K$2:$K$9,menu!$J$2:$J$9,"",1)</f>
        <v/>
      </c>
      <c r="AG1157" s="80" t="str">
        <f>_xlfn.XLOOKUP(AH1157,menu!$O$2:$O$9,menu!$H$2:$H$9,"")</f>
        <v/>
      </c>
      <c r="AI1157" t="str">
        <f>_xlfn.LET(_xlpm.x,_xlfn.CONCAT(_xlfn.XLOOKUP(D1157,beans!$A$2:$A$300,beans!$J$2:$J$300,"")," / ",_xlfn.XLOOKUP(D1157,beans!$A$2:$A$300,beans!$K$2:$K$300,"")," - ",_xlfn.XLOOKUP(D1157,beans!$A$2:$A$300,beans!$L$2:$L$300,"")),IF(_xlpm.x=" /  - ","",_xlpm.x))</f>
        <v/>
      </c>
    </row>
    <row r="1158" spans="1:35" x14ac:dyDescent="0.3">
      <c r="A1158">
        <v>1141</v>
      </c>
      <c r="E1158" t="str">
        <f>_xlfn.LET(_xlpm.x,_xlfn.XLOOKUP(D1158,beans!$A$2:$A$300,beans!$H$2:$H$300,""),IF(_xlpm.x="","",_xlpm.x))</f>
        <v/>
      </c>
      <c r="F1158" s="22" t="str">
        <f>_xlfn.XLOOKUP(E1158,menu!$A$2:$A$37,menu!$B$2:$B$37,"")</f>
        <v/>
      </c>
      <c r="G1158" t="str">
        <f>_xlfn.XLOOKUP(E1158,menu!$A$2:$A$37,menu!$C$2:$C$37,"")</f>
        <v/>
      </c>
      <c r="H1158" t="str">
        <f>_xlfn.LET(_xlpm.x,_xlfn.XLOOKUP(_xlfn.XLOOKUP(D1158,beans!$A$2:$A$300,beans!$I$2:$I$300),menu!$E$2:$E$20,menu!$F$2:$F$20),IF(_xlpm.x="","",_xlpm.x))</f>
        <v/>
      </c>
      <c r="T1158" s="68" t="str">
        <f t="shared" si="128"/>
        <v/>
      </c>
      <c r="U1158" t="str">
        <f t="shared" si="124"/>
        <v/>
      </c>
      <c r="V1158">
        <f t="shared" si="129"/>
        <v>0</v>
      </c>
      <c r="W1158" t="str">
        <f t="shared" si="125"/>
        <v/>
      </c>
      <c r="AB1158" s="28" t="str">
        <f t="shared" si="126"/>
        <v xml:space="preserve"> </v>
      </c>
      <c r="AE1158" s="61" t="str">
        <f t="shared" si="127"/>
        <v/>
      </c>
      <c r="AF1158" s="77" t="str">
        <f>_xlfn.XLOOKUP(AD1158,menu!$K$2:$K$9,menu!$J$2:$J$9,"",1)</f>
        <v/>
      </c>
      <c r="AG1158" s="80" t="str">
        <f>_xlfn.XLOOKUP(AH1158,menu!$O$2:$O$9,menu!$H$2:$H$9,"")</f>
        <v/>
      </c>
      <c r="AI1158" t="str">
        <f>_xlfn.LET(_xlpm.x,_xlfn.CONCAT(_xlfn.XLOOKUP(D1158,beans!$A$2:$A$300,beans!$J$2:$J$300,"")," / ",_xlfn.XLOOKUP(D1158,beans!$A$2:$A$300,beans!$K$2:$K$300,"")," - ",_xlfn.XLOOKUP(D1158,beans!$A$2:$A$300,beans!$L$2:$L$300,"")),IF(_xlpm.x=" /  - ","",_xlpm.x))</f>
        <v/>
      </c>
    </row>
    <row r="1159" spans="1:35" x14ac:dyDescent="0.3">
      <c r="A1159">
        <v>1142</v>
      </c>
      <c r="E1159" t="str">
        <f>_xlfn.LET(_xlpm.x,_xlfn.XLOOKUP(D1159,beans!$A$2:$A$300,beans!$H$2:$H$300,""),IF(_xlpm.x="","",_xlpm.x))</f>
        <v/>
      </c>
      <c r="F1159" s="22" t="str">
        <f>_xlfn.XLOOKUP(E1159,menu!$A$2:$A$37,menu!$B$2:$B$37,"")</f>
        <v/>
      </c>
      <c r="G1159" t="str">
        <f>_xlfn.XLOOKUP(E1159,menu!$A$2:$A$37,menu!$C$2:$C$37,"")</f>
        <v/>
      </c>
      <c r="H1159" t="str">
        <f>_xlfn.LET(_xlpm.x,_xlfn.XLOOKUP(_xlfn.XLOOKUP(D1159,beans!$A$2:$A$300,beans!$I$2:$I$300),menu!$E$2:$E$20,menu!$F$2:$F$20),IF(_xlpm.x="","",_xlpm.x))</f>
        <v/>
      </c>
      <c r="T1159" s="68" t="str">
        <f t="shared" si="128"/>
        <v/>
      </c>
      <c r="U1159" t="str">
        <f t="shared" si="124"/>
        <v/>
      </c>
      <c r="V1159">
        <f t="shared" si="129"/>
        <v>0</v>
      </c>
      <c r="W1159" t="str">
        <f t="shared" si="125"/>
        <v/>
      </c>
      <c r="AB1159" s="28" t="str">
        <f t="shared" si="126"/>
        <v xml:space="preserve"> </v>
      </c>
      <c r="AE1159" s="61" t="str">
        <f t="shared" si="127"/>
        <v/>
      </c>
      <c r="AF1159" s="77" t="str">
        <f>_xlfn.XLOOKUP(AD1159,menu!$K$2:$K$9,menu!$J$2:$J$9,"",1)</f>
        <v/>
      </c>
      <c r="AG1159" s="80" t="str">
        <f>_xlfn.XLOOKUP(AH1159,menu!$O$2:$O$9,menu!$H$2:$H$9,"")</f>
        <v/>
      </c>
      <c r="AI1159" t="str">
        <f>_xlfn.LET(_xlpm.x,_xlfn.CONCAT(_xlfn.XLOOKUP(D1159,beans!$A$2:$A$300,beans!$J$2:$J$300,"")," / ",_xlfn.XLOOKUP(D1159,beans!$A$2:$A$300,beans!$K$2:$K$300,"")," - ",_xlfn.XLOOKUP(D1159,beans!$A$2:$A$300,beans!$L$2:$L$300,"")),IF(_xlpm.x=" /  - ","",_xlpm.x))</f>
        <v/>
      </c>
    </row>
    <row r="1160" spans="1:35" x14ac:dyDescent="0.3">
      <c r="A1160">
        <v>1143</v>
      </c>
      <c r="E1160" t="str">
        <f>_xlfn.LET(_xlpm.x,_xlfn.XLOOKUP(D1160,beans!$A$2:$A$300,beans!$H$2:$H$300,""),IF(_xlpm.x="","",_xlpm.x))</f>
        <v/>
      </c>
      <c r="F1160" s="22" t="str">
        <f>_xlfn.XLOOKUP(E1160,menu!$A$2:$A$37,menu!$B$2:$B$37,"")</f>
        <v/>
      </c>
      <c r="G1160" t="str">
        <f>_xlfn.XLOOKUP(E1160,menu!$A$2:$A$37,menu!$C$2:$C$37,"")</f>
        <v/>
      </c>
      <c r="H1160" t="str">
        <f>_xlfn.LET(_xlpm.x,_xlfn.XLOOKUP(_xlfn.XLOOKUP(D1160,beans!$A$2:$A$300,beans!$I$2:$I$300),menu!$E$2:$E$20,menu!$F$2:$F$20),IF(_xlpm.x="","",_xlpm.x))</f>
        <v/>
      </c>
      <c r="T1160" s="68" t="str">
        <f t="shared" si="128"/>
        <v/>
      </c>
      <c r="U1160" t="str">
        <f t="shared" si="124"/>
        <v/>
      </c>
      <c r="V1160">
        <f t="shared" si="129"/>
        <v>0</v>
      </c>
      <c r="W1160" t="str">
        <f t="shared" si="125"/>
        <v/>
      </c>
      <c r="AB1160" s="28" t="str">
        <f t="shared" si="126"/>
        <v xml:space="preserve"> </v>
      </c>
      <c r="AE1160" s="61" t="str">
        <f t="shared" si="127"/>
        <v/>
      </c>
      <c r="AF1160" s="77" t="str">
        <f>_xlfn.XLOOKUP(AD1160,menu!$K$2:$K$9,menu!$J$2:$J$9,"",1)</f>
        <v/>
      </c>
      <c r="AG1160" s="80" t="str">
        <f>_xlfn.XLOOKUP(AH1160,menu!$O$2:$O$9,menu!$H$2:$H$9,"")</f>
        <v/>
      </c>
      <c r="AI1160" t="str">
        <f>_xlfn.LET(_xlpm.x,_xlfn.CONCAT(_xlfn.XLOOKUP(D1160,beans!$A$2:$A$300,beans!$J$2:$J$300,"")," / ",_xlfn.XLOOKUP(D1160,beans!$A$2:$A$300,beans!$K$2:$K$300,"")," - ",_xlfn.XLOOKUP(D1160,beans!$A$2:$A$300,beans!$L$2:$L$300,"")),IF(_xlpm.x=" /  - ","",_xlpm.x))</f>
        <v/>
      </c>
    </row>
    <row r="1161" spans="1:35" x14ac:dyDescent="0.3">
      <c r="A1161">
        <v>1144</v>
      </c>
      <c r="E1161" t="str">
        <f>_xlfn.LET(_xlpm.x,_xlfn.XLOOKUP(D1161,beans!$A$2:$A$300,beans!$H$2:$H$300,""),IF(_xlpm.x="","",_xlpm.x))</f>
        <v/>
      </c>
      <c r="F1161" s="22" t="str">
        <f>_xlfn.XLOOKUP(E1161,menu!$A$2:$A$37,menu!$B$2:$B$37,"")</f>
        <v/>
      </c>
      <c r="G1161" t="str">
        <f>_xlfn.XLOOKUP(E1161,menu!$A$2:$A$37,menu!$C$2:$C$37,"")</f>
        <v/>
      </c>
      <c r="H1161" t="str">
        <f>_xlfn.LET(_xlpm.x,_xlfn.XLOOKUP(_xlfn.XLOOKUP(D1161,beans!$A$2:$A$300,beans!$I$2:$I$300),menu!$E$2:$E$20,menu!$F$2:$F$20),IF(_xlpm.x="","",_xlpm.x))</f>
        <v/>
      </c>
      <c r="T1161" s="68" t="str">
        <f t="shared" si="128"/>
        <v/>
      </c>
      <c r="U1161" t="str">
        <f t="shared" si="124"/>
        <v/>
      </c>
      <c r="V1161">
        <f t="shared" si="129"/>
        <v>0</v>
      </c>
      <c r="W1161" t="str">
        <f t="shared" si="125"/>
        <v/>
      </c>
      <c r="AB1161" s="28" t="str">
        <f t="shared" si="126"/>
        <v xml:space="preserve"> </v>
      </c>
      <c r="AE1161" s="61" t="str">
        <f t="shared" si="127"/>
        <v/>
      </c>
      <c r="AF1161" s="77" t="str">
        <f>_xlfn.XLOOKUP(AD1161,menu!$K$2:$K$9,menu!$J$2:$J$9,"",1)</f>
        <v/>
      </c>
      <c r="AG1161" s="80" t="str">
        <f>_xlfn.XLOOKUP(AH1161,menu!$O$2:$O$9,menu!$H$2:$H$9,"")</f>
        <v/>
      </c>
      <c r="AI1161" t="str">
        <f>_xlfn.LET(_xlpm.x,_xlfn.CONCAT(_xlfn.XLOOKUP(D1161,beans!$A$2:$A$300,beans!$J$2:$J$300,"")," / ",_xlfn.XLOOKUP(D1161,beans!$A$2:$A$300,beans!$K$2:$K$300,"")," - ",_xlfn.XLOOKUP(D1161,beans!$A$2:$A$300,beans!$L$2:$L$300,"")),IF(_xlpm.x=" /  - ","",_xlpm.x))</f>
        <v/>
      </c>
    </row>
    <row r="1162" spans="1:35" x14ac:dyDescent="0.3">
      <c r="A1162">
        <v>1145</v>
      </c>
      <c r="E1162" t="str">
        <f>_xlfn.LET(_xlpm.x,_xlfn.XLOOKUP(D1162,beans!$A$2:$A$300,beans!$H$2:$H$300,""),IF(_xlpm.x="","",_xlpm.x))</f>
        <v/>
      </c>
      <c r="F1162" s="22" t="str">
        <f>_xlfn.XLOOKUP(E1162,menu!$A$2:$A$37,menu!$B$2:$B$37,"")</f>
        <v/>
      </c>
      <c r="G1162" t="str">
        <f>_xlfn.XLOOKUP(E1162,menu!$A$2:$A$37,menu!$C$2:$C$37,"")</f>
        <v/>
      </c>
      <c r="H1162" t="str">
        <f>_xlfn.LET(_xlpm.x,_xlfn.XLOOKUP(_xlfn.XLOOKUP(D1162,beans!$A$2:$A$300,beans!$I$2:$I$300),menu!$E$2:$E$20,menu!$F$2:$F$20),IF(_xlpm.x="","",_xlpm.x))</f>
        <v/>
      </c>
      <c r="T1162" s="68" t="str">
        <f t="shared" si="128"/>
        <v/>
      </c>
      <c r="U1162" t="str">
        <f t="shared" si="124"/>
        <v/>
      </c>
      <c r="V1162">
        <f t="shared" si="129"/>
        <v>0</v>
      </c>
      <c r="W1162" t="str">
        <f t="shared" si="125"/>
        <v/>
      </c>
      <c r="AB1162" s="28" t="str">
        <f t="shared" si="126"/>
        <v xml:space="preserve"> </v>
      </c>
      <c r="AE1162" s="61" t="str">
        <f t="shared" si="127"/>
        <v/>
      </c>
      <c r="AF1162" s="77" t="str">
        <f>_xlfn.XLOOKUP(AD1162,menu!$K$2:$K$9,menu!$J$2:$J$9,"",1)</f>
        <v/>
      </c>
      <c r="AG1162" s="80" t="str">
        <f>_xlfn.XLOOKUP(AH1162,menu!$O$2:$O$9,menu!$H$2:$H$9,"")</f>
        <v/>
      </c>
      <c r="AI1162" t="str">
        <f>_xlfn.LET(_xlpm.x,_xlfn.CONCAT(_xlfn.XLOOKUP(D1162,beans!$A$2:$A$300,beans!$J$2:$J$300,"")," / ",_xlfn.XLOOKUP(D1162,beans!$A$2:$A$300,beans!$K$2:$K$300,"")," - ",_xlfn.XLOOKUP(D1162,beans!$A$2:$A$300,beans!$L$2:$L$300,"")),IF(_xlpm.x=" /  - ","",_xlpm.x))</f>
        <v/>
      </c>
    </row>
    <row r="1163" spans="1:35" x14ac:dyDescent="0.3">
      <c r="A1163">
        <v>1146</v>
      </c>
      <c r="E1163" t="str">
        <f>_xlfn.LET(_xlpm.x,_xlfn.XLOOKUP(D1163,beans!$A$2:$A$300,beans!$H$2:$H$300,""),IF(_xlpm.x="","",_xlpm.x))</f>
        <v/>
      </c>
      <c r="F1163" s="22" t="str">
        <f>_xlfn.XLOOKUP(E1163,menu!$A$2:$A$37,menu!$B$2:$B$37,"")</f>
        <v/>
      </c>
      <c r="G1163" t="str">
        <f>_xlfn.XLOOKUP(E1163,menu!$A$2:$A$37,menu!$C$2:$C$37,"")</f>
        <v/>
      </c>
      <c r="H1163" t="str">
        <f>_xlfn.LET(_xlpm.x,_xlfn.XLOOKUP(_xlfn.XLOOKUP(D1163,beans!$A$2:$A$300,beans!$I$2:$I$300),menu!$E$2:$E$20,menu!$F$2:$F$20),IF(_xlpm.x="","",_xlpm.x))</f>
        <v/>
      </c>
      <c r="T1163" s="68" t="str">
        <f t="shared" si="128"/>
        <v/>
      </c>
      <c r="U1163" t="str">
        <f t="shared" si="124"/>
        <v/>
      </c>
      <c r="V1163">
        <f t="shared" si="129"/>
        <v>0</v>
      </c>
      <c r="W1163" t="str">
        <f t="shared" si="125"/>
        <v/>
      </c>
      <c r="AB1163" s="28" t="str">
        <f t="shared" si="126"/>
        <v xml:space="preserve"> </v>
      </c>
      <c r="AE1163" s="61" t="str">
        <f t="shared" si="127"/>
        <v/>
      </c>
      <c r="AF1163" s="77" t="str">
        <f>_xlfn.XLOOKUP(AD1163,menu!$K$2:$K$9,menu!$J$2:$J$9,"",1)</f>
        <v/>
      </c>
      <c r="AG1163" s="80" t="str">
        <f>_xlfn.XLOOKUP(AH1163,menu!$O$2:$O$9,menu!$H$2:$H$9,"")</f>
        <v/>
      </c>
      <c r="AI1163" t="str">
        <f>_xlfn.LET(_xlpm.x,_xlfn.CONCAT(_xlfn.XLOOKUP(D1163,beans!$A$2:$A$300,beans!$J$2:$J$300,"")," / ",_xlfn.XLOOKUP(D1163,beans!$A$2:$A$300,beans!$K$2:$K$300,"")," - ",_xlfn.XLOOKUP(D1163,beans!$A$2:$A$300,beans!$L$2:$L$300,"")),IF(_xlpm.x=" /  - ","",_xlpm.x))</f>
        <v/>
      </c>
    </row>
    <row r="1164" spans="1:35" x14ac:dyDescent="0.3">
      <c r="A1164">
        <v>1147</v>
      </c>
      <c r="E1164" t="str">
        <f>_xlfn.LET(_xlpm.x,_xlfn.XLOOKUP(D1164,beans!$A$2:$A$300,beans!$H$2:$H$300,""),IF(_xlpm.x="","",_xlpm.x))</f>
        <v/>
      </c>
      <c r="F1164" s="22" t="str">
        <f>_xlfn.XLOOKUP(E1164,menu!$A$2:$A$37,menu!$B$2:$B$37,"")</f>
        <v/>
      </c>
      <c r="G1164" t="str">
        <f>_xlfn.XLOOKUP(E1164,menu!$A$2:$A$37,menu!$C$2:$C$37,"")</f>
        <v/>
      </c>
      <c r="H1164" t="str">
        <f>_xlfn.LET(_xlpm.x,_xlfn.XLOOKUP(_xlfn.XLOOKUP(D1164,beans!$A$2:$A$300,beans!$I$2:$I$300),menu!$E$2:$E$20,menu!$F$2:$F$20),IF(_xlpm.x="","",_xlpm.x))</f>
        <v/>
      </c>
      <c r="T1164" s="68" t="str">
        <f t="shared" si="128"/>
        <v/>
      </c>
      <c r="U1164" t="str">
        <f t="shared" si="124"/>
        <v/>
      </c>
      <c r="V1164">
        <f t="shared" si="129"/>
        <v>0</v>
      </c>
      <c r="W1164" t="str">
        <f t="shared" si="125"/>
        <v/>
      </c>
      <c r="AB1164" s="28" t="str">
        <f t="shared" si="126"/>
        <v xml:space="preserve"> </v>
      </c>
      <c r="AE1164" s="61" t="str">
        <f t="shared" si="127"/>
        <v/>
      </c>
      <c r="AF1164" s="77" t="str">
        <f>_xlfn.XLOOKUP(AD1164,menu!$K$2:$K$9,menu!$J$2:$J$9,"",1)</f>
        <v/>
      </c>
      <c r="AG1164" s="80" t="str">
        <f>_xlfn.XLOOKUP(AH1164,menu!$O$2:$O$9,menu!$H$2:$H$9,"")</f>
        <v/>
      </c>
      <c r="AI1164" t="str">
        <f>_xlfn.LET(_xlpm.x,_xlfn.CONCAT(_xlfn.XLOOKUP(D1164,beans!$A$2:$A$300,beans!$J$2:$J$300,"")," / ",_xlfn.XLOOKUP(D1164,beans!$A$2:$A$300,beans!$K$2:$K$300,"")," - ",_xlfn.XLOOKUP(D1164,beans!$A$2:$A$300,beans!$L$2:$L$300,"")),IF(_xlpm.x=" /  - ","",_xlpm.x))</f>
        <v/>
      </c>
    </row>
    <row r="1165" spans="1:35" x14ac:dyDescent="0.3">
      <c r="A1165">
        <v>1148</v>
      </c>
      <c r="E1165" t="str">
        <f>_xlfn.LET(_xlpm.x,_xlfn.XLOOKUP(D1165,beans!$A$2:$A$300,beans!$H$2:$H$300,""),IF(_xlpm.x="","",_xlpm.x))</f>
        <v/>
      </c>
      <c r="F1165" s="22" t="str">
        <f>_xlfn.XLOOKUP(E1165,menu!$A$2:$A$37,menu!$B$2:$B$37,"")</f>
        <v/>
      </c>
      <c r="G1165" t="str">
        <f>_xlfn.XLOOKUP(E1165,menu!$A$2:$A$37,menu!$C$2:$C$37,"")</f>
        <v/>
      </c>
      <c r="H1165" t="str">
        <f>_xlfn.LET(_xlpm.x,_xlfn.XLOOKUP(_xlfn.XLOOKUP(D1165,beans!$A$2:$A$300,beans!$I$2:$I$300),menu!$E$2:$E$20,menu!$F$2:$F$20),IF(_xlpm.x="","",_xlpm.x))</f>
        <v/>
      </c>
      <c r="T1165" s="68" t="str">
        <f t="shared" si="128"/>
        <v/>
      </c>
      <c r="U1165" t="str">
        <f t="shared" si="124"/>
        <v/>
      </c>
      <c r="V1165">
        <f t="shared" si="129"/>
        <v>0</v>
      </c>
      <c r="W1165" t="str">
        <f t="shared" si="125"/>
        <v/>
      </c>
      <c r="AB1165" s="28" t="str">
        <f t="shared" si="126"/>
        <v xml:space="preserve"> </v>
      </c>
      <c r="AE1165" s="61" t="str">
        <f t="shared" si="127"/>
        <v/>
      </c>
      <c r="AF1165" s="77" t="str">
        <f>_xlfn.XLOOKUP(AD1165,menu!$K$2:$K$9,menu!$J$2:$J$9,"",1)</f>
        <v/>
      </c>
      <c r="AG1165" s="80" t="str">
        <f>_xlfn.XLOOKUP(AH1165,menu!$O$2:$O$9,menu!$H$2:$H$9,"")</f>
        <v/>
      </c>
      <c r="AI1165" t="str">
        <f>_xlfn.LET(_xlpm.x,_xlfn.CONCAT(_xlfn.XLOOKUP(D1165,beans!$A$2:$A$300,beans!$J$2:$J$300,"")," / ",_xlfn.XLOOKUP(D1165,beans!$A$2:$A$300,beans!$K$2:$K$300,"")," - ",_xlfn.XLOOKUP(D1165,beans!$A$2:$A$300,beans!$L$2:$L$300,"")),IF(_xlpm.x=" /  - ","",_xlpm.x))</f>
        <v/>
      </c>
    </row>
    <row r="1166" spans="1:35" x14ac:dyDescent="0.3">
      <c r="A1166">
        <v>1149</v>
      </c>
      <c r="E1166" t="str">
        <f>_xlfn.LET(_xlpm.x,_xlfn.XLOOKUP(D1166,beans!$A$2:$A$300,beans!$H$2:$H$300,""),IF(_xlpm.x="","",_xlpm.x))</f>
        <v/>
      </c>
      <c r="F1166" s="22" t="str">
        <f>_xlfn.XLOOKUP(E1166,menu!$A$2:$A$37,menu!$B$2:$B$37,"")</f>
        <v/>
      </c>
      <c r="G1166" t="str">
        <f>_xlfn.XLOOKUP(E1166,menu!$A$2:$A$37,menu!$C$2:$C$37,"")</f>
        <v/>
      </c>
      <c r="H1166" t="str">
        <f>_xlfn.LET(_xlpm.x,_xlfn.XLOOKUP(_xlfn.XLOOKUP(D1166,beans!$A$2:$A$300,beans!$I$2:$I$300),menu!$E$2:$E$20,menu!$F$2:$F$20),IF(_xlpm.x="","",_xlpm.x))</f>
        <v/>
      </c>
      <c r="T1166" s="68" t="str">
        <f t="shared" si="128"/>
        <v/>
      </c>
      <c r="U1166" t="str">
        <f t="shared" si="124"/>
        <v/>
      </c>
      <c r="V1166">
        <f t="shared" si="129"/>
        <v>0</v>
      </c>
      <c r="W1166" t="str">
        <f t="shared" si="125"/>
        <v/>
      </c>
      <c r="AB1166" s="28" t="str">
        <f t="shared" si="126"/>
        <v xml:space="preserve"> </v>
      </c>
      <c r="AE1166" s="61" t="str">
        <f t="shared" si="127"/>
        <v/>
      </c>
      <c r="AF1166" s="77" t="str">
        <f>_xlfn.XLOOKUP(AD1166,menu!$K$2:$K$9,menu!$J$2:$J$9,"",1)</f>
        <v/>
      </c>
      <c r="AG1166" s="80" t="str">
        <f>_xlfn.XLOOKUP(AH1166,menu!$O$2:$O$9,menu!$H$2:$H$9,"")</f>
        <v/>
      </c>
      <c r="AI1166" t="str">
        <f>_xlfn.LET(_xlpm.x,_xlfn.CONCAT(_xlfn.XLOOKUP(D1166,beans!$A$2:$A$300,beans!$J$2:$J$300,"")," / ",_xlfn.XLOOKUP(D1166,beans!$A$2:$A$300,beans!$K$2:$K$300,"")," - ",_xlfn.XLOOKUP(D1166,beans!$A$2:$A$300,beans!$L$2:$L$300,"")),IF(_xlpm.x=" /  - ","",_xlpm.x))</f>
        <v/>
      </c>
    </row>
    <row r="1167" spans="1:35" x14ac:dyDescent="0.3">
      <c r="A1167">
        <v>1150</v>
      </c>
      <c r="E1167" t="str">
        <f>_xlfn.LET(_xlpm.x,_xlfn.XLOOKUP(D1167,beans!$A$2:$A$300,beans!$H$2:$H$300,""),IF(_xlpm.x="","",_xlpm.x))</f>
        <v/>
      </c>
      <c r="F1167" s="22" t="str">
        <f>_xlfn.XLOOKUP(E1167,menu!$A$2:$A$37,menu!$B$2:$B$37,"")</f>
        <v/>
      </c>
      <c r="G1167" t="str">
        <f>_xlfn.XLOOKUP(E1167,menu!$A$2:$A$37,menu!$C$2:$C$37,"")</f>
        <v/>
      </c>
      <c r="H1167" t="str">
        <f>_xlfn.LET(_xlpm.x,_xlfn.XLOOKUP(_xlfn.XLOOKUP(D1167,beans!$A$2:$A$300,beans!$I$2:$I$300),menu!$E$2:$E$20,menu!$F$2:$F$20),IF(_xlpm.x="","",_xlpm.x))</f>
        <v/>
      </c>
      <c r="T1167" s="68" t="str">
        <f t="shared" si="128"/>
        <v/>
      </c>
      <c r="U1167" t="str">
        <f t="shared" si="124"/>
        <v/>
      </c>
      <c r="V1167">
        <f t="shared" si="129"/>
        <v>0</v>
      </c>
      <c r="W1167" t="str">
        <f t="shared" si="125"/>
        <v/>
      </c>
      <c r="AB1167" s="28" t="str">
        <f t="shared" si="126"/>
        <v xml:space="preserve"> </v>
      </c>
      <c r="AE1167" s="61" t="str">
        <f t="shared" si="127"/>
        <v/>
      </c>
      <c r="AF1167" s="77" t="str">
        <f>_xlfn.XLOOKUP(AD1167,menu!$K$2:$K$9,menu!$J$2:$J$9,"",1)</f>
        <v/>
      </c>
      <c r="AG1167" s="80" t="str">
        <f>_xlfn.XLOOKUP(AH1167,menu!$O$2:$O$9,menu!$H$2:$H$9,"")</f>
        <v/>
      </c>
      <c r="AI1167" t="str">
        <f>_xlfn.LET(_xlpm.x,_xlfn.CONCAT(_xlfn.XLOOKUP(D1167,beans!$A$2:$A$300,beans!$J$2:$J$300,"")," / ",_xlfn.XLOOKUP(D1167,beans!$A$2:$A$300,beans!$K$2:$K$300,"")," - ",_xlfn.XLOOKUP(D1167,beans!$A$2:$A$300,beans!$L$2:$L$300,"")),IF(_xlpm.x=" /  - ","",_xlpm.x))</f>
        <v/>
      </c>
    </row>
    <row r="1168" spans="1:35" x14ac:dyDescent="0.3">
      <c r="A1168">
        <v>1151</v>
      </c>
      <c r="E1168" t="str">
        <f>_xlfn.LET(_xlpm.x,_xlfn.XLOOKUP(D1168,beans!$A$2:$A$300,beans!$H$2:$H$300,""),IF(_xlpm.x="","",_xlpm.x))</f>
        <v/>
      </c>
      <c r="F1168" s="22" t="str">
        <f>_xlfn.XLOOKUP(E1168,menu!$A$2:$A$37,menu!$B$2:$B$37,"")</f>
        <v/>
      </c>
      <c r="G1168" t="str">
        <f>_xlfn.XLOOKUP(E1168,menu!$A$2:$A$37,menu!$C$2:$C$37,"")</f>
        <v/>
      </c>
      <c r="H1168" t="str">
        <f>_xlfn.LET(_xlpm.x,_xlfn.XLOOKUP(_xlfn.XLOOKUP(D1168,beans!$A$2:$A$300,beans!$I$2:$I$300),menu!$E$2:$E$20,menu!$F$2:$F$20),IF(_xlpm.x="","",_xlpm.x))</f>
        <v/>
      </c>
      <c r="T1168" s="68" t="str">
        <f t="shared" si="128"/>
        <v/>
      </c>
      <c r="U1168" t="str">
        <f t="shared" si="124"/>
        <v/>
      </c>
      <c r="V1168">
        <f t="shared" si="129"/>
        <v>0</v>
      </c>
      <c r="W1168" t="str">
        <f t="shared" si="125"/>
        <v/>
      </c>
      <c r="AB1168" s="28" t="str">
        <f t="shared" si="126"/>
        <v xml:space="preserve"> </v>
      </c>
      <c r="AE1168" s="61" t="str">
        <f t="shared" si="127"/>
        <v/>
      </c>
      <c r="AF1168" s="77" t="str">
        <f>_xlfn.XLOOKUP(AD1168,menu!$K$2:$K$9,menu!$J$2:$J$9,"",1)</f>
        <v/>
      </c>
      <c r="AG1168" s="80" t="str">
        <f>_xlfn.XLOOKUP(AH1168,menu!$O$2:$O$9,menu!$H$2:$H$9,"")</f>
        <v/>
      </c>
      <c r="AI1168" t="str">
        <f>_xlfn.LET(_xlpm.x,_xlfn.CONCAT(_xlfn.XLOOKUP(D1168,beans!$A$2:$A$300,beans!$J$2:$J$300,"")," / ",_xlfn.XLOOKUP(D1168,beans!$A$2:$A$300,beans!$K$2:$K$300,"")," - ",_xlfn.XLOOKUP(D1168,beans!$A$2:$A$300,beans!$L$2:$L$300,"")),IF(_xlpm.x=" /  - ","",_xlpm.x))</f>
        <v/>
      </c>
    </row>
    <row r="1169" spans="1:35" x14ac:dyDescent="0.3">
      <c r="A1169">
        <v>1152</v>
      </c>
      <c r="E1169" t="str">
        <f>_xlfn.LET(_xlpm.x,_xlfn.XLOOKUP(D1169,beans!$A$2:$A$300,beans!$H$2:$H$300,""),IF(_xlpm.x="","",_xlpm.x))</f>
        <v/>
      </c>
      <c r="F1169" s="22" t="str">
        <f>_xlfn.XLOOKUP(E1169,menu!$A$2:$A$37,menu!$B$2:$B$37,"")</f>
        <v/>
      </c>
      <c r="G1169" t="str">
        <f>_xlfn.XLOOKUP(E1169,menu!$A$2:$A$37,menu!$C$2:$C$37,"")</f>
        <v/>
      </c>
      <c r="H1169" t="str">
        <f>_xlfn.LET(_xlpm.x,_xlfn.XLOOKUP(_xlfn.XLOOKUP(D1169,beans!$A$2:$A$300,beans!$I$2:$I$300),menu!$E$2:$E$20,menu!$F$2:$F$20),IF(_xlpm.x="","",_xlpm.x))</f>
        <v/>
      </c>
      <c r="T1169" s="68" t="str">
        <f t="shared" si="128"/>
        <v/>
      </c>
      <c r="U1169" t="str">
        <f t="shared" si="124"/>
        <v/>
      </c>
      <c r="V1169">
        <f t="shared" si="129"/>
        <v>0</v>
      </c>
      <c r="W1169" t="str">
        <f t="shared" si="125"/>
        <v/>
      </c>
      <c r="AB1169" s="28" t="str">
        <f t="shared" si="126"/>
        <v xml:space="preserve"> </v>
      </c>
      <c r="AE1169" s="61" t="str">
        <f t="shared" si="127"/>
        <v/>
      </c>
      <c r="AF1169" s="77" t="str">
        <f>_xlfn.XLOOKUP(AD1169,menu!$K$2:$K$9,menu!$J$2:$J$9,"",1)</f>
        <v/>
      </c>
      <c r="AG1169" s="80" t="str">
        <f>_xlfn.XLOOKUP(AH1169,menu!$O$2:$O$9,menu!$H$2:$H$9,"")</f>
        <v/>
      </c>
      <c r="AI1169" t="str">
        <f>_xlfn.LET(_xlpm.x,_xlfn.CONCAT(_xlfn.XLOOKUP(D1169,beans!$A$2:$A$300,beans!$J$2:$J$300,"")," / ",_xlfn.XLOOKUP(D1169,beans!$A$2:$A$300,beans!$K$2:$K$300,"")," - ",_xlfn.XLOOKUP(D1169,beans!$A$2:$A$300,beans!$L$2:$L$300,"")),IF(_xlpm.x=" /  - ","",_xlpm.x))</f>
        <v/>
      </c>
    </row>
    <row r="1170" spans="1:35" x14ac:dyDescent="0.3">
      <c r="A1170">
        <v>1153</v>
      </c>
      <c r="E1170" t="str">
        <f>_xlfn.LET(_xlpm.x,_xlfn.XLOOKUP(D1170,beans!$A$2:$A$300,beans!$H$2:$H$300,""),IF(_xlpm.x="","",_xlpm.x))</f>
        <v/>
      </c>
      <c r="F1170" s="22" t="str">
        <f>_xlfn.XLOOKUP(E1170,menu!$A$2:$A$37,menu!$B$2:$B$37,"")</f>
        <v/>
      </c>
      <c r="G1170" t="str">
        <f>_xlfn.XLOOKUP(E1170,menu!$A$2:$A$37,menu!$C$2:$C$37,"")</f>
        <v/>
      </c>
      <c r="H1170" t="str">
        <f>_xlfn.LET(_xlpm.x,_xlfn.XLOOKUP(_xlfn.XLOOKUP(D1170,beans!$A$2:$A$300,beans!$I$2:$I$300),menu!$E$2:$E$20,menu!$F$2:$F$20),IF(_xlpm.x="","",_xlpm.x))</f>
        <v/>
      </c>
      <c r="T1170" s="68" t="str">
        <f t="shared" si="128"/>
        <v/>
      </c>
      <c r="U1170" t="str">
        <f t="shared" si="124"/>
        <v/>
      </c>
      <c r="V1170">
        <f t="shared" si="129"/>
        <v>0</v>
      </c>
      <c r="W1170" t="str">
        <f t="shared" si="125"/>
        <v/>
      </c>
      <c r="AB1170" s="28" t="str">
        <f t="shared" si="126"/>
        <v xml:space="preserve"> </v>
      </c>
      <c r="AE1170" s="61" t="str">
        <f t="shared" si="127"/>
        <v/>
      </c>
      <c r="AF1170" s="77" t="str">
        <f>_xlfn.XLOOKUP(AD1170,menu!$K$2:$K$9,menu!$J$2:$J$9,"",1)</f>
        <v/>
      </c>
      <c r="AG1170" s="80" t="str">
        <f>_xlfn.XLOOKUP(AH1170,menu!$O$2:$O$9,menu!$H$2:$H$9,"")</f>
        <v/>
      </c>
      <c r="AI1170" t="str">
        <f>_xlfn.LET(_xlpm.x,_xlfn.CONCAT(_xlfn.XLOOKUP(D1170,beans!$A$2:$A$300,beans!$J$2:$J$300,"")," / ",_xlfn.XLOOKUP(D1170,beans!$A$2:$A$300,beans!$K$2:$K$300,"")," - ",_xlfn.XLOOKUP(D1170,beans!$A$2:$A$300,beans!$L$2:$L$300,"")),IF(_xlpm.x=" /  - ","",_xlpm.x))</f>
        <v/>
      </c>
    </row>
    <row r="1171" spans="1:35" x14ac:dyDescent="0.3">
      <c r="A1171">
        <v>1154</v>
      </c>
      <c r="E1171" t="str">
        <f>_xlfn.LET(_xlpm.x,_xlfn.XLOOKUP(D1171,beans!$A$2:$A$300,beans!$H$2:$H$300,""),IF(_xlpm.x="","",_xlpm.x))</f>
        <v/>
      </c>
      <c r="F1171" s="22" t="str">
        <f>_xlfn.XLOOKUP(E1171,menu!$A$2:$A$37,menu!$B$2:$B$37,"")</f>
        <v/>
      </c>
      <c r="G1171" t="str">
        <f>_xlfn.XLOOKUP(E1171,menu!$A$2:$A$37,menu!$C$2:$C$37,"")</f>
        <v/>
      </c>
      <c r="H1171" t="str">
        <f>_xlfn.LET(_xlpm.x,_xlfn.XLOOKUP(_xlfn.XLOOKUP(D1171,beans!$A$2:$A$300,beans!$I$2:$I$300),menu!$E$2:$E$20,menu!$F$2:$F$20),IF(_xlpm.x="","",_xlpm.x))</f>
        <v/>
      </c>
      <c r="T1171" s="68" t="str">
        <f t="shared" si="128"/>
        <v/>
      </c>
      <c r="U1171" t="str">
        <f t="shared" si="124"/>
        <v/>
      </c>
      <c r="V1171">
        <f t="shared" si="129"/>
        <v>0</v>
      </c>
      <c r="W1171" t="str">
        <f t="shared" si="125"/>
        <v/>
      </c>
      <c r="AB1171" s="28" t="str">
        <f t="shared" si="126"/>
        <v xml:space="preserve"> </v>
      </c>
      <c r="AE1171" s="61" t="str">
        <f t="shared" si="127"/>
        <v/>
      </c>
      <c r="AF1171" s="77" t="str">
        <f>_xlfn.XLOOKUP(AD1171,menu!$K$2:$K$9,menu!$J$2:$J$9,"",1)</f>
        <v/>
      </c>
      <c r="AG1171" s="80" t="str">
        <f>_xlfn.XLOOKUP(AH1171,menu!$O$2:$O$9,menu!$H$2:$H$9,"")</f>
        <v/>
      </c>
      <c r="AI1171" t="str">
        <f>_xlfn.LET(_xlpm.x,_xlfn.CONCAT(_xlfn.XLOOKUP(D1171,beans!$A$2:$A$300,beans!$J$2:$J$300,"")," / ",_xlfn.XLOOKUP(D1171,beans!$A$2:$A$300,beans!$K$2:$K$300,"")," - ",_xlfn.XLOOKUP(D1171,beans!$A$2:$A$300,beans!$L$2:$L$300,"")),IF(_xlpm.x=" /  - ","",_xlpm.x))</f>
        <v/>
      </c>
    </row>
    <row r="1172" spans="1:35" x14ac:dyDescent="0.3">
      <c r="A1172">
        <v>1155</v>
      </c>
      <c r="E1172" t="str">
        <f>_xlfn.LET(_xlpm.x,_xlfn.XLOOKUP(D1172,beans!$A$2:$A$300,beans!$H$2:$H$300,""),IF(_xlpm.x="","",_xlpm.x))</f>
        <v/>
      </c>
      <c r="F1172" s="22" t="str">
        <f>_xlfn.XLOOKUP(E1172,menu!$A$2:$A$37,menu!$B$2:$B$37,"")</f>
        <v/>
      </c>
      <c r="G1172" t="str">
        <f>_xlfn.XLOOKUP(E1172,menu!$A$2:$A$37,menu!$C$2:$C$37,"")</f>
        <v/>
      </c>
      <c r="H1172" t="str">
        <f>_xlfn.LET(_xlpm.x,_xlfn.XLOOKUP(_xlfn.XLOOKUP(D1172,beans!$A$2:$A$300,beans!$I$2:$I$300),menu!$E$2:$E$20,menu!$F$2:$F$20),IF(_xlpm.x="","",_xlpm.x))</f>
        <v/>
      </c>
      <c r="T1172" s="68" t="str">
        <f t="shared" si="128"/>
        <v/>
      </c>
      <c r="U1172" t="str">
        <f t="shared" si="124"/>
        <v/>
      </c>
      <c r="V1172">
        <f t="shared" si="129"/>
        <v>0</v>
      </c>
      <c r="W1172" t="str">
        <f t="shared" si="125"/>
        <v/>
      </c>
      <c r="AB1172" s="28" t="str">
        <f t="shared" si="126"/>
        <v xml:space="preserve"> </v>
      </c>
      <c r="AE1172" s="61" t="str">
        <f t="shared" si="127"/>
        <v/>
      </c>
      <c r="AF1172" s="77" t="str">
        <f>_xlfn.XLOOKUP(AD1172,menu!$K$2:$K$9,menu!$J$2:$J$9,"",1)</f>
        <v/>
      </c>
      <c r="AG1172" s="80" t="str">
        <f>_xlfn.XLOOKUP(AH1172,menu!$O$2:$O$9,menu!$H$2:$H$9,"")</f>
        <v/>
      </c>
      <c r="AI1172" t="str">
        <f>_xlfn.LET(_xlpm.x,_xlfn.CONCAT(_xlfn.XLOOKUP(D1172,beans!$A$2:$A$300,beans!$J$2:$J$300,"")," / ",_xlfn.XLOOKUP(D1172,beans!$A$2:$A$300,beans!$K$2:$K$300,"")," - ",_xlfn.XLOOKUP(D1172,beans!$A$2:$A$300,beans!$L$2:$L$300,"")),IF(_xlpm.x=" /  - ","",_xlpm.x))</f>
        <v/>
      </c>
    </row>
    <row r="1173" spans="1:35" x14ac:dyDescent="0.3">
      <c r="A1173">
        <v>1156</v>
      </c>
      <c r="E1173" t="str">
        <f>_xlfn.LET(_xlpm.x,_xlfn.XLOOKUP(D1173,beans!$A$2:$A$300,beans!$H$2:$H$300,""),IF(_xlpm.x="","",_xlpm.x))</f>
        <v/>
      </c>
      <c r="F1173" s="22" t="str">
        <f>_xlfn.XLOOKUP(E1173,menu!$A$2:$A$37,menu!$B$2:$B$37,"")</f>
        <v/>
      </c>
      <c r="G1173" t="str">
        <f>_xlfn.XLOOKUP(E1173,menu!$A$2:$A$37,menu!$C$2:$C$37,"")</f>
        <v/>
      </c>
      <c r="H1173" t="str">
        <f>_xlfn.LET(_xlpm.x,_xlfn.XLOOKUP(_xlfn.XLOOKUP(D1173,beans!$A$2:$A$300,beans!$I$2:$I$300),menu!$E$2:$E$20,menu!$F$2:$F$20),IF(_xlpm.x="","",_xlpm.x))</f>
        <v/>
      </c>
      <c r="T1173" s="68" t="str">
        <f t="shared" si="128"/>
        <v/>
      </c>
      <c r="U1173" t="str">
        <f t="shared" si="124"/>
        <v/>
      </c>
      <c r="V1173">
        <f t="shared" si="129"/>
        <v>0</v>
      </c>
      <c r="W1173" t="str">
        <f t="shared" si="125"/>
        <v/>
      </c>
      <c r="AB1173" s="28" t="str">
        <f t="shared" si="126"/>
        <v xml:space="preserve"> </v>
      </c>
      <c r="AE1173" s="61" t="str">
        <f t="shared" si="127"/>
        <v/>
      </c>
      <c r="AF1173" s="77" t="str">
        <f>_xlfn.XLOOKUP(AD1173,menu!$K$2:$K$9,menu!$J$2:$J$9,"",1)</f>
        <v/>
      </c>
      <c r="AG1173" s="80" t="str">
        <f>_xlfn.XLOOKUP(AH1173,menu!$O$2:$O$9,menu!$H$2:$H$9,"")</f>
        <v/>
      </c>
      <c r="AI1173" t="str">
        <f>_xlfn.LET(_xlpm.x,_xlfn.CONCAT(_xlfn.XLOOKUP(D1173,beans!$A$2:$A$300,beans!$J$2:$J$300,"")," / ",_xlfn.XLOOKUP(D1173,beans!$A$2:$A$300,beans!$K$2:$K$300,"")," - ",_xlfn.XLOOKUP(D1173,beans!$A$2:$A$300,beans!$L$2:$L$300,"")),IF(_xlpm.x=" /  - ","",_xlpm.x))</f>
        <v/>
      </c>
    </row>
    <row r="1174" spans="1:35" x14ac:dyDescent="0.3">
      <c r="A1174">
        <v>1157</v>
      </c>
      <c r="E1174" t="str">
        <f>_xlfn.LET(_xlpm.x,_xlfn.XLOOKUP(D1174,beans!$A$2:$A$300,beans!$H$2:$H$300,""),IF(_xlpm.x="","",_xlpm.x))</f>
        <v/>
      </c>
      <c r="F1174" s="22" t="str">
        <f>_xlfn.XLOOKUP(E1174,menu!$A$2:$A$37,menu!$B$2:$B$37,"")</f>
        <v/>
      </c>
      <c r="G1174" t="str">
        <f>_xlfn.XLOOKUP(E1174,menu!$A$2:$A$37,menu!$C$2:$C$37,"")</f>
        <v/>
      </c>
      <c r="H1174" t="str">
        <f>_xlfn.LET(_xlpm.x,_xlfn.XLOOKUP(_xlfn.XLOOKUP(D1174,beans!$A$2:$A$300,beans!$I$2:$I$300),menu!$E$2:$E$20,menu!$F$2:$F$20),IF(_xlpm.x="","",_xlpm.x))</f>
        <v/>
      </c>
      <c r="T1174" s="68" t="str">
        <f t="shared" si="128"/>
        <v/>
      </c>
      <c r="U1174" t="str">
        <f t="shared" si="124"/>
        <v/>
      </c>
      <c r="V1174">
        <f t="shared" si="129"/>
        <v>0</v>
      </c>
      <c r="W1174" t="str">
        <f t="shared" si="125"/>
        <v/>
      </c>
      <c r="AB1174" s="28" t="str">
        <f t="shared" si="126"/>
        <v xml:space="preserve"> </v>
      </c>
      <c r="AE1174" s="61" t="str">
        <f t="shared" si="127"/>
        <v/>
      </c>
      <c r="AF1174" s="77" t="str">
        <f>_xlfn.XLOOKUP(AD1174,menu!$K$2:$K$9,menu!$J$2:$J$9,"",1)</f>
        <v/>
      </c>
      <c r="AG1174" s="80" t="str">
        <f>_xlfn.XLOOKUP(AH1174,menu!$O$2:$O$9,menu!$H$2:$H$9,"")</f>
        <v/>
      </c>
      <c r="AI1174" t="str">
        <f>_xlfn.LET(_xlpm.x,_xlfn.CONCAT(_xlfn.XLOOKUP(D1174,beans!$A$2:$A$300,beans!$J$2:$J$300,"")," / ",_xlfn.XLOOKUP(D1174,beans!$A$2:$A$300,beans!$K$2:$K$300,"")," - ",_xlfn.XLOOKUP(D1174,beans!$A$2:$A$300,beans!$L$2:$L$300,"")),IF(_xlpm.x=" /  - ","",_xlpm.x))</f>
        <v/>
      </c>
    </row>
    <row r="1175" spans="1:35" x14ac:dyDescent="0.3">
      <c r="A1175">
        <v>1158</v>
      </c>
      <c r="E1175" t="str">
        <f>_xlfn.LET(_xlpm.x,_xlfn.XLOOKUP(D1175,beans!$A$2:$A$300,beans!$H$2:$H$300,""),IF(_xlpm.x="","",_xlpm.x))</f>
        <v/>
      </c>
      <c r="F1175" s="22" t="str">
        <f>_xlfn.XLOOKUP(E1175,menu!$A$2:$A$37,menu!$B$2:$B$37,"")</f>
        <v/>
      </c>
      <c r="G1175" t="str">
        <f>_xlfn.XLOOKUP(E1175,menu!$A$2:$A$37,menu!$C$2:$C$37,"")</f>
        <v/>
      </c>
      <c r="H1175" t="str">
        <f>_xlfn.LET(_xlpm.x,_xlfn.XLOOKUP(_xlfn.XLOOKUP(D1175,beans!$A$2:$A$300,beans!$I$2:$I$300),menu!$E$2:$E$20,menu!$F$2:$F$20),IF(_xlpm.x="","",_xlpm.x))</f>
        <v/>
      </c>
      <c r="T1175" s="68" t="str">
        <f t="shared" si="128"/>
        <v/>
      </c>
      <c r="U1175" t="str">
        <f t="shared" si="124"/>
        <v/>
      </c>
      <c r="V1175">
        <f t="shared" si="129"/>
        <v>0</v>
      </c>
      <c r="W1175" t="str">
        <f t="shared" si="125"/>
        <v/>
      </c>
      <c r="AB1175" s="28" t="str">
        <f t="shared" si="126"/>
        <v xml:space="preserve"> </v>
      </c>
      <c r="AE1175" s="61" t="str">
        <f t="shared" si="127"/>
        <v/>
      </c>
      <c r="AF1175" s="77" t="str">
        <f>_xlfn.XLOOKUP(AD1175,menu!$K$2:$K$9,menu!$J$2:$J$9,"",1)</f>
        <v/>
      </c>
      <c r="AG1175" s="80" t="str">
        <f>_xlfn.XLOOKUP(AH1175,menu!$O$2:$O$9,menu!$H$2:$H$9,"")</f>
        <v/>
      </c>
      <c r="AI1175" t="str">
        <f>_xlfn.LET(_xlpm.x,_xlfn.CONCAT(_xlfn.XLOOKUP(D1175,beans!$A$2:$A$300,beans!$J$2:$J$300,"")," / ",_xlfn.XLOOKUP(D1175,beans!$A$2:$A$300,beans!$K$2:$K$300,"")," - ",_xlfn.XLOOKUP(D1175,beans!$A$2:$A$300,beans!$L$2:$L$300,"")),IF(_xlpm.x=" /  - ","",_xlpm.x))</f>
        <v/>
      </c>
    </row>
    <row r="1176" spans="1:35" x14ac:dyDescent="0.3">
      <c r="A1176">
        <v>1159</v>
      </c>
      <c r="E1176" t="str">
        <f>_xlfn.LET(_xlpm.x,_xlfn.XLOOKUP(D1176,beans!$A$2:$A$300,beans!$H$2:$H$300,""),IF(_xlpm.x="","",_xlpm.x))</f>
        <v/>
      </c>
      <c r="F1176" s="22" t="str">
        <f>_xlfn.XLOOKUP(E1176,menu!$A$2:$A$37,menu!$B$2:$B$37,"")</f>
        <v/>
      </c>
      <c r="G1176" t="str">
        <f>_xlfn.XLOOKUP(E1176,menu!$A$2:$A$37,menu!$C$2:$C$37,"")</f>
        <v/>
      </c>
      <c r="H1176" t="str">
        <f>_xlfn.LET(_xlpm.x,_xlfn.XLOOKUP(_xlfn.XLOOKUP(D1176,beans!$A$2:$A$300,beans!$I$2:$I$300),menu!$E$2:$E$20,menu!$F$2:$F$20),IF(_xlpm.x="","",_xlpm.x))</f>
        <v/>
      </c>
      <c r="T1176" s="68" t="str">
        <f t="shared" si="128"/>
        <v/>
      </c>
      <c r="U1176" t="str">
        <f t="shared" si="124"/>
        <v/>
      </c>
      <c r="V1176">
        <f t="shared" si="129"/>
        <v>0</v>
      </c>
      <c r="W1176" t="str">
        <f t="shared" si="125"/>
        <v/>
      </c>
      <c r="AB1176" s="28" t="str">
        <f t="shared" si="126"/>
        <v xml:space="preserve"> </v>
      </c>
      <c r="AE1176" s="61" t="str">
        <f t="shared" si="127"/>
        <v/>
      </c>
      <c r="AF1176" s="77" t="str">
        <f>_xlfn.XLOOKUP(AD1176,menu!$K$2:$K$9,menu!$J$2:$J$9,"",1)</f>
        <v/>
      </c>
      <c r="AG1176" s="80" t="str">
        <f>_xlfn.XLOOKUP(AH1176,menu!$O$2:$O$9,menu!$H$2:$H$9,"")</f>
        <v/>
      </c>
      <c r="AI1176" t="str">
        <f>_xlfn.LET(_xlpm.x,_xlfn.CONCAT(_xlfn.XLOOKUP(D1176,beans!$A$2:$A$300,beans!$J$2:$J$300,"")," / ",_xlfn.XLOOKUP(D1176,beans!$A$2:$A$300,beans!$K$2:$K$300,"")," - ",_xlfn.XLOOKUP(D1176,beans!$A$2:$A$300,beans!$L$2:$L$300,"")),IF(_xlpm.x=" /  - ","",_xlpm.x))</f>
        <v/>
      </c>
    </row>
    <row r="1177" spans="1:35" x14ac:dyDescent="0.3">
      <c r="A1177">
        <v>1160</v>
      </c>
      <c r="E1177" t="str">
        <f>_xlfn.LET(_xlpm.x,_xlfn.XLOOKUP(D1177,beans!$A$2:$A$300,beans!$H$2:$H$300,""),IF(_xlpm.x="","",_xlpm.x))</f>
        <v/>
      </c>
      <c r="F1177" s="22" t="str">
        <f>_xlfn.XLOOKUP(E1177,menu!$A$2:$A$37,menu!$B$2:$B$37,"")</f>
        <v/>
      </c>
      <c r="G1177" t="str">
        <f>_xlfn.XLOOKUP(E1177,menu!$A$2:$A$37,menu!$C$2:$C$37,"")</f>
        <v/>
      </c>
      <c r="H1177" t="str">
        <f>_xlfn.LET(_xlpm.x,_xlfn.XLOOKUP(_xlfn.XLOOKUP(D1177,beans!$A$2:$A$300,beans!$I$2:$I$300),menu!$E$2:$E$20,menu!$F$2:$F$20),IF(_xlpm.x="","",_xlpm.x))</f>
        <v/>
      </c>
      <c r="T1177" s="68" t="str">
        <f t="shared" si="128"/>
        <v/>
      </c>
      <c r="U1177" t="str">
        <f t="shared" si="124"/>
        <v/>
      </c>
      <c r="V1177">
        <f t="shared" si="129"/>
        <v>0</v>
      </c>
      <c r="W1177" t="str">
        <f t="shared" si="125"/>
        <v/>
      </c>
      <c r="AB1177" s="28" t="str">
        <f t="shared" si="126"/>
        <v xml:space="preserve"> </v>
      </c>
      <c r="AE1177" s="61" t="str">
        <f t="shared" si="127"/>
        <v/>
      </c>
      <c r="AF1177" s="77" t="str">
        <f>_xlfn.XLOOKUP(AD1177,menu!$K$2:$K$9,menu!$J$2:$J$9,"",1)</f>
        <v/>
      </c>
      <c r="AG1177" s="80" t="str">
        <f>_xlfn.XLOOKUP(AH1177,menu!$O$2:$O$9,menu!$H$2:$H$9,"")</f>
        <v/>
      </c>
      <c r="AI1177" t="str">
        <f>_xlfn.LET(_xlpm.x,_xlfn.CONCAT(_xlfn.XLOOKUP(D1177,beans!$A$2:$A$300,beans!$J$2:$J$300,"")," / ",_xlfn.XLOOKUP(D1177,beans!$A$2:$A$300,beans!$K$2:$K$300,"")," - ",_xlfn.XLOOKUP(D1177,beans!$A$2:$A$300,beans!$L$2:$L$300,"")),IF(_xlpm.x=" /  - ","",_xlpm.x))</f>
        <v/>
      </c>
    </row>
    <row r="1178" spans="1:35" x14ac:dyDescent="0.3">
      <c r="A1178">
        <v>1161</v>
      </c>
      <c r="E1178" t="str">
        <f>_xlfn.LET(_xlpm.x,_xlfn.XLOOKUP(D1178,beans!$A$2:$A$300,beans!$H$2:$H$300,""),IF(_xlpm.x="","",_xlpm.x))</f>
        <v/>
      </c>
      <c r="F1178" s="22" t="str">
        <f>_xlfn.XLOOKUP(E1178,menu!$A$2:$A$37,menu!$B$2:$B$37,"")</f>
        <v/>
      </c>
      <c r="G1178" t="str">
        <f>_xlfn.XLOOKUP(E1178,menu!$A$2:$A$37,menu!$C$2:$C$37,"")</f>
        <v/>
      </c>
      <c r="H1178" t="str">
        <f>_xlfn.LET(_xlpm.x,_xlfn.XLOOKUP(_xlfn.XLOOKUP(D1178,beans!$A$2:$A$300,beans!$I$2:$I$300),menu!$E$2:$E$20,menu!$F$2:$F$20),IF(_xlpm.x="","",_xlpm.x))</f>
        <v/>
      </c>
      <c r="T1178" s="68" t="str">
        <f t="shared" si="128"/>
        <v/>
      </c>
      <c r="U1178" t="str">
        <f t="shared" si="124"/>
        <v/>
      </c>
      <c r="V1178">
        <f t="shared" si="129"/>
        <v>0</v>
      </c>
      <c r="W1178" t="str">
        <f t="shared" si="125"/>
        <v/>
      </c>
      <c r="AB1178" s="28" t="str">
        <f t="shared" si="126"/>
        <v xml:space="preserve"> </v>
      </c>
      <c r="AE1178" s="61" t="str">
        <f t="shared" si="127"/>
        <v/>
      </c>
      <c r="AF1178" s="77" t="str">
        <f>_xlfn.XLOOKUP(AD1178,menu!$K$2:$K$9,menu!$J$2:$J$9,"",1)</f>
        <v/>
      </c>
      <c r="AG1178" s="80" t="str">
        <f>_xlfn.XLOOKUP(AH1178,menu!$O$2:$O$9,menu!$H$2:$H$9,"")</f>
        <v/>
      </c>
      <c r="AI1178" t="str">
        <f>_xlfn.LET(_xlpm.x,_xlfn.CONCAT(_xlfn.XLOOKUP(D1178,beans!$A$2:$A$300,beans!$J$2:$J$300,"")," / ",_xlfn.XLOOKUP(D1178,beans!$A$2:$A$300,beans!$K$2:$K$300,"")," - ",_xlfn.XLOOKUP(D1178,beans!$A$2:$A$300,beans!$L$2:$L$300,"")),IF(_xlpm.x=" /  - ","",_xlpm.x))</f>
        <v/>
      </c>
    </row>
    <row r="1179" spans="1:35" x14ac:dyDescent="0.3">
      <c r="A1179">
        <v>1162</v>
      </c>
      <c r="E1179" t="str">
        <f>_xlfn.LET(_xlpm.x,_xlfn.XLOOKUP(D1179,beans!$A$2:$A$300,beans!$H$2:$H$300,""),IF(_xlpm.x="","",_xlpm.x))</f>
        <v/>
      </c>
      <c r="F1179" s="22" t="str">
        <f>_xlfn.XLOOKUP(E1179,menu!$A$2:$A$37,menu!$B$2:$B$37,"")</f>
        <v/>
      </c>
      <c r="G1179" t="str">
        <f>_xlfn.XLOOKUP(E1179,menu!$A$2:$A$37,menu!$C$2:$C$37,"")</f>
        <v/>
      </c>
      <c r="H1179" t="str">
        <f>_xlfn.LET(_xlpm.x,_xlfn.XLOOKUP(_xlfn.XLOOKUP(D1179,beans!$A$2:$A$300,beans!$I$2:$I$300),menu!$E$2:$E$20,menu!$F$2:$F$20),IF(_xlpm.x="","",_xlpm.x))</f>
        <v/>
      </c>
      <c r="T1179" s="68" t="str">
        <f t="shared" si="128"/>
        <v/>
      </c>
      <c r="U1179" t="str">
        <f t="shared" si="124"/>
        <v/>
      </c>
      <c r="V1179">
        <f t="shared" si="129"/>
        <v>0</v>
      </c>
      <c r="W1179" t="str">
        <f t="shared" si="125"/>
        <v/>
      </c>
      <c r="AB1179" s="28" t="str">
        <f t="shared" si="126"/>
        <v xml:space="preserve"> </v>
      </c>
      <c r="AE1179" s="61" t="str">
        <f t="shared" si="127"/>
        <v/>
      </c>
      <c r="AF1179" s="77" t="str">
        <f>_xlfn.XLOOKUP(AD1179,menu!$K$2:$K$9,menu!$J$2:$J$9,"",1)</f>
        <v/>
      </c>
      <c r="AG1179" s="80" t="str">
        <f>_xlfn.XLOOKUP(AH1179,menu!$O$2:$O$9,menu!$H$2:$H$9,"")</f>
        <v/>
      </c>
      <c r="AI1179" t="str">
        <f>_xlfn.LET(_xlpm.x,_xlfn.CONCAT(_xlfn.XLOOKUP(D1179,beans!$A$2:$A$300,beans!$J$2:$J$300,"")," / ",_xlfn.XLOOKUP(D1179,beans!$A$2:$A$300,beans!$K$2:$K$300,"")," - ",_xlfn.XLOOKUP(D1179,beans!$A$2:$A$300,beans!$L$2:$L$300,"")),IF(_xlpm.x=" /  - ","",_xlpm.x))</f>
        <v/>
      </c>
    </row>
    <row r="1180" spans="1:35" x14ac:dyDescent="0.3">
      <c r="A1180">
        <v>1163</v>
      </c>
      <c r="E1180" t="str">
        <f>_xlfn.LET(_xlpm.x,_xlfn.XLOOKUP(D1180,beans!$A$2:$A$300,beans!$H$2:$H$300,""),IF(_xlpm.x="","",_xlpm.x))</f>
        <v/>
      </c>
      <c r="F1180" s="22" t="str">
        <f>_xlfn.XLOOKUP(E1180,menu!$A$2:$A$37,menu!$B$2:$B$37,"")</f>
        <v/>
      </c>
      <c r="G1180" t="str">
        <f>_xlfn.XLOOKUP(E1180,menu!$A$2:$A$37,menu!$C$2:$C$37,"")</f>
        <v/>
      </c>
      <c r="H1180" t="str">
        <f>_xlfn.LET(_xlpm.x,_xlfn.XLOOKUP(_xlfn.XLOOKUP(D1180,beans!$A$2:$A$300,beans!$I$2:$I$300),menu!$E$2:$E$20,menu!$F$2:$F$20),IF(_xlpm.x="","",_xlpm.x))</f>
        <v/>
      </c>
      <c r="T1180" s="68" t="str">
        <f t="shared" si="128"/>
        <v/>
      </c>
      <c r="U1180" t="str">
        <f t="shared" si="124"/>
        <v/>
      </c>
      <c r="V1180">
        <f t="shared" si="129"/>
        <v>0</v>
      </c>
      <c r="W1180" t="str">
        <f t="shared" si="125"/>
        <v/>
      </c>
      <c r="AB1180" s="28" t="str">
        <f t="shared" si="126"/>
        <v xml:space="preserve"> </v>
      </c>
      <c r="AE1180" s="61" t="str">
        <f t="shared" si="127"/>
        <v/>
      </c>
      <c r="AF1180" s="77" t="str">
        <f>_xlfn.XLOOKUP(AD1180,menu!$K$2:$K$9,menu!$J$2:$J$9,"",1)</f>
        <v/>
      </c>
      <c r="AG1180" s="80" t="str">
        <f>_xlfn.XLOOKUP(AH1180,menu!$O$2:$O$9,menu!$H$2:$H$9,"")</f>
        <v/>
      </c>
      <c r="AI1180" t="str">
        <f>_xlfn.LET(_xlpm.x,_xlfn.CONCAT(_xlfn.XLOOKUP(D1180,beans!$A$2:$A$300,beans!$J$2:$J$300,"")," / ",_xlfn.XLOOKUP(D1180,beans!$A$2:$A$300,beans!$K$2:$K$300,"")," - ",_xlfn.XLOOKUP(D1180,beans!$A$2:$A$300,beans!$L$2:$L$300,"")),IF(_xlpm.x=" /  - ","",_xlpm.x))</f>
        <v/>
      </c>
    </row>
    <row r="1181" spans="1:35" x14ac:dyDescent="0.3">
      <c r="A1181">
        <v>1164</v>
      </c>
      <c r="E1181" t="str">
        <f>_xlfn.LET(_xlpm.x,_xlfn.XLOOKUP(D1181,beans!$A$2:$A$300,beans!$H$2:$H$300,""),IF(_xlpm.x="","",_xlpm.x))</f>
        <v/>
      </c>
      <c r="F1181" s="22" t="str">
        <f>_xlfn.XLOOKUP(E1181,menu!$A$2:$A$37,menu!$B$2:$B$37,"")</f>
        <v/>
      </c>
      <c r="G1181" t="str">
        <f>_xlfn.XLOOKUP(E1181,menu!$A$2:$A$37,menu!$C$2:$C$37,"")</f>
        <v/>
      </c>
      <c r="H1181" t="str">
        <f>_xlfn.LET(_xlpm.x,_xlfn.XLOOKUP(_xlfn.XLOOKUP(D1181,beans!$A$2:$A$300,beans!$I$2:$I$300),menu!$E$2:$E$20,menu!$F$2:$F$20),IF(_xlpm.x="","",_xlpm.x))</f>
        <v/>
      </c>
      <c r="T1181" s="68" t="str">
        <f t="shared" si="128"/>
        <v/>
      </c>
      <c r="U1181" t="str">
        <f t="shared" si="124"/>
        <v/>
      </c>
      <c r="V1181">
        <f t="shared" si="129"/>
        <v>0</v>
      </c>
      <c r="W1181" t="str">
        <f t="shared" si="125"/>
        <v/>
      </c>
      <c r="AB1181" s="28" t="str">
        <f t="shared" si="126"/>
        <v xml:space="preserve"> </v>
      </c>
      <c r="AE1181" s="61" t="str">
        <f t="shared" si="127"/>
        <v/>
      </c>
      <c r="AF1181" s="77" t="str">
        <f>_xlfn.XLOOKUP(AD1181,menu!$K$2:$K$9,menu!$J$2:$J$9,"",1)</f>
        <v/>
      </c>
      <c r="AG1181" s="80" t="str">
        <f>_xlfn.XLOOKUP(AH1181,menu!$O$2:$O$9,menu!$H$2:$H$9,"")</f>
        <v/>
      </c>
      <c r="AI1181" t="str">
        <f>_xlfn.LET(_xlpm.x,_xlfn.CONCAT(_xlfn.XLOOKUP(D1181,beans!$A$2:$A$300,beans!$J$2:$J$300,"")," / ",_xlfn.XLOOKUP(D1181,beans!$A$2:$A$300,beans!$K$2:$K$300,"")," - ",_xlfn.XLOOKUP(D1181,beans!$A$2:$A$300,beans!$L$2:$L$300,"")),IF(_xlpm.x=" /  - ","",_xlpm.x))</f>
        <v/>
      </c>
    </row>
    <row r="1182" spans="1:35" x14ac:dyDescent="0.3">
      <c r="A1182">
        <v>1165</v>
      </c>
      <c r="E1182" t="str">
        <f>_xlfn.LET(_xlpm.x,_xlfn.XLOOKUP(D1182,beans!$A$2:$A$300,beans!$H$2:$H$300,""),IF(_xlpm.x="","",_xlpm.x))</f>
        <v/>
      </c>
      <c r="F1182" s="22" t="str">
        <f>_xlfn.XLOOKUP(E1182,menu!$A$2:$A$37,menu!$B$2:$B$37,"")</f>
        <v/>
      </c>
      <c r="G1182" t="str">
        <f>_xlfn.XLOOKUP(E1182,menu!$A$2:$A$37,menu!$C$2:$C$37,"")</f>
        <v/>
      </c>
      <c r="H1182" t="str">
        <f>_xlfn.LET(_xlpm.x,_xlfn.XLOOKUP(_xlfn.XLOOKUP(D1182,beans!$A$2:$A$300,beans!$I$2:$I$300),menu!$E$2:$E$20,menu!$F$2:$F$20),IF(_xlpm.x="","",_xlpm.x))</f>
        <v/>
      </c>
      <c r="T1182" s="68" t="str">
        <f t="shared" si="128"/>
        <v/>
      </c>
      <c r="U1182" t="str">
        <f t="shared" si="124"/>
        <v/>
      </c>
      <c r="V1182">
        <f t="shared" si="129"/>
        <v>0</v>
      </c>
      <c r="W1182" t="str">
        <f t="shared" si="125"/>
        <v/>
      </c>
      <c r="AB1182" s="28" t="str">
        <f t="shared" si="126"/>
        <v xml:space="preserve"> </v>
      </c>
      <c r="AE1182" s="61" t="str">
        <f t="shared" si="127"/>
        <v/>
      </c>
      <c r="AF1182" s="77" t="str">
        <f>_xlfn.XLOOKUP(AD1182,menu!$K$2:$K$9,menu!$J$2:$J$9,"",1)</f>
        <v/>
      </c>
      <c r="AG1182" s="80" t="str">
        <f>_xlfn.XLOOKUP(AH1182,menu!$O$2:$O$9,menu!$H$2:$H$9,"")</f>
        <v/>
      </c>
      <c r="AI1182" t="str">
        <f>_xlfn.LET(_xlpm.x,_xlfn.CONCAT(_xlfn.XLOOKUP(D1182,beans!$A$2:$A$300,beans!$J$2:$J$300,"")," / ",_xlfn.XLOOKUP(D1182,beans!$A$2:$A$300,beans!$K$2:$K$300,"")," - ",_xlfn.XLOOKUP(D1182,beans!$A$2:$A$300,beans!$L$2:$L$300,"")),IF(_xlpm.x=" /  - ","",_xlpm.x))</f>
        <v/>
      </c>
    </row>
    <row r="1183" spans="1:35" x14ac:dyDescent="0.3">
      <c r="A1183">
        <v>1166</v>
      </c>
      <c r="E1183" t="str">
        <f>_xlfn.LET(_xlpm.x,_xlfn.XLOOKUP(D1183,beans!$A$2:$A$300,beans!$H$2:$H$300,""),IF(_xlpm.x="","",_xlpm.x))</f>
        <v/>
      </c>
      <c r="F1183" s="22" t="str">
        <f>_xlfn.XLOOKUP(E1183,menu!$A$2:$A$37,menu!$B$2:$B$37,"")</f>
        <v/>
      </c>
      <c r="G1183" t="str">
        <f>_xlfn.XLOOKUP(E1183,menu!$A$2:$A$37,menu!$C$2:$C$37,"")</f>
        <v/>
      </c>
      <c r="H1183" t="str">
        <f>_xlfn.LET(_xlpm.x,_xlfn.XLOOKUP(_xlfn.XLOOKUP(D1183,beans!$A$2:$A$300,beans!$I$2:$I$300),menu!$E$2:$E$20,menu!$F$2:$F$20),IF(_xlpm.x="","",_xlpm.x))</f>
        <v/>
      </c>
      <c r="T1183" s="68" t="str">
        <f t="shared" si="128"/>
        <v/>
      </c>
      <c r="U1183" t="str">
        <f t="shared" si="124"/>
        <v/>
      </c>
      <c r="V1183">
        <f t="shared" si="129"/>
        <v>0</v>
      </c>
      <c r="W1183" t="str">
        <f t="shared" si="125"/>
        <v/>
      </c>
      <c r="AB1183" s="28" t="str">
        <f t="shared" si="126"/>
        <v xml:space="preserve"> </v>
      </c>
      <c r="AE1183" s="61" t="str">
        <f t="shared" si="127"/>
        <v/>
      </c>
      <c r="AF1183" s="77" t="str">
        <f>_xlfn.XLOOKUP(AD1183,menu!$K$2:$K$9,menu!$J$2:$J$9,"",1)</f>
        <v/>
      </c>
      <c r="AG1183" s="80" t="str">
        <f>_xlfn.XLOOKUP(AH1183,menu!$O$2:$O$9,menu!$H$2:$H$9,"")</f>
        <v/>
      </c>
      <c r="AI1183" t="str">
        <f>_xlfn.LET(_xlpm.x,_xlfn.CONCAT(_xlfn.XLOOKUP(D1183,beans!$A$2:$A$300,beans!$J$2:$J$300,"")," / ",_xlfn.XLOOKUP(D1183,beans!$A$2:$A$300,beans!$K$2:$K$300,"")," - ",_xlfn.XLOOKUP(D1183,beans!$A$2:$A$300,beans!$L$2:$L$300,"")),IF(_xlpm.x=" /  - ","",_xlpm.x))</f>
        <v/>
      </c>
    </row>
    <row r="1184" spans="1:35" x14ac:dyDescent="0.3">
      <c r="A1184">
        <v>1167</v>
      </c>
      <c r="E1184" t="str">
        <f>_xlfn.LET(_xlpm.x,_xlfn.XLOOKUP(D1184,beans!$A$2:$A$300,beans!$H$2:$H$300,""),IF(_xlpm.x="","",_xlpm.x))</f>
        <v/>
      </c>
      <c r="F1184" s="22" t="str">
        <f>_xlfn.XLOOKUP(E1184,menu!$A$2:$A$37,menu!$B$2:$B$37,"")</f>
        <v/>
      </c>
      <c r="G1184" t="str">
        <f>_xlfn.XLOOKUP(E1184,menu!$A$2:$A$37,menu!$C$2:$C$37,"")</f>
        <v/>
      </c>
      <c r="H1184" t="str">
        <f>_xlfn.LET(_xlpm.x,_xlfn.XLOOKUP(_xlfn.XLOOKUP(D1184,beans!$A$2:$A$300,beans!$I$2:$I$300),menu!$E$2:$E$20,menu!$F$2:$F$20),IF(_xlpm.x="","",_xlpm.x))</f>
        <v/>
      </c>
      <c r="T1184" s="68" t="str">
        <f t="shared" si="128"/>
        <v/>
      </c>
      <c r="U1184" t="str">
        <f t="shared" si="124"/>
        <v/>
      </c>
      <c r="V1184">
        <f t="shared" si="129"/>
        <v>0</v>
      </c>
      <c r="W1184" t="str">
        <f t="shared" si="125"/>
        <v/>
      </c>
      <c r="AB1184" s="28" t="str">
        <f t="shared" si="126"/>
        <v xml:space="preserve"> </v>
      </c>
      <c r="AE1184" s="61" t="str">
        <f t="shared" si="127"/>
        <v/>
      </c>
      <c r="AF1184" s="77" t="str">
        <f>_xlfn.XLOOKUP(AD1184,menu!$K$2:$K$9,menu!$J$2:$J$9,"",1)</f>
        <v/>
      </c>
      <c r="AG1184" s="80" t="str">
        <f>_xlfn.XLOOKUP(AH1184,menu!$O$2:$O$9,menu!$H$2:$H$9,"")</f>
        <v/>
      </c>
      <c r="AI1184" t="str">
        <f>_xlfn.LET(_xlpm.x,_xlfn.CONCAT(_xlfn.XLOOKUP(D1184,beans!$A$2:$A$300,beans!$J$2:$J$300,"")," / ",_xlfn.XLOOKUP(D1184,beans!$A$2:$A$300,beans!$K$2:$K$300,"")," - ",_xlfn.XLOOKUP(D1184,beans!$A$2:$A$300,beans!$L$2:$L$300,"")),IF(_xlpm.x=" /  - ","",_xlpm.x))</f>
        <v/>
      </c>
    </row>
    <row r="1185" spans="1:35" x14ac:dyDescent="0.3">
      <c r="A1185">
        <v>1168</v>
      </c>
      <c r="E1185" t="str">
        <f>_xlfn.LET(_xlpm.x,_xlfn.XLOOKUP(D1185,beans!$A$2:$A$300,beans!$H$2:$H$300,""),IF(_xlpm.x="","",_xlpm.x))</f>
        <v/>
      </c>
      <c r="F1185" s="22" t="str">
        <f>_xlfn.XLOOKUP(E1185,menu!$A$2:$A$37,menu!$B$2:$B$37,"")</f>
        <v/>
      </c>
      <c r="G1185" t="str">
        <f>_xlfn.XLOOKUP(E1185,menu!$A$2:$A$37,menu!$C$2:$C$37,"")</f>
        <v/>
      </c>
      <c r="H1185" t="str">
        <f>_xlfn.LET(_xlpm.x,_xlfn.XLOOKUP(_xlfn.XLOOKUP(D1185,beans!$A$2:$A$300,beans!$I$2:$I$300),menu!$E$2:$E$20,menu!$F$2:$F$20),IF(_xlpm.x="","",_xlpm.x))</f>
        <v/>
      </c>
      <c r="T1185" s="68" t="str">
        <f t="shared" si="128"/>
        <v/>
      </c>
      <c r="U1185" t="str">
        <f t="shared" si="124"/>
        <v/>
      </c>
      <c r="V1185">
        <f t="shared" si="129"/>
        <v>0</v>
      </c>
      <c r="W1185" t="str">
        <f t="shared" si="125"/>
        <v/>
      </c>
      <c r="AB1185" s="28" t="str">
        <f t="shared" si="126"/>
        <v xml:space="preserve"> </v>
      </c>
      <c r="AE1185" s="61" t="str">
        <f t="shared" si="127"/>
        <v/>
      </c>
      <c r="AF1185" s="77" t="str">
        <f>_xlfn.XLOOKUP(AD1185,menu!$K$2:$K$9,menu!$J$2:$J$9,"",1)</f>
        <v/>
      </c>
      <c r="AG1185" s="80" t="str">
        <f>_xlfn.XLOOKUP(AH1185,menu!$O$2:$O$9,menu!$H$2:$H$9,"")</f>
        <v/>
      </c>
      <c r="AI1185" t="str">
        <f>_xlfn.LET(_xlpm.x,_xlfn.CONCAT(_xlfn.XLOOKUP(D1185,beans!$A$2:$A$300,beans!$J$2:$J$300,"")," / ",_xlfn.XLOOKUP(D1185,beans!$A$2:$A$300,beans!$K$2:$K$300,"")," - ",_xlfn.XLOOKUP(D1185,beans!$A$2:$A$300,beans!$L$2:$L$300,"")),IF(_xlpm.x=" /  - ","",_xlpm.x))</f>
        <v/>
      </c>
    </row>
    <row r="1186" spans="1:35" x14ac:dyDescent="0.3">
      <c r="A1186">
        <v>1169</v>
      </c>
      <c r="E1186" t="str">
        <f>_xlfn.LET(_xlpm.x,_xlfn.XLOOKUP(D1186,beans!$A$2:$A$300,beans!$H$2:$H$300,""),IF(_xlpm.x="","",_xlpm.x))</f>
        <v/>
      </c>
      <c r="F1186" s="22" t="str">
        <f>_xlfn.XLOOKUP(E1186,menu!$A$2:$A$37,menu!$B$2:$B$37,"")</f>
        <v/>
      </c>
      <c r="G1186" t="str">
        <f>_xlfn.XLOOKUP(E1186,menu!$A$2:$A$37,menu!$C$2:$C$37,"")</f>
        <v/>
      </c>
      <c r="H1186" t="str">
        <f>_xlfn.LET(_xlpm.x,_xlfn.XLOOKUP(_xlfn.XLOOKUP(D1186,beans!$A$2:$A$300,beans!$I$2:$I$300),menu!$E$2:$E$20,menu!$F$2:$F$20),IF(_xlpm.x="","",_xlpm.x))</f>
        <v/>
      </c>
      <c r="T1186" s="68" t="str">
        <f t="shared" si="128"/>
        <v/>
      </c>
      <c r="U1186" t="str">
        <f t="shared" si="124"/>
        <v/>
      </c>
      <c r="V1186">
        <f t="shared" si="129"/>
        <v>0</v>
      </c>
      <c r="W1186" t="str">
        <f t="shared" si="125"/>
        <v/>
      </c>
      <c r="AB1186" s="28" t="str">
        <f t="shared" si="126"/>
        <v xml:space="preserve"> </v>
      </c>
      <c r="AE1186" s="61" t="str">
        <f t="shared" si="127"/>
        <v/>
      </c>
      <c r="AF1186" s="77" t="str">
        <f>_xlfn.XLOOKUP(AD1186,menu!$K$2:$K$9,menu!$J$2:$J$9,"",1)</f>
        <v/>
      </c>
      <c r="AG1186" s="80" t="str">
        <f>_xlfn.XLOOKUP(AH1186,menu!$O$2:$O$9,menu!$H$2:$H$9,"")</f>
        <v/>
      </c>
      <c r="AI1186" t="str">
        <f>_xlfn.LET(_xlpm.x,_xlfn.CONCAT(_xlfn.XLOOKUP(D1186,beans!$A$2:$A$300,beans!$J$2:$J$300,"")," / ",_xlfn.XLOOKUP(D1186,beans!$A$2:$A$300,beans!$K$2:$K$300,"")," - ",_xlfn.XLOOKUP(D1186,beans!$A$2:$A$300,beans!$L$2:$L$300,"")),IF(_xlpm.x=" /  - ","",_xlpm.x))</f>
        <v/>
      </c>
    </row>
    <row r="1187" spans="1:35" x14ac:dyDescent="0.3">
      <c r="A1187">
        <v>1170</v>
      </c>
      <c r="E1187" t="str">
        <f>_xlfn.LET(_xlpm.x,_xlfn.XLOOKUP(D1187,beans!$A$2:$A$300,beans!$H$2:$H$300,""),IF(_xlpm.x="","",_xlpm.x))</f>
        <v/>
      </c>
      <c r="F1187" s="22" t="str">
        <f>_xlfn.XLOOKUP(E1187,menu!$A$2:$A$37,menu!$B$2:$B$37,"")</f>
        <v/>
      </c>
      <c r="G1187" t="str">
        <f>_xlfn.XLOOKUP(E1187,menu!$A$2:$A$37,menu!$C$2:$C$37,"")</f>
        <v/>
      </c>
      <c r="H1187" t="str">
        <f>_xlfn.LET(_xlpm.x,_xlfn.XLOOKUP(_xlfn.XLOOKUP(D1187,beans!$A$2:$A$300,beans!$I$2:$I$300),menu!$E$2:$E$20,menu!$F$2:$F$20),IF(_xlpm.x="","",_xlpm.x))</f>
        <v/>
      </c>
      <c r="T1187" s="68" t="str">
        <f t="shared" si="128"/>
        <v/>
      </c>
      <c r="U1187" t="str">
        <f t="shared" si="124"/>
        <v/>
      </c>
      <c r="V1187">
        <f t="shared" si="129"/>
        <v>0</v>
      </c>
      <c r="W1187" t="str">
        <f t="shared" si="125"/>
        <v/>
      </c>
      <c r="AB1187" s="28" t="str">
        <f t="shared" si="126"/>
        <v xml:space="preserve"> </v>
      </c>
      <c r="AE1187" s="61" t="str">
        <f t="shared" si="127"/>
        <v/>
      </c>
      <c r="AF1187" s="77" t="str">
        <f>_xlfn.XLOOKUP(AD1187,menu!$K$2:$K$9,menu!$J$2:$J$9,"",1)</f>
        <v/>
      </c>
      <c r="AG1187" s="80" t="str">
        <f>_xlfn.XLOOKUP(AH1187,menu!$O$2:$O$9,menu!$H$2:$H$9,"")</f>
        <v/>
      </c>
      <c r="AI1187" t="str">
        <f>_xlfn.LET(_xlpm.x,_xlfn.CONCAT(_xlfn.XLOOKUP(D1187,beans!$A$2:$A$300,beans!$J$2:$J$300,"")," / ",_xlfn.XLOOKUP(D1187,beans!$A$2:$A$300,beans!$K$2:$K$300,"")," - ",_xlfn.XLOOKUP(D1187,beans!$A$2:$A$300,beans!$L$2:$L$300,"")),IF(_xlpm.x=" /  - ","",_xlpm.x))</f>
        <v/>
      </c>
    </row>
    <row r="1188" spans="1:35" x14ac:dyDescent="0.3">
      <c r="A1188">
        <v>1171</v>
      </c>
      <c r="E1188" t="str">
        <f>_xlfn.LET(_xlpm.x,_xlfn.XLOOKUP(D1188,beans!$A$2:$A$300,beans!$H$2:$H$300,""),IF(_xlpm.x="","",_xlpm.x))</f>
        <v/>
      </c>
      <c r="F1188" s="22" t="str">
        <f>_xlfn.XLOOKUP(E1188,menu!$A$2:$A$37,menu!$B$2:$B$37,"")</f>
        <v/>
      </c>
      <c r="G1188" t="str">
        <f>_xlfn.XLOOKUP(E1188,menu!$A$2:$A$37,menu!$C$2:$C$37,"")</f>
        <v/>
      </c>
      <c r="H1188" t="str">
        <f>_xlfn.LET(_xlpm.x,_xlfn.XLOOKUP(_xlfn.XLOOKUP(D1188,beans!$A$2:$A$300,beans!$I$2:$I$300),menu!$E$2:$E$20,menu!$F$2:$F$20),IF(_xlpm.x="","",_xlpm.x))</f>
        <v/>
      </c>
      <c r="T1188" s="68" t="str">
        <f t="shared" si="128"/>
        <v/>
      </c>
      <c r="U1188" t="str">
        <f t="shared" si="124"/>
        <v/>
      </c>
      <c r="V1188">
        <f t="shared" si="129"/>
        <v>0</v>
      </c>
      <c r="W1188" t="str">
        <f t="shared" si="125"/>
        <v/>
      </c>
      <c r="AB1188" s="28" t="str">
        <f t="shared" si="126"/>
        <v xml:space="preserve"> </v>
      </c>
      <c r="AE1188" s="61" t="str">
        <f t="shared" si="127"/>
        <v/>
      </c>
      <c r="AF1188" s="77" t="str">
        <f>_xlfn.XLOOKUP(AD1188,menu!$K$2:$K$9,menu!$J$2:$J$9,"",1)</f>
        <v/>
      </c>
      <c r="AG1188" s="80" t="str">
        <f>_xlfn.XLOOKUP(AH1188,menu!$O$2:$O$9,menu!$H$2:$H$9,"")</f>
        <v/>
      </c>
      <c r="AI1188" t="str">
        <f>_xlfn.LET(_xlpm.x,_xlfn.CONCAT(_xlfn.XLOOKUP(D1188,beans!$A$2:$A$300,beans!$J$2:$J$300,"")," / ",_xlfn.XLOOKUP(D1188,beans!$A$2:$A$300,beans!$K$2:$K$300,"")," - ",_xlfn.XLOOKUP(D1188,beans!$A$2:$A$300,beans!$L$2:$L$300,"")),IF(_xlpm.x=" /  - ","",_xlpm.x))</f>
        <v/>
      </c>
    </row>
    <row r="1189" spans="1:35" x14ac:dyDescent="0.3">
      <c r="A1189">
        <v>1172</v>
      </c>
      <c r="E1189" t="str">
        <f>_xlfn.LET(_xlpm.x,_xlfn.XLOOKUP(D1189,beans!$A$2:$A$300,beans!$H$2:$H$300,""),IF(_xlpm.x="","",_xlpm.x))</f>
        <v/>
      </c>
      <c r="F1189" s="22" t="str">
        <f>_xlfn.XLOOKUP(E1189,menu!$A$2:$A$37,menu!$B$2:$B$37,"")</f>
        <v/>
      </c>
      <c r="G1189" t="str">
        <f>_xlfn.XLOOKUP(E1189,menu!$A$2:$A$37,menu!$C$2:$C$37,"")</f>
        <v/>
      </c>
      <c r="H1189" t="str">
        <f>_xlfn.LET(_xlpm.x,_xlfn.XLOOKUP(_xlfn.XLOOKUP(D1189,beans!$A$2:$A$300,beans!$I$2:$I$300),menu!$E$2:$E$20,menu!$F$2:$F$20),IF(_xlpm.x="","",_xlpm.x))</f>
        <v/>
      </c>
      <c r="T1189" s="68" t="str">
        <f t="shared" si="128"/>
        <v/>
      </c>
      <c r="U1189" t="str">
        <f t="shared" si="124"/>
        <v/>
      </c>
      <c r="V1189">
        <f t="shared" si="129"/>
        <v>0</v>
      </c>
      <c r="W1189" t="str">
        <f t="shared" si="125"/>
        <v/>
      </c>
      <c r="AB1189" s="28" t="str">
        <f t="shared" si="126"/>
        <v xml:space="preserve"> </v>
      </c>
      <c r="AE1189" s="61" t="str">
        <f t="shared" si="127"/>
        <v/>
      </c>
      <c r="AF1189" s="77" t="str">
        <f>_xlfn.XLOOKUP(AD1189,menu!$K$2:$K$9,menu!$J$2:$J$9,"",1)</f>
        <v/>
      </c>
      <c r="AG1189" s="80" t="str">
        <f>_xlfn.XLOOKUP(AH1189,menu!$O$2:$O$9,menu!$H$2:$H$9,"")</f>
        <v/>
      </c>
      <c r="AI1189" t="str">
        <f>_xlfn.LET(_xlpm.x,_xlfn.CONCAT(_xlfn.XLOOKUP(D1189,beans!$A$2:$A$300,beans!$J$2:$J$300,"")," / ",_xlfn.XLOOKUP(D1189,beans!$A$2:$A$300,beans!$K$2:$K$300,"")," - ",_xlfn.XLOOKUP(D1189,beans!$A$2:$A$300,beans!$L$2:$L$300,"")),IF(_xlpm.x=" /  - ","",_xlpm.x))</f>
        <v/>
      </c>
    </row>
    <row r="1190" spans="1:35" x14ac:dyDescent="0.3">
      <c r="A1190">
        <v>1173</v>
      </c>
      <c r="E1190" t="str">
        <f>_xlfn.LET(_xlpm.x,_xlfn.XLOOKUP(D1190,beans!$A$2:$A$300,beans!$H$2:$H$300,""),IF(_xlpm.x="","",_xlpm.x))</f>
        <v/>
      </c>
      <c r="F1190" s="22" t="str">
        <f>_xlfn.XLOOKUP(E1190,menu!$A$2:$A$37,menu!$B$2:$B$37,"")</f>
        <v/>
      </c>
      <c r="G1190" t="str">
        <f>_xlfn.XLOOKUP(E1190,menu!$A$2:$A$37,menu!$C$2:$C$37,"")</f>
        <v/>
      </c>
      <c r="H1190" t="str">
        <f>_xlfn.LET(_xlpm.x,_xlfn.XLOOKUP(_xlfn.XLOOKUP(D1190,beans!$A$2:$A$300,beans!$I$2:$I$300),menu!$E$2:$E$20,menu!$F$2:$F$20),IF(_xlpm.x="","",_xlpm.x))</f>
        <v/>
      </c>
      <c r="T1190" s="68" t="str">
        <f t="shared" si="128"/>
        <v/>
      </c>
      <c r="U1190" t="str">
        <f t="shared" si="124"/>
        <v/>
      </c>
      <c r="V1190">
        <f t="shared" si="129"/>
        <v>0</v>
      </c>
      <c r="W1190" t="str">
        <f t="shared" si="125"/>
        <v/>
      </c>
      <c r="AB1190" s="28" t="str">
        <f t="shared" si="126"/>
        <v xml:space="preserve"> </v>
      </c>
      <c r="AE1190" s="61" t="str">
        <f t="shared" si="127"/>
        <v/>
      </c>
      <c r="AF1190" s="77" t="str">
        <f>_xlfn.XLOOKUP(AD1190,menu!$K$2:$K$9,menu!$J$2:$J$9,"",1)</f>
        <v/>
      </c>
      <c r="AG1190" s="80" t="str">
        <f>_xlfn.XLOOKUP(AH1190,menu!$O$2:$O$9,menu!$H$2:$H$9,"")</f>
        <v/>
      </c>
      <c r="AI1190" t="str">
        <f>_xlfn.LET(_xlpm.x,_xlfn.CONCAT(_xlfn.XLOOKUP(D1190,beans!$A$2:$A$300,beans!$J$2:$J$300,"")," / ",_xlfn.XLOOKUP(D1190,beans!$A$2:$A$300,beans!$K$2:$K$300,"")," - ",_xlfn.XLOOKUP(D1190,beans!$A$2:$A$300,beans!$L$2:$L$300,"")),IF(_xlpm.x=" /  - ","",_xlpm.x))</f>
        <v/>
      </c>
    </row>
    <row r="1191" spans="1:35" x14ac:dyDescent="0.3">
      <c r="A1191">
        <v>1174</v>
      </c>
      <c r="E1191" t="str">
        <f>_xlfn.LET(_xlpm.x,_xlfn.XLOOKUP(D1191,beans!$A$2:$A$300,beans!$H$2:$H$300,""),IF(_xlpm.x="","",_xlpm.x))</f>
        <v/>
      </c>
      <c r="F1191" s="22" t="str">
        <f>_xlfn.XLOOKUP(E1191,menu!$A$2:$A$37,menu!$B$2:$B$37,"")</f>
        <v/>
      </c>
      <c r="G1191" t="str">
        <f>_xlfn.XLOOKUP(E1191,menu!$A$2:$A$37,menu!$C$2:$C$37,"")</f>
        <v/>
      </c>
      <c r="H1191" t="str">
        <f>_xlfn.LET(_xlpm.x,_xlfn.XLOOKUP(_xlfn.XLOOKUP(D1191,beans!$A$2:$A$300,beans!$I$2:$I$300),menu!$E$2:$E$20,menu!$F$2:$F$20),IF(_xlpm.x="","",_xlpm.x))</f>
        <v/>
      </c>
      <c r="T1191" s="68" t="str">
        <f t="shared" si="128"/>
        <v/>
      </c>
      <c r="U1191" t="str">
        <f t="shared" si="124"/>
        <v/>
      </c>
      <c r="V1191">
        <f t="shared" si="129"/>
        <v>0</v>
      </c>
      <c r="W1191" t="str">
        <f t="shared" si="125"/>
        <v/>
      </c>
      <c r="AB1191" s="28" t="str">
        <f t="shared" si="126"/>
        <v xml:space="preserve"> </v>
      </c>
      <c r="AE1191" s="61" t="str">
        <f t="shared" si="127"/>
        <v/>
      </c>
      <c r="AF1191" s="77" t="str">
        <f>_xlfn.XLOOKUP(AD1191,menu!$K$2:$K$9,menu!$J$2:$J$9,"",1)</f>
        <v/>
      </c>
      <c r="AG1191" s="80" t="str">
        <f>_xlfn.XLOOKUP(AH1191,menu!$O$2:$O$9,menu!$H$2:$H$9,"")</f>
        <v/>
      </c>
      <c r="AI1191" t="str">
        <f>_xlfn.LET(_xlpm.x,_xlfn.CONCAT(_xlfn.XLOOKUP(D1191,beans!$A$2:$A$300,beans!$J$2:$J$300,"")," / ",_xlfn.XLOOKUP(D1191,beans!$A$2:$A$300,beans!$K$2:$K$300,"")," - ",_xlfn.XLOOKUP(D1191,beans!$A$2:$A$300,beans!$L$2:$L$300,"")),IF(_xlpm.x=" /  - ","",_xlpm.x))</f>
        <v/>
      </c>
    </row>
    <row r="1192" spans="1:35" x14ac:dyDescent="0.3">
      <c r="A1192">
        <v>1175</v>
      </c>
      <c r="E1192" t="str">
        <f>_xlfn.LET(_xlpm.x,_xlfn.XLOOKUP(D1192,beans!$A$2:$A$300,beans!$H$2:$H$300,""),IF(_xlpm.x="","",_xlpm.x))</f>
        <v/>
      </c>
      <c r="F1192" s="22" t="str">
        <f>_xlfn.XLOOKUP(E1192,menu!$A$2:$A$37,menu!$B$2:$B$37,"")</f>
        <v/>
      </c>
      <c r="G1192" t="str">
        <f>_xlfn.XLOOKUP(E1192,menu!$A$2:$A$37,menu!$C$2:$C$37,"")</f>
        <v/>
      </c>
      <c r="H1192" t="str">
        <f>_xlfn.LET(_xlpm.x,_xlfn.XLOOKUP(_xlfn.XLOOKUP(D1192,beans!$A$2:$A$300,beans!$I$2:$I$300),menu!$E$2:$E$20,menu!$F$2:$F$20),IF(_xlpm.x="","",_xlpm.x))</f>
        <v/>
      </c>
      <c r="T1192" s="68" t="str">
        <f t="shared" si="128"/>
        <v/>
      </c>
      <c r="U1192" t="str">
        <f t="shared" si="124"/>
        <v/>
      </c>
      <c r="V1192">
        <f t="shared" si="129"/>
        <v>0</v>
      </c>
      <c r="W1192" t="str">
        <f t="shared" si="125"/>
        <v/>
      </c>
      <c r="AB1192" s="28" t="str">
        <f t="shared" si="126"/>
        <v xml:space="preserve"> </v>
      </c>
      <c r="AE1192" s="61" t="str">
        <f t="shared" si="127"/>
        <v/>
      </c>
      <c r="AF1192" s="77" t="str">
        <f>_xlfn.XLOOKUP(AD1192,menu!$K$2:$K$9,menu!$J$2:$J$9,"",1)</f>
        <v/>
      </c>
      <c r="AG1192" s="80" t="str">
        <f>_xlfn.XLOOKUP(AH1192,menu!$O$2:$O$9,menu!$H$2:$H$9,"")</f>
        <v/>
      </c>
      <c r="AI1192" t="str">
        <f>_xlfn.LET(_xlpm.x,_xlfn.CONCAT(_xlfn.XLOOKUP(D1192,beans!$A$2:$A$300,beans!$J$2:$J$300,"")," / ",_xlfn.XLOOKUP(D1192,beans!$A$2:$A$300,beans!$K$2:$K$300,"")," - ",_xlfn.XLOOKUP(D1192,beans!$A$2:$A$300,beans!$L$2:$L$300,"")),IF(_xlpm.x=" /  - ","",_xlpm.x))</f>
        <v/>
      </c>
    </row>
    <row r="1193" spans="1:35" x14ac:dyDescent="0.3">
      <c r="A1193">
        <v>1176</v>
      </c>
      <c r="E1193" t="str">
        <f>_xlfn.LET(_xlpm.x,_xlfn.XLOOKUP(D1193,beans!$A$2:$A$300,beans!$H$2:$H$300,""),IF(_xlpm.x="","",_xlpm.x))</f>
        <v/>
      </c>
      <c r="F1193" s="22" t="str">
        <f>_xlfn.XLOOKUP(E1193,menu!$A$2:$A$37,menu!$B$2:$B$37,"")</f>
        <v/>
      </c>
      <c r="G1193" t="str">
        <f>_xlfn.XLOOKUP(E1193,menu!$A$2:$A$37,menu!$C$2:$C$37,"")</f>
        <v/>
      </c>
      <c r="H1193" t="str">
        <f>_xlfn.LET(_xlpm.x,_xlfn.XLOOKUP(_xlfn.XLOOKUP(D1193,beans!$A$2:$A$300,beans!$I$2:$I$300),menu!$E$2:$E$20,menu!$F$2:$F$20),IF(_xlpm.x="","",_xlpm.x))</f>
        <v/>
      </c>
      <c r="T1193" s="68" t="str">
        <f t="shared" si="128"/>
        <v/>
      </c>
      <c r="U1193" t="str">
        <f t="shared" si="124"/>
        <v/>
      </c>
      <c r="V1193">
        <f t="shared" si="129"/>
        <v>0</v>
      </c>
      <c r="W1193" t="str">
        <f t="shared" si="125"/>
        <v/>
      </c>
      <c r="AB1193" s="28" t="str">
        <f t="shared" si="126"/>
        <v xml:space="preserve"> </v>
      </c>
      <c r="AE1193" s="61" t="str">
        <f t="shared" si="127"/>
        <v/>
      </c>
      <c r="AF1193" s="77" t="str">
        <f>_xlfn.XLOOKUP(AD1193,menu!$K$2:$K$9,menu!$J$2:$J$9,"",1)</f>
        <v/>
      </c>
      <c r="AG1193" s="80" t="str">
        <f>_xlfn.XLOOKUP(AH1193,menu!$O$2:$O$9,menu!$H$2:$H$9,"")</f>
        <v/>
      </c>
      <c r="AI1193" t="str">
        <f>_xlfn.LET(_xlpm.x,_xlfn.CONCAT(_xlfn.XLOOKUP(D1193,beans!$A$2:$A$300,beans!$J$2:$J$300,"")," / ",_xlfn.XLOOKUP(D1193,beans!$A$2:$A$300,beans!$K$2:$K$300,"")," - ",_xlfn.XLOOKUP(D1193,beans!$A$2:$A$300,beans!$L$2:$L$300,"")),IF(_xlpm.x=" /  - ","",_xlpm.x))</f>
        <v/>
      </c>
    </row>
    <row r="1194" spans="1:35" x14ac:dyDescent="0.3">
      <c r="A1194">
        <v>1177</v>
      </c>
      <c r="E1194" t="str">
        <f>_xlfn.LET(_xlpm.x,_xlfn.XLOOKUP(D1194,beans!$A$2:$A$300,beans!$H$2:$H$300,""),IF(_xlpm.x="","",_xlpm.x))</f>
        <v/>
      </c>
      <c r="F1194" s="22" t="str">
        <f>_xlfn.XLOOKUP(E1194,menu!$A$2:$A$37,menu!$B$2:$B$37,"")</f>
        <v/>
      </c>
      <c r="G1194" t="str">
        <f>_xlfn.XLOOKUP(E1194,menu!$A$2:$A$37,menu!$C$2:$C$37,"")</f>
        <v/>
      </c>
      <c r="H1194" t="str">
        <f>_xlfn.LET(_xlpm.x,_xlfn.XLOOKUP(_xlfn.XLOOKUP(D1194,beans!$A$2:$A$300,beans!$I$2:$I$300),menu!$E$2:$E$20,menu!$F$2:$F$20),IF(_xlpm.x="","",_xlpm.x))</f>
        <v/>
      </c>
      <c r="T1194" s="68" t="str">
        <f t="shared" si="128"/>
        <v/>
      </c>
      <c r="U1194" t="str">
        <f t="shared" si="124"/>
        <v/>
      </c>
      <c r="V1194">
        <f t="shared" si="129"/>
        <v>0</v>
      </c>
      <c r="W1194" t="str">
        <f t="shared" si="125"/>
        <v/>
      </c>
      <c r="AB1194" s="28" t="str">
        <f t="shared" si="126"/>
        <v xml:space="preserve"> </v>
      </c>
      <c r="AE1194" s="61" t="str">
        <f t="shared" si="127"/>
        <v/>
      </c>
      <c r="AF1194" s="77" t="str">
        <f>_xlfn.XLOOKUP(AD1194,menu!$K$2:$K$9,menu!$J$2:$J$9,"",1)</f>
        <v/>
      </c>
      <c r="AG1194" s="80" t="str">
        <f>_xlfn.XLOOKUP(AH1194,menu!$O$2:$O$9,menu!$H$2:$H$9,"")</f>
        <v/>
      </c>
      <c r="AI1194" t="str">
        <f>_xlfn.LET(_xlpm.x,_xlfn.CONCAT(_xlfn.XLOOKUP(D1194,beans!$A$2:$A$300,beans!$J$2:$J$300,"")," / ",_xlfn.XLOOKUP(D1194,beans!$A$2:$A$300,beans!$K$2:$K$300,"")," - ",_xlfn.XLOOKUP(D1194,beans!$A$2:$A$300,beans!$L$2:$L$300,"")),IF(_xlpm.x=" /  - ","",_xlpm.x))</f>
        <v/>
      </c>
    </row>
    <row r="1195" spans="1:35" x14ac:dyDescent="0.3">
      <c r="A1195">
        <v>1178</v>
      </c>
      <c r="E1195" t="str">
        <f>_xlfn.LET(_xlpm.x,_xlfn.XLOOKUP(D1195,beans!$A$2:$A$300,beans!$H$2:$H$300,""),IF(_xlpm.x="","",_xlpm.x))</f>
        <v/>
      </c>
      <c r="F1195" s="22" t="str">
        <f>_xlfn.XLOOKUP(E1195,menu!$A$2:$A$37,menu!$B$2:$B$37,"")</f>
        <v/>
      </c>
      <c r="G1195" t="str">
        <f>_xlfn.XLOOKUP(E1195,menu!$A$2:$A$37,menu!$C$2:$C$37,"")</f>
        <v/>
      </c>
      <c r="H1195" t="str">
        <f>_xlfn.LET(_xlpm.x,_xlfn.XLOOKUP(_xlfn.XLOOKUP(D1195,beans!$A$2:$A$300,beans!$I$2:$I$300),menu!$E$2:$E$20,menu!$F$2:$F$20),IF(_xlpm.x="","",_xlpm.x))</f>
        <v/>
      </c>
      <c r="T1195" s="68" t="str">
        <f t="shared" si="128"/>
        <v/>
      </c>
      <c r="U1195" t="str">
        <f t="shared" si="124"/>
        <v/>
      </c>
      <c r="V1195">
        <f t="shared" si="129"/>
        <v>0</v>
      </c>
      <c r="W1195" t="str">
        <f t="shared" si="125"/>
        <v/>
      </c>
      <c r="AB1195" s="28" t="str">
        <f t="shared" si="126"/>
        <v xml:space="preserve"> </v>
      </c>
      <c r="AE1195" s="61" t="str">
        <f t="shared" si="127"/>
        <v/>
      </c>
      <c r="AF1195" s="77" t="str">
        <f>_xlfn.XLOOKUP(AD1195,menu!$K$2:$K$9,menu!$J$2:$J$9,"",1)</f>
        <v/>
      </c>
      <c r="AG1195" s="80" t="str">
        <f>_xlfn.XLOOKUP(AH1195,menu!$O$2:$O$9,menu!$H$2:$H$9,"")</f>
        <v/>
      </c>
      <c r="AI1195" t="str">
        <f>_xlfn.LET(_xlpm.x,_xlfn.CONCAT(_xlfn.XLOOKUP(D1195,beans!$A$2:$A$300,beans!$J$2:$J$300,"")," / ",_xlfn.XLOOKUP(D1195,beans!$A$2:$A$300,beans!$K$2:$K$300,"")," - ",_xlfn.XLOOKUP(D1195,beans!$A$2:$A$300,beans!$L$2:$L$300,"")),IF(_xlpm.x=" /  - ","",_xlpm.x))</f>
        <v/>
      </c>
    </row>
    <row r="1196" spans="1:35" x14ac:dyDescent="0.3">
      <c r="A1196">
        <v>1179</v>
      </c>
      <c r="E1196" t="str">
        <f>_xlfn.LET(_xlpm.x,_xlfn.XLOOKUP(D1196,beans!$A$2:$A$300,beans!$H$2:$H$300,""),IF(_xlpm.x="","",_xlpm.x))</f>
        <v/>
      </c>
      <c r="F1196" s="22" t="str">
        <f>_xlfn.XLOOKUP(E1196,menu!$A$2:$A$37,menu!$B$2:$B$37,"")</f>
        <v/>
      </c>
      <c r="G1196" t="str">
        <f>_xlfn.XLOOKUP(E1196,menu!$A$2:$A$37,menu!$C$2:$C$37,"")</f>
        <v/>
      </c>
      <c r="H1196" t="str">
        <f>_xlfn.LET(_xlpm.x,_xlfn.XLOOKUP(_xlfn.XLOOKUP(D1196,beans!$A$2:$A$300,beans!$I$2:$I$300),menu!$E$2:$E$20,menu!$F$2:$F$20),IF(_xlpm.x="","",_xlpm.x))</f>
        <v/>
      </c>
      <c r="T1196" s="68" t="str">
        <f t="shared" si="128"/>
        <v/>
      </c>
      <c r="U1196" t="str">
        <f t="shared" si="124"/>
        <v/>
      </c>
      <c r="V1196">
        <f t="shared" si="129"/>
        <v>0</v>
      </c>
      <c r="W1196" t="str">
        <f t="shared" si="125"/>
        <v/>
      </c>
      <c r="AB1196" s="28" t="str">
        <f t="shared" si="126"/>
        <v xml:space="preserve"> </v>
      </c>
      <c r="AE1196" s="61" t="str">
        <f t="shared" si="127"/>
        <v/>
      </c>
      <c r="AF1196" s="77" t="str">
        <f>_xlfn.XLOOKUP(AD1196,menu!$K$2:$K$9,menu!$J$2:$J$9,"",1)</f>
        <v/>
      </c>
      <c r="AG1196" s="80" t="str">
        <f>_xlfn.XLOOKUP(AH1196,menu!$O$2:$O$9,menu!$H$2:$H$9,"")</f>
        <v/>
      </c>
      <c r="AI1196" t="str">
        <f>_xlfn.LET(_xlpm.x,_xlfn.CONCAT(_xlfn.XLOOKUP(D1196,beans!$A$2:$A$300,beans!$J$2:$J$300,"")," / ",_xlfn.XLOOKUP(D1196,beans!$A$2:$A$300,beans!$K$2:$K$300,"")," - ",_xlfn.XLOOKUP(D1196,beans!$A$2:$A$300,beans!$L$2:$L$300,"")),IF(_xlpm.x=" /  - ","",_xlpm.x))</f>
        <v/>
      </c>
    </row>
    <row r="1197" spans="1:35" x14ac:dyDescent="0.3">
      <c r="A1197">
        <v>1180</v>
      </c>
      <c r="E1197" t="str">
        <f>_xlfn.LET(_xlpm.x,_xlfn.XLOOKUP(D1197,beans!$A$2:$A$300,beans!$H$2:$H$300,""),IF(_xlpm.x="","",_xlpm.x))</f>
        <v/>
      </c>
      <c r="F1197" s="22" t="str">
        <f>_xlfn.XLOOKUP(E1197,menu!$A$2:$A$37,menu!$B$2:$B$37,"")</f>
        <v/>
      </c>
      <c r="G1197" t="str">
        <f>_xlfn.XLOOKUP(E1197,menu!$A$2:$A$37,menu!$C$2:$C$37,"")</f>
        <v/>
      </c>
      <c r="H1197" t="str">
        <f>_xlfn.LET(_xlpm.x,_xlfn.XLOOKUP(_xlfn.XLOOKUP(D1197,beans!$A$2:$A$300,beans!$I$2:$I$300),menu!$E$2:$E$20,menu!$F$2:$F$20),IF(_xlpm.x="","",_xlpm.x))</f>
        <v/>
      </c>
      <c r="T1197" s="68" t="str">
        <f t="shared" si="128"/>
        <v/>
      </c>
      <c r="U1197" t="str">
        <f t="shared" si="124"/>
        <v/>
      </c>
      <c r="V1197">
        <f t="shared" si="129"/>
        <v>0</v>
      </c>
      <c r="W1197" t="str">
        <f t="shared" si="125"/>
        <v/>
      </c>
      <c r="AB1197" s="28" t="str">
        <f t="shared" si="126"/>
        <v xml:space="preserve"> </v>
      </c>
      <c r="AE1197" s="61" t="str">
        <f t="shared" si="127"/>
        <v/>
      </c>
      <c r="AF1197" s="77" t="str">
        <f>_xlfn.XLOOKUP(AD1197,menu!$K$2:$K$9,menu!$J$2:$J$9,"",1)</f>
        <v/>
      </c>
      <c r="AG1197" s="80" t="str">
        <f>_xlfn.XLOOKUP(AH1197,menu!$O$2:$O$9,menu!$H$2:$H$9,"")</f>
        <v/>
      </c>
      <c r="AI1197" t="str">
        <f>_xlfn.LET(_xlpm.x,_xlfn.CONCAT(_xlfn.XLOOKUP(D1197,beans!$A$2:$A$300,beans!$J$2:$J$300,"")," / ",_xlfn.XLOOKUP(D1197,beans!$A$2:$A$300,beans!$K$2:$K$300,"")," - ",_xlfn.XLOOKUP(D1197,beans!$A$2:$A$300,beans!$L$2:$L$300,"")),IF(_xlpm.x=" /  - ","",_xlpm.x))</f>
        <v/>
      </c>
    </row>
    <row r="1198" spans="1:35" x14ac:dyDescent="0.3">
      <c r="A1198">
        <v>1181</v>
      </c>
      <c r="E1198" t="str">
        <f>_xlfn.LET(_xlpm.x,_xlfn.XLOOKUP(D1198,beans!$A$2:$A$300,beans!$H$2:$H$300,""),IF(_xlpm.x="","",_xlpm.x))</f>
        <v/>
      </c>
      <c r="F1198" s="22" t="str">
        <f>_xlfn.XLOOKUP(E1198,menu!$A$2:$A$37,menu!$B$2:$B$37,"")</f>
        <v/>
      </c>
      <c r="G1198" t="str">
        <f>_xlfn.XLOOKUP(E1198,menu!$A$2:$A$37,menu!$C$2:$C$37,"")</f>
        <v/>
      </c>
      <c r="H1198" t="str">
        <f>_xlfn.LET(_xlpm.x,_xlfn.XLOOKUP(_xlfn.XLOOKUP(D1198,beans!$A$2:$A$300,beans!$I$2:$I$300),menu!$E$2:$E$20,menu!$F$2:$F$20),IF(_xlpm.x="","",_xlpm.x))</f>
        <v/>
      </c>
      <c r="T1198" s="68" t="str">
        <f t="shared" si="128"/>
        <v/>
      </c>
      <c r="U1198" t="str">
        <f t="shared" si="124"/>
        <v/>
      </c>
      <c r="V1198">
        <f t="shared" si="129"/>
        <v>0</v>
      </c>
      <c r="W1198" t="str">
        <f t="shared" si="125"/>
        <v/>
      </c>
      <c r="AB1198" s="28" t="str">
        <f t="shared" si="126"/>
        <v xml:space="preserve"> </v>
      </c>
      <c r="AE1198" s="61" t="str">
        <f t="shared" si="127"/>
        <v/>
      </c>
      <c r="AF1198" s="77" t="str">
        <f>_xlfn.XLOOKUP(AD1198,menu!$K$2:$K$9,menu!$J$2:$J$9,"",1)</f>
        <v/>
      </c>
      <c r="AG1198" s="80" t="str">
        <f>_xlfn.XLOOKUP(AH1198,menu!$O$2:$O$9,menu!$H$2:$H$9,"")</f>
        <v/>
      </c>
      <c r="AI1198" t="str">
        <f>_xlfn.LET(_xlpm.x,_xlfn.CONCAT(_xlfn.XLOOKUP(D1198,beans!$A$2:$A$300,beans!$J$2:$J$300,"")," / ",_xlfn.XLOOKUP(D1198,beans!$A$2:$A$300,beans!$K$2:$K$300,"")," - ",_xlfn.XLOOKUP(D1198,beans!$A$2:$A$300,beans!$L$2:$L$300,"")),IF(_xlpm.x=" /  - ","",_xlpm.x))</f>
        <v/>
      </c>
    </row>
    <row r="1199" spans="1:35" x14ac:dyDescent="0.3">
      <c r="A1199">
        <v>1182</v>
      </c>
      <c r="E1199" t="str">
        <f>_xlfn.LET(_xlpm.x,_xlfn.XLOOKUP(D1199,beans!$A$2:$A$300,beans!$H$2:$H$300,""),IF(_xlpm.x="","",_xlpm.x))</f>
        <v/>
      </c>
      <c r="F1199" s="22" t="str">
        <f>_xlfn.XLOOKUP(E1199,menu!$A$2:$A$37,menu!$B$2:$B$37,"")</f>
        <v/>
      </c>
      <c r="G1199" t="str">
        <f>_xlfn.XLOOKUP(E1199,menu!$A$2:$A$37,menu!$C$2:$C$37,"")</f>
        <v/>
      </c>
      <c r="H1199" t="str">
        <f>_xlfn.LET(_xlpm.x,_xlfn.XLOOKUP(_xlfn.XLOOKUP(D1199,beans!$A$2:$A$300,beans!$I$2:$I$300),menu!$E$2:$E$20,menu!$F$2:$F$20),IF(_xlpm.x="","",_xlpm.x))</f>
        <v/>
      </c>
      <c r="T1199" s="68" t="str">
        <f t="shared" si="128"/>
        <v/>
      </c>
      <c r="U1199" t="str">
        <f t="shared" si="124"/>
        <v/>
      </c>
      <c r="V1199">
        <f t="shared" si="129"/>
        <v>0</v>
      </c>
      <c r="W1199" t="str">
        <f t="shared" si="125"/>
        <v/>
      </c>
      <c r="AB1199" s="28" t="str">
        <f t="shared" si="126"/>
        <v xml:space="preserve"> </v>
      </c>
      <c r="AE1199" s="61" t="str">
        <f t="shared" si="127"/>
        <v/>
      </c>
      <c r="AF1199" s="77" t="str">
        <f>_xlfn.XLOOKUP(AD1199,menu!$K$2:$K$9,menu!$J$2:$J$9,"",1)</f>
        <v/>
      </c>
      <c r="AG1199" s="80" t="str">
        <f>_xlfn.XLOOKUP(AH1199,menu!$O$2:$O$9,menu!$H$2:$H$9,"")</f>
        <v/>
      </c>
      <c r="AI1199" t="str">
        <f>_xlfn.LET(_xlpm.x,_xlfn.CONCAT(_xlfn.XLOOKUP(D1199,beans!$A$2:$A$300,beans!$J$2:$J$300,"")," / ",_xlfn.XLOOKUP(D1199,beans!$A$2:$A$300,beans!$K$2:$K$300,"")," - ",_xlfn.XLOOKUP(D1199,beans!$A$2:$A$300,beans!$L$2:$L$300,"")),IF(_xlpm.x=" /  - ","",_xlpm.x))</f>
        <v/>
      </c>
    </row>
    <row r="1200" spans="1:35" x14ac:dyDescent="0.3">
      <c r="A1200">
        <v>1183</v>
      </c>
      <c r="E1200" t="str">
        <f>_xlfn.LET(_xlpm.x,_xlfn.XLOOKUP(D1200,beans!$A$2:$A$300,beans!$H$2:$H$300,""),IF(_xlpm.x="","",_xlpm.x))</f>
        <v/>
      </c>
      <c r="F1200" s="22" t="str">
        <f>_xlfn.XLOOKUP(E1200,menu!$A$2:$A$37,menu!$B$2:$B$37,"")</f>
        <v/>
      </c>
      <c r="G1200" t="str">
        <f>_xlfn.XLOOKUP(E1200,menu!$A$2:$A$37,menu!$C$2:$C$37,"")</f>
        <v/>
      </c>
      <c r="H1200" t="str">
        <f>_xlfn.LET(_xlpm.x,_xlfn.XLOOKUP(_xlfn.XLOOKUP(D1200,beans!$A$2:$A$300,beans!$I$2:$I$300),menu!$E$2:$E$20,menu!$F$2:$F$20),IF(_xlpm.x="","",_xlpm.x))</f>
        <v/>
      </c>
      <c r="T1200" s="68" t="str">
        <f t="shared" si="128"/>
        <v/>
      </c>
      <c r="U1200" t="str">
        <f t="shared" si="124"/>
        <v/>
      </c>
      <c r="V1200">
        <f t="shared" si="129"/>
        <v>0</v>
      </c>
      <c r="W1200" t="str">
        <f t="shared" si="125"/>
        <v/>
      </c>
      <c r="AB1200" s="28" t="str">
        <f t="shared" si="126"/>
        <v xml:space="preserve"> </v>
      </c>
      <c r="AE1200" s="61" t="str">
        <f t="shared" si="127"/>
        <v/>
      </c>
      <c r="AF1200" s="77" t="str">
        <f>_xlfn.XLOOKUP(AD1200,menu!$K$2:$K$9,menu!$J$2:$J$9,"",1)</f>
        <v/>
      </c>
      <c r="AG1200" s="80" t="str">
        <f>_xlfn.XLOOKUP(AH1200,menu!$O$2:$O$9,menu!$H$2:$H$9,"")</f>
        <v/>
      </c>
      <c r="AI1200" t="str">
        <f>_xlfn.LET(_xlpm.x,_xlfn.CONCAT(_xlfn.XLOOKUP(D1200,beans!$A$2:$A$300,beans!$J$2:$J$300,"")," / ",_xlfn.XLOOKUP(D1200,beans!$A$2:$A$300,beans!$K$2:$K$300,"")," - ",_xlfn.XLOOKUP(D1200,beans!$A$2:$A$300,beans!$L$2:$L$300,"")),IF(_xlpm.x=" /  - ","",_xlpm.x))</f>
        <v/>
      </c>
    </row>
    <row r="1201" spans="1:35" x14ac:dyDescent="0.3">
      <c r="A1201">
        <v>1184</v>
      </c>
      <c r="E1201" t="str">
        <f>_xlfn.LET(_xlpm.x,_xlfn.XLOOKUP(D1201,beans!$A$2:$A$300,beans!$H$2:$H$300,""),IF(_xlpm.x="","",_xlpm.x))</f>
        <v/>
      </c>
      <c r="F1201" s="22" t="str">
        <f>_xlfn.XLOOKUP(E1201,menu!$A$2:$A$37,menu!$B$2:$B$37,"")</f>
        <v/>
      </c>
      <c r="G1201" t="str">
        <f>_xlfn.XLOOKUP(E1201,menu!$A$2:$A$37,menu!$C$2:$C$37,"")</f>
        <v/>
      </c>
      <c r="H1201" t="str">
        <f>_xlfn.LET(_xlpm.x,_xlfn.XLOOKUP(_xlfn.XLOOKUP(D1201,beans!$A$2:$A$300,beans!$I$2:$I$300),menu!$E$2:$E$20,menu!$F$2:$F$20),IF(_xlpm.x="","",_xlpm.x))</f>
        <v/>
      </c>
      <c r="T1201" s="68" t="str">
        <f t="shared" si="128"/>
        <v/>
      </c>
      <c r="U1201" t="str">
        <f t="shared" si="124"/>
        <v/>
      </c>
      <c r="V1201">
        <f t="shared" si="129"/>
        <v>0</v>
      </c>
      <c r="W1201" t="str">
        <f t="shared" si="125"/>
        <v/>
      </c>
      <c r="AB1201" s="28" t="str">
        <f t="shared" si="126"/>
        <v xml:space="preserve"> </v>
      </c>
      <c r="AE1201" s="61" t="str">
        <f t="shared" si="127"/>
        <v/>
      </c>
      <c r="AF1201" s="77" t="str">
        <f>_xlfn.XLOOKUP(AD1201,menu!$K$2:$K$9,menu!$J$2:$J$9,"",1)</f>
        <v/>
      </c>
      <c r="AG1201" s="80" t="str">
        <f>_xlfn.XLOOKUP(AH1201,menu!$O$2:$O$9,menu!$H$2:$H$9,"")</f>
        <v/>
      </c>
      <c r="AI1201" t="str">
        <f>_xlfn.LET(_xlpm.x,_xlfn.CONCAT(_xlfn.XLOOKUP(D1201,beans!$A$2:$A$300,beans!$J$2:$J$300,"")," / ",_xlfn.XLOOKUP(D1201,beans!$A$2:$A$300,beans!$K$2:$K$300,"")," - ",_xlfn.XLOOKUP(D1201,beans!$A$2:$A$300,beans!$L$2:$L$300,"")),IF(_xlpm.x=" /  - ","",_xlpm.x))</f>
        <v/>
      </c>
    </row>
    <row r="1202" spans="1:35" x14ac:dyDescent="0.3">
      <c r="A1202">
        <v>1185</v>
      </c>
      <c r="E1202" t="str">
        <f>_xlfn.LET(_xlpm.x,_xlfn.XLOOKUP(D1202,beans!$A$2:$A$300,beans!$H$2:$H$300,""),IF(_xlpm.x="","",_xlpm.x))</f>
        <v/>
      </c>
      <c r="F1202" s="22" t="str">
        <f>_xlfn.XLOOKUP(E1202,menu!$A$2:$A$37,menu!$B$2:$B$37,"")</f>
        <v/>
      </c>
      <c r="G1202" t="str">
        <f>_xlfn.XLOOKUP(E1202,menu!$A$2:$A$37,menu!$C$2:$C$37,"")</f>
        <v/>
      </c>
      <c r="H1202" t="str">
        <f>_xlfn.LET(_xlpm.x,_xlfn.XLOOKUP(_xlfn.XLOOKUP(D1202,beans!$A$2:$A$300,beans!$I$2:$I$300),menu!$E$2:$E$20,menu!$F$2:$F$20),IF(_xlpm.x="","",_xlpm.x))</f>
        <v/>
      </c>
      <c r="T1202" s="68" t="str">
        <f t="shared" si="128"/>
        <v/>
      </c>
      <c r="U1202" t="str">
        <f t="shared" si="124"/>
        <v/>
      </c>
      <c r="V1202">
        <f t="shared" si="129"/>
        <v>0</v>
      </c>
      <c r="W1202" t="str">
        <f t="shared" si="125"/>
        <v/>
      </c>
      <c r="AB1202" s="28" t="str">
        <f t="shared" si="126"/>
        <v xml:space="preserve"> </v>
      </c>
      <c r="AE1202" s="61" t="str">
        <f t="shared" si="127"/>
        <v/>
      </c>
      <c r="AF1202" s="77" t="str">
        <f>_xlfn.XLOOKUP(AD1202,menu!$K$2:$K$9,menu!$J$2:$J$9,"",1)</f>
        <v/>
      </c>
      <c r="AG1202" s="80" t="str">
        <f>_xlfn.XLOOKUP(AH1202,menu!$O$2:$O$9,menu!$H$2:$H$9,"")</f>
        <v/>
      </c>
      <c r="AI1202" t="str">
        <f>_xlfn.LET(_xlpm.x,_xlfn.CONCAT(_xlfn.XLOOKUP(D1202,beans!$A$2:$A$300,beans!$J$2:$J$300,"")," / ",_xlfn.XLOOKUP(D1202,beans!$A$2:$A$300,beans!$K$2:$K$300,"")," - ",_xlfn.XLOOKUP(D1202,beans!$A$2:$A$300,beans!$L$2:$L$300,"")),IF(_xlpm.x=" /  - ","",_xlpm.x))</f>
        <v/>
      </c>
    </row>
    <row r="1203" spans="1:35" x14ac:dyDescent="0.3">
      <c r="A1203">
        <v>1186</v>
      </c>
      <c r="E1203" t="str">
        <f>_xlfn.LET(_xlpm.x,_xlfn.XLOOKUP(D1203,beans!$A$2:$A$300,beans!$H$2:$H$300,""),IF(_xlpm.x="","",_xlpm.x))</f>
        <v/>
      </c>
      <c r="F1203" s="22" t="str">
        <f>_xlfn.XLOOKUP(E1203,menu!$A$2:$A$37,menu!$B$2:$B$37,"")</f>
        <v/>
      </c>
      <c r="G1203" t="str">
        <f>_xlfn.XLOOKUP(E1203,menu!$A$2:$A$37,menu!$C$2:$C$37,"")</f>
        <v/>
      </c>
      <c r="H1203" t="str">
        <f>_xlfn.LET(_xlpm.x,_xlfn.XLOOKUP(_xlfn.XLOOKUP(D1203,beans!$A$2:$A$300,beans!$I$2:$I$300),menu!$E$2:$E$20,menu!$F$2:$F$20),IF(_xlpm.x="","",_xlpm.x))</f>
        <v/>
      </c>
      <c r="T1203" s="68" t="str">
        <f t="shared" si="128"/>
        <v/>
      </c>
      <c r="U1203" t="str">
        <f t="shared" si="124"/>
        <v/>
      </c>
      <c r="V1203">
        <f t="shared" si="129"/>
        <v>0</v>
      </c>
      <c r="W1203" t="str">
        <f t="shared" si="125"/>
        <v/>
      </c>
      <c r="AB1203" s="28" t="str">
        <f t="shared" si="126"/>
        <v xml:space="preserve"> </v>
      </c>
      <c r="AE1203" s="61" t="str">
        <f t="shared" si="127"/>
        <v/>
      </c>
      <c r="AF1203" s="77" t="str">
        <f>_xlfn.XLOOKUP(AD1203,menu!$K$2:$K$9,menu!$J$2:$J$9,"",1)</f>
        <v/>
      </c>
      <c r="AG1203" s="80" t="str">
        <f>_xlfn.XLOOKUP(AH1203,menu!$O$2:$O$9,menu!$H$2:$H$9,"")</f>
        <v/>
      </c>
      <c r="AI1203" t="str">
        <f>_xlfn.LET(_xlpm.x,_xlfn.CONCAT(_xlfn.XLOOKUP(D1203,beans!$A$2:$A$300,beans!$J$2:$J$300,"")," / ",_xlfn.XLOOKUP(D1203,beans!$A$2:$A$300,beans!$K$2:$K$300,"")," - ",_xlfn.XLOOKUP(D1203,beans!$A$2:$A$300,beans!$L$2:$L$300,"")),IF(_xlpm.x=" /  - ","",_xlpm.x))</f>
        <v/>
      </c>
    </row>
    <row r="1204" spans="1:35" x14ac:dyDescent="0.3">
      <c r="A1204">
        <v>1187</v>
      </c>
      <c r="E1204" t="str">
        <f>_xlfn.LET(_xlpm.x,_xlfn.XLOOKUP(D1204,beans!$A$2:$A$300,beans!$H$2:$H$300,""),IF(_xlpm.x="","",_xlpm.x))</f>
        <v/>
      </c>
      <c r="F1204" s="22" t="str">
        <f>_xlfn.XLOOKUP(E1204,menu!$A$2:$A$37,menu!$B$2:$B$37,"")</f>
        <v/>
      </c>
      <c r="G1204" t="str">
        <f>_xlfn.XLOOKUP(E1204,menu!$A$2:$A$37,menu!$C$2:$C$37,"")</f>
        <v/>
      </c>
      <c r="H1204" t="str">
        <f>_xlfn.LET(_xlpm.x,_xlfn.XLOOKUP(_xlfn.XLOOKUP(D1204,beans!$A$2:$A$300,beans!$I$2:$I$300),menu!$E$2:$E$20,menu!$F$2:$F$20),IF(_xlpm.x="","",_xlpm.x))</f>
        <v/>
      </c>
      <c r="T1204" s="68" t="str">
        <f t="shared" si="128"/>
        <v/>
      </c>
      <c r="U1204" t="str">
        <f t="shared" si="124"/>
        <v/>
      </c>
      <c r="V1204">
        <f t="shared" si="129"/>
        <v>0</v>
      </c>
      <c r="W1204" t="str">
        <f t="shared" si="125"/>
        <v/>
      </c>
      <c r="AB1204" s="28" t="str">
        <f t="shared" si="126"/>
        <v xml:space="preserve"> </v>
      </c>
      <c r="AE1204" s="61" t="str">
        <f t="shared" si="127"/>
        <v/>
      </c>
      <c r="AF1204" s="77" t="str">
        <f>_xlfn.XLOOKUP(AD1204,menu!$K$2:$K$9,menu!$J$2:$J$9,"",1)</f>
        <v/>
      </c>
      <c r="AG1204" s="80" t="str">
        <f>_xlfn.XLOOKUP(AH1204,menu!$O$2:$O$9,menu!$H$2:$H$9,"")</f>
        <v/>
      </c>
      <c r="AI1204" t="str">
        <f>_xlfn.LET(_xlpm.x,_xlfn.CONCAT(_xlfn.XLOOKUP(D1204,beans!$A$2:$A$300,beans!$J$2:$J$300,"")," / ",_xlfn.XLOOKUP(D1204,beans!$A$2:$A$300,beans!$K$2:$K$300,"")," - ",_xlfn.XLOOKUP(D1204,beans!$A$2:$A$300,beans!$L$2:$L$300,"")),IF(_xlpm.x=" /  - ","",_xlpm.x))</f>
        <v/>
      </c>
    </row>
    <row r="1205" spans="1:35" x14ac:dyDescent="0.3">
      <c r="A1205">
        <v>1188</v>
      </c>
      <c r="E1205" t="str">
        <f>_xlfn.LET(_xlpm.x,_xlfn.XLOOKUP(D1205,beans!$A$2:$A$300,beans!$H$2:$H$300,""),IF(_xlpm.x="","",_xlpm.x))</f>
        <v/>
      </c>
      <c r="F1205" s="22" t="str">
        <f>_xlfn.XLOOKUP(E1205,menu!$A$2:$A$37,menu!$B$2:$B$37,"")</f>
        <v/>
      </c>
      <c r="G1205" t="str">
        <f>_xlfn.XLOOKUP(E1205,menu!$A$2:$A$37,menu!$C$2:$C$37,"")</f>
        <v/>
      </c>
      <c r="H1205" t="str">
        <f>_xlfn.LET(_xlpm.x,_xlfn.XLOOKUP(_xlfn.XLOOKUP(D1205,beans!$A$2:$A$300,beans!$I$2:$I$300),menu!$E$2:$E$20,menu!$F$2:$F$20),IF(_xlpm.x="","",_xlpm.x))</f>
        <v/>
      </c>
      <c r="T1205" s="68" t="str">
        <f t="shared" si="128"/>
        <v/>
      </c>
      <c r="U1205" t="str">
        <f t="shared" si="124"/>
        <v/>
      </c>
      <c r="V1205">
        <f t="shared" si="129"/>
        <v>0</v>
      </c>
      <c r="W1205" t="str">
        <f t="shared" si="125"/>
        <v/>
      </c>
      <c r="AB1205" s="28" t="str">
        <f t="shared" si="126"/>
        <v xml:space="preserve"> </v>
      </c>
      <c r="AE1205" s="61" t="str">
        <f t="shared" si="127"/>
        <v/>
      </c>
      <c r="AF1205" s="77" t="str">
        <f>_xlfn.XLOOKUP(AD1205,menu!$K$2:$K$9,menu!$J$2:$J$9,"",1)</f>
        <v/>
      </c>
      <c r="AG1205" s="80" t="str">
        <f>_xlfn.XLOOKUP(AH1205,menu!$O$2:$O$9,menu!$H$2:$H$9,"")</f>
        <v/>
      </c>
      <c r="AI1205" t="str">
        <f>_xlfn.LET(_xlpm.x,_xlfn.CONCAT(_xlfn.XLOOKUP(D1205,beans!$A$2:$A$300,beans!$J$2:$J$300,"")," / ",_xlfn.XLOOKUP(D1205,beans!$A$2:$A$300,beans!$K$2:$K$300,"")," - ",_xlfn.XLOOKUP(D1205,beans!$A$2:$A$300,beans!$L$2:$L$300,"")),IF(_xlpm.x=" /  - ","",_xlpm.x))</f>
        <v/>
      </c>
    </row>
    <row r="1206" spans="1:35" x14ac:dyDescent="0.3">
      <c r="A1206">
        <v>1189</v>
      </c>
      <c r="E1206" t="str">
        <f>_xlfn.LET(_xlpm.x,_xlfn.XLOOKUP(D1206,beans!$A$2:$A$300,beans!$H$2:$H$300,""),IF(_xlpm.x="","",_xlpm.x))</f>
        <v/>
      </c>
      <c r="F1206" s="22" t="str">
        <f>_xlfn.XLOOKUP(E1206,menu!$A$2:$A$37,menu!$B$2:$B$37,"")</f>
        <v/>
      </c>
      <c r="G1206" t="str">
        <f>_xlfn.XLOOKUP(E1206,menu!$A$2:$A$37,menu!$C$2:$C$37,"")</f>
        <v/>
      </c>
      <c r="H1206" t="str">
        <f>_xlfn.LET(_xlpm.x,_xlfn.XLOOKUP(_xlfn.XLOOKUP(D1206,beans!$A$2:$A$300,beans!$I$2:$I$300),menu!$E$2:$E$20,menu!$F$2:$F$20),IF(_xlpm.x="","",_xlpm.x))</f>
        <v/>
      </c>
      <c r="T1206" s="68" t="str">
        <f t="shared" si="128"/>
        <v/>
      </c>
      <c r="U1206" t="str">
        <f t="shared" si="124"/>
        <v/>
      </c>
      <c r="V1206">
        <f t="shared" si="129"/>
        <v>0</v>
      </c>
      <c r="W1206" t="str">
        <f t="shared" si="125"/>
        <v/>
      </c>
      <c r="AB1206" s="28" t="str">
        <f t="shared" si="126"/>
        <v xml:space="preserve"> </v>
      </c>
      <c r="AE1206" s="61" t="str">
        <f t="shared" si="127"/>
        <v/>
      </c>
      <c r="AF1206" s="77" t="str">
        <f>_xlfn.XLOOKUP(AD1206,menu!$K$2:$K$9,menu!$J$2:$J$9,"",1)</f>
        <v/>
      </c>
      <c r="AG1206" s="80" t="str">
        <f>_xlfn.XLOOKUP(AH1206,menu!$O$2:$O$9,menu!$H$2:$H$9,"")</f>
        <v/>
      </c>
      <c r="AI1206" t="str">
        <f>_xlfn.LET(_xlpm.x,_xlfn.CONCAT(_xlfn.XLOOKUP(D1206,beans!$A$2:$A$300,beans!$J$2:$J$300,"")," / ",_xlfn.XLOOKUP(D1206,beans!$A$2:$A$300,beans!$K$2:$K$300,"")," - ",_xlfn.XLOOKUP(D1206,beans!$A$2:$A$300,beans!$L$2:$L$300,"")),IF(_xlpm.x=" /  - ","",_xlpm.x))</f>
        <v/>
      </c>
    </row>
    <row r="1207" spans="1:35" x14ac:dyDescent="0.3">
      <c r="A1207">
        <v>1190</v>
      </c>
      <c r="E1207" t="str">
        <f>_xlfn.LET(_xlpm.x,_xlfn.XLOOKUP(D1207,beans!$A$2:$A$300,beans!$H$2:$H$300,""),IF(_xlpm.x="","",_xlpm.x))</f>
        <v/>
      </c>
      <c r="F1207" s="22" t="str">
        <f>_xlfn.XLOOKUP(E1207,menu!$A$2:$A$37,menu!$B$2:$B$37,"")</f>
        <v/>
      </c>
      <c r="G1207" t="str">
        <f>_xlfn.XLOOKUP(E1207,menu!$A$2:$A$37,menu!$C$2:$C$37,"")</f>
        <v/>
      </c>
      <c r="H1207" t="str">
        <f>_xlfn.LET(_xlpm.x,_xlfn.XLOOKUP(_xlfn.XLOOKUP(D1207,beans!$A$2:$A$300,beans!$I$2:$I$300),menu!$E$2:$E$20,menu!$F$2:$F$20),IF(_xlpm.x="","",_xlpm.x))</f>
        <v/>
      </c>
      <c r="T1207" s="68" t="str">
        <f t="shared" si="128"/>
        <v/>
      </c>
      <c r="U1207" t="str">
        <f t="shared" si="124"/>
        <v/>
      </c>
      <c r="V1207">
        <f t="shared" si="129"/>
        <v>0</v>
      </c>
      <c r="W1207" t="str">
        <f t="shared" si="125"/>
        <v/>
      </c>
      <c r="AB1207" s="28" t="str">
        <f t="shared" si="126"/>
        <v xml:space="preserve"> </v>
      </c>
      <c r="AE1207" s="61" t="str">
        <f t="shared" si="127"/>
        <v/>
      </c>
      <c r="AF1207" s="77" t="str">
        <f>_xlfn.XLOOKUP(AD1207,menu!$K$2:$K$9,menu!$J$2:$J$9,"",1)</f>
        <v/>
      </c>
      <c r="AG1207" s="80" t="str">
        <f>_xlfn.XLOOKUP(AH1207,menu!$O$2:$O$9,menu!$H$2:$H$9,"")</f>
        <v/>
      </c>
      <c r="AI1207" t="str">
        <f>_xlfn.LET(_xlpm.x,_xlfn.CONCAT(_xlfn.XLOOKUP(D1207,beans!$A$2:$A$300,beans!$J$2:$J$300,"")," / ",_xlfn.XLOOKUP(D1207,beans!$A$2:$A$300,beans!$K$2:$K$300,"")," - ",_xlfn.XLOOKUP(D1207,beans!$A$2:$A$300,beans!$L$2:$L$300,"")),IF(_xlpm.x=" /  - ","",_xlpm.x))</f>
        <v/>
      </c>
    </row>
    <row r="1208" spans="1:35" x14ac:dyDescent="0.3">
      <c r="A1208">
        <v>1191</v>
      </c>
      <c r="E1208" t="str">
        <f>_xlfn.LET(_xlpm.x,_xlfn.XLOOKUP(D1208,beans!$A$2:$A$300,beans!$H$2:$H$300,""),IF(_xlpm.x="","",_xlpm.x))</f>
        <v/>
      </c>
      <c r="F1208" s="22" t="str">
        <f>_xlfn.XLOOKUP(E1208,menu!$A$2:$A$37,menu!$B$2:$B$37,"")</f>
        <v/>
      </c>
      <c r="G1208" t="str">
        <f>_xlfn.XLOOKUP(E1208,menu!$A$2:$A$37,menu!$C$2:$C$37,"")</f>
        <v/>
      </c>
      <c r="H1208" t="str">
        <f>_xlfn.LET(_xlpm.x,_xlfn.XLOOKUP(_xlfn.XLOOKUP(D1208,beans!$A$2:$A$300,beans!$I$2:$I$300),menu!$E$2:$E$20,menu!$F$2:$F$20),IF(_xlpm.x="","",_xlpm.x))</f>
        <v/>
      </c>
      <c r="T1208" s="68" t="str">
        <f t="shared" si="128"/>
        <v/>
      </c>
      <c r="U1208" t="str">
        <f t="shared" si="124"/>
        <v/>
      </c>
      <c r="V1208">
        <f t="shared" si="129"/>
        <v>0</v>
      </c>
      <c r="W1208" t="str">
        <f t="shared" si="125"/>
        <v/>
      </c>
      <c r="AB1208" s="28" t="str">
        <f t="shared" si="126"/>
        <v xml:space="preserve"> </v>
      </c>
      <c r="AE1208" s="61" t="str">
        <f t="shared" si="127"/>
        <v/>
      </c>
      <c r="AF1208" s="77" t="str">
        <f>_xlfn.XLOOKUP(AD1208,menu!$K$2:$K$9,menu!$J$2:$J$9,"",1)</f>
        <v/>
      </c>
      <c r="AG1208" s="80" t="str">
        <f>_xlfn.XLOOKUP(AH1208,menu!$O$2:$O$9,menu!$H$2:$H$9,"")</f>
        <v/>
      </c>
      <c r="AI1208" t="str">
        <f>_xlfn.LET(_xlpm.x,_xlfn.CONCAT(_xlfn.XLOOKUP(D1208,beans!$A$2:$A$300,beans!$J$2:$J$300,"")," / ",_xlfn.XLOOKUP(D1208,beans!$A$2:$A$300,beans!$K$2:$K$300,"")," - ",_xlfn.XLOOKUP(D1208,beans!$A$2:$A$300,beans!$L$2:$L$300,"")),IF(_xlpm.x=" /  - ","",_xlpm.x))</f>
        <v/>
      </c>
    </row>
    <row r="1209" spans="1:35" x14ac:dyDescent="0.3">
      <c r="A1209">
        <v>1192</v>
      </c>
      <c r="E1209" t="str">
        <f>_xlfn.LET(_xlpm.x,_xlfn.XLOOKUP(D1209,beans!$A$2:$A$300,beans!$H$2:$H$300,""),IF(_xlpm.x="","",_xlpm.x))</f>
        <v/>
      </c>
      <c r="F1209" s="22" t="str">
        <f>_xlfn.XLOOKUP(E1209,menu!$A$2:$A$37,menu!$B$2:$B$37,"")</f>
        <v/>
      </c>
      <c r="G1209" t="str">
        <f>_xlfn.XLOOKUP(E1209,menu!$A$2:$A$37,menu!$C$2:$C$37,"")</f>
        <v/>
      </c>
      <c r="H1209" t="str">
        <f>_xlfn.LET(_xlpm.x,_xlfn.XLOOKUP(_xlfn.XLOOKUP(D1209,beans!$A$2:$A$300,beans!$I$2:$I$300),menu!$E$2:$E$20,menu!$F$2:$F$20),IF(_xlpm.x="","",_xlpm.x))</f>
        <v/>
      </c>
      <c r="T1209" s="68" t="str">
        <f t="shared" si="128"/>
        <v/>
      </c>
      <c r="U1209" t="str">
        <f t="shared" si="124"/>
        <v/>
      </c>
      <c r="V1209">
        <f t="shared" si="129"/>
        <v>0</v>
      </c>
      <c r="W1209" t="str">
        <f t="shared" si="125"/>
        <v/>
      </c>
      <c r="AB1209" s="28" t="str">
        <f t="shared" si="126"/>
        <v xml:space="preserve"> </v>
      </c>
      <c r="AE1209" s="61" t="str">
        <f t="shared" si="127"/>
        <v/>
      </c>
      <c r="AF1209" s="77" t="str">
        <f>_xlfn.XLOOKUP(AD1209,menu!$K$2:$K$9,menu!$J$2:$J$9,"",1)</f>
        <v/>
      </c>
      <c r="AG1209" s="80" t="str">
        <f>_xlfn.XLOOKUP(AH1209,menu!$O$2:$O$9,menu!$H$2:$H$9,"")</f>
        <v/>
      </c>
      <c r="AI1209" t="str">
        <f>_xlfn.LET(_xlpm.x,_xlfn.CONCAT(_xlfn.XLOOKUP(D1209,beans!$A$2:$A$300,beans!$J$2:$J$300,"")," / ",_xlfn.XLOOKUP(D1209,beans!$A$2:$A$300,beans!$K$2:$K$300,"")," - ",_xlfn.XLOOKUP(D1209,beans!$A$2:$A$300,beans!$L$2:$L$300,"")),IF(_xlpm.x=" /  - ","",_xlpm.x))</f>
        <v/>
      </c>
    </row>
    <row r="1210" spans="1:35" x14ac:dyDescent="0.3">
      <c r="A1210">
        <v>1193</v>
      </c>
      <c r="E1210" t="str">
        <f>_xlfn.LET(_xlpm.x,_xlfn.XLOOKUP(D1210,beans!$A$2:$A$300,beans!$H$2:$H$300,""),IF(_xlpm.x="","",_xlpm.x))</f>
        <v/>
      </c>
      <c r="F1210" s="22" t="str">
        <f>_xlfn.XLOOKUP(E1210,menu!$A$2:$A$37,menu!$B$2:$B$37,"")</f>
        <v/>
      </c>
      <c r="G1210" t="str">
        <f>_xlfn.XLOOKUP(E1210,menu!$A$2:$A$37,menu!$C$2:$C$37,"")</f>
        <v/>
      </c>
      <c r="H1210" t="str">
        <f>_xlfn.LET(_xlpm.x,_xlfn.XLOOKUP(_xlfn.XLOOKUP(D1210,beans!$A$2:$A$300,beans!$I$2:$I$300),menu!$E$2:$E$20,menu!$F$2:$F$20),IF(_xlpm.x="","",_xlpm.x))</f>
        <v/>
      </c>
      <c r="T1210" s="68" t="str">
        <f t="shared" si="128"/>
        <v/>
      </c>
      <c r="U1210" t="str">
        <f t="shared" si="124"/>
        <v/>
      </c>
      <c r="V1210">
        <f t="shared" si="129"/>
        <v>0</v>
      </c>
      <c r="W1210" t="str">
        <f t="shared" si="125"/>
        <v/>
      </c>
      <c r="AB1210" s="28" t="str">
        <f t="shared" si="126"/>
        <v xml:space="preserve"> </v>
      </c>
      <c r="AE1210" s="61" t="str">
        <f t="shared" si="127"/>
        <v/>
      </c>
      <c r="AF1210" s="77" t="str">
        <f>_xlfn.XLOOKUP(AD1210,menu!$K$2:$K$9,menu!$J$2:$J$9,"",1)</f>
        <v/>
      </c>
      <c r="AG1210" s="80" t="str">
        <f>_xlfn.XLOOKUP(AH1210,menu!$O$2:$O$9,menu!$H$2:$H$9,"")</f>
        <v/>
      </c>
      <c r="AI1210" t="str">
        <f>_xlfn.LET(_xlpm.x,_xlfn.CONCAT(_xlfn.XLOOKUP(D1210,beans!$A$2:$A$300,beans!$J$2:$J$300,"")," / ",_xlfn.XLOOKUP(D1210,beans!$A$2:$A$300,beans!$K$2:$K$300,"")," - ",_xlfn.XLOOKUP(D1210,beans!$A$2:$A$300,beans!$L$2:$L$300,"")),IF(_xlpm.x=" /  - ","",_xlpm.x))</f>
        <v/>
      </c>
    </row>
    <row r="1211" spans="1:35" x14ac:dyDescent="0.3">
      <c r="A1211">
        <v>1194</v>
      </c>
      <c r="E1211" t="str">
        <f>_xlfn.LET(_xlpm.x,_xlfn.XLOOKUP(D1211,beans!$A$2:$A$300,beans!$H$2:$H$300,""),IF(_xlpm.x="","",_xlpm.x))</f>
        <v/>
      </c>
      <c r="F1211" s="22" t="str">
        <f>_xlfn.XLOOKUP(E1211,menu!$A$2:$A$37,menu!$B$2:$B$37,"")</f>
        <v/>
      </c>
      <c r="G1211" t="str">
        <f>_xlfn.XLOOKUP(E1211,menu!$A$2:$A$37,menu!$C$2:$C$37,"")</f>
        <v/>
      </c>
      <c r="H1211" t="str">
        <f>_xlfn.LET(_xlpm.x,_xlfn.XLOOKUP(_xlfn.XLOOKUP(D1211,beans!$A$2:$A$300,beans!$I$2:$I$300),menu!$E$2:$E$20,menu!$F$2:$F$20),IF(_xlpm.x="","",_xlpm.x))</f>
        <v/>
      </c>
      <c r="T1211" s="68" t="str">
        <f t="shared" si="128"/>
        <v/>
      </c>
      <c r="U1211" t="str">
        <f t="shared" si="124"/>
        <v/>
      </c>
      <c r="V1211">
        <f t="shared" si="129"/>
        <v>0</v>
      </c>
      <c r="W1211" t="str">
        <f t="shared" si="125"/>
        <v/>
      </c>
      <c r="AB1211" s="28" t="str">
        <f t="shared" si="126"/>
        <v xml:space="preserve"> </v>
      </c>
      <c r="AE1211" s="61" t="str">
        <f t="shared" si="127"/>
        <v/>
      </c>
      <c r="AF1211" s="77" t="str">
        <f>_xlfn.XLOOKUP(AD1211,menu!$K$2:$K$9,menu!$J$2:$J$9,"",1)</f>
        <v/>
      </c>
      <c r="AG1211" s="80" t="str">
        <f>_xlfn.XLOOKUP(AH1211,menu!$O$2:$O$9,menu!$H$2:$H$9,"")</f>
        <v/>
      </c>
      <c r="AI1211" t="str">
        <f>_xlfn.LET(_xlpm.x,_xlfn.CONCAT(_xlfn.XLOOKUP(D1211,beans!$A$2:$A$300,beans!$J$2:$J$300,"")," / ",_xlfn.XLOOKUP(D1211,beans!$A$2:$A$300,beans!$K$2:$K$300,"")," - ",_xlfn.XLOOKUP(D1211,beans!$A$2:$A$300,beans!$L$2:$L$300,"")),IF(_xlpm.x=" /  - ","",_xlpm.x))</f>
        <v/>
      </c>
    </row>
    <row r="1212" spans="1:35" x14ac:dyDescent="0.3">
      <c r="A1212">
        <v>1195</v>
      </c>
      <c r="E1212" t="str">
        <f>_xlfn.LET(_xlpm.x,_xlfn.XLOOKUP(D1212,beans!$A$2:$A$300,beans!$H$2:$H$300,""),IF(_xlpm.x="","",_xlpm.x))</f>
        <v/>
      </c>
      <c r="F1212" s="22" t="str">
        <f>_xlfn.XLOOKUP(E1212,menu!$A$2:$A$37,menu!$B$2:$B$37,"")</f>
        <v/>
      </c>
      <c r="G1212" t="str">
        <f>_xlfn.XLOOKUP(E1212,menu!$A$2:$A$37,menu!$C$2:$C$37,"")</f>
        <v/>
      </c>
      <c r="H1212" t="str">
        <f>_xlfn.LET(_xlpm.x,_xlfn.XLOOKUP(_xlfn.XLOOKUP(D1212,beans!$A$2:$A$300,beans!$I$2:$I$300),menu!$E$2:$E$20,menu!$F$2:$F$20),IF(_xlpm.x="","",_xlpm.x))</f>
        <v/>
      </c>
      <c r="T1212" s="68" t="str">
        <f t="shared" si="128"/>
        <v/>
      </c>
      <c r="U1212" t="str">
        <f t="shared" si="124"/>
        <v/>
      </c>
      <c r="V1212">
        <f t="shared" si="129"/>
        <v>0</v>
      </c>
      <c r="W1212" t="str">
        <f t="shared" si="125"/>
        <v/>
      </c>
      <c r="AB1212" s="28" t="str">
        <f t="shared" si="126"/>
        <v xml:space="preserve"> </v>
      </c>
      <c r="AE1212" s="61" t="str">
        <f t="shared" si="127"/>
        <v/>
      </c>
      <c r="AF1212" s="77" t="str">
        <f>_xlfn.XLOOKUP(AD1212,menu!$K$2:$K$9,menu!$J$2:$J$9,"",1)</f>
        <v/>
      </c>
      <c r="AG1212" s="80" t="str">
        <f>_xlfn.XLOOKUP(AH1212,menu!$O$2:$O$9,menu!$H$2:$H$9,"")</f>
        <v/>
      </c>
      <c r="AI1212" t="str">
        <f>_xlfn.LET(_xlpm.x,_xlfn.CONCAT(_xlfn.XLOOKUP(D1212,beans!$A$2:$A$300,beans!$J$2:$J$300,"")," / ",_xlfn.XLOOKUP(D1212,beans!$A$2:$A$300,beans!$K$2:$K$300,"")," - ",_xlfn.XLOOKUP(D1212,beans!$A$2:$A$300,beans!$L$2:$L$300,"")),IF(_xlpm.x=" /  - ","",_xlpm.x))</f>
        <v/>
      </c>
    </row>
    <row r="1213" spans="1:35" x14ac:dyDescent="0.3">
      <c r="A1213">
        <v>1196</v>
      </c>
      <c r="E1213" t="str">
        <f>_xlfn.LET(_xlpm.x,_xlfn.XLOOKUP(D1213,beans!$A$2:$A$300,beans!$H$2:$H$300,""),IF(_xlpm.x="","",_xlpm.x))</f>
        <v/>
      </c>
      <c r="F1213" s="22" t="str">
        <f>_xlfn.XLOOKUP(E1213,menu!$A$2:$A$37,menu!$B$2:$B$37,"")</f>
        <v/>
      </c>
      <c r="G1213" t="str">
        <f>_xlfn.XLOOKUP(E1213,menu!$A$2:$A$37,menu!$C$2:$C$37,"")</f>
        <v/>
      </c>
      <c r="H1213" t="str">
        <f>_xlfn.LET(_xlpm.x,_xlfn.XLOOKUP(_xlfn.XLOOKUP(D1213,beans!$A$2:$A$300,beans!$I$2:$I$300),menu!$E$2:$E$20,menu!$F$2:$F$20),IF(_xlpm.x="","",_xlpm.x))</f>
        <v/>
      </c>
      <c r="T1213" s="68" t="str">
        <f t="shared" si="128"/>
        <v/>
      </c>
      <c r="U1213" t="str">
        <f t="shared" si="124"/>
        <v/>
      </c>
      <c r="V1213">
        <f t="shared" si="129"/>
        <v>0</v>
      </c>
      <c r="W1213" t="str">
        <f t="shared" si="125"/>
        <v/>
      </c>
      <c r="AB1213" s="28" t="str">
        <f t="shared" si="126"/>
        <v xml:space="preserve"> </v>
      </c>
      <c r="AE1213" s="61" t="str">
        <f t="shared" si="127"/>
        <v/>
      </c>
      <c r="AF1213" s="77" t="str">
        <f>_xlfn.XLOOKUP(AD1213,menu!$K$2:$K$9,menu!$J$2:$J$9,"",1)</f>
        <v/>
      </c>
      <c r="AG1213" s="80" t="str">
        <f>_xlfn.XLOOKUP(AH1213,menu!$O$2:$O$9,menu!$H$2:$H$9,"")</f>
        <v/>
      </c>
      <c r="AI1213" t="str">
        <f>_xlfn.LET(_xlpm.x,_xlfn.CONCAT(_xlfn.XLOOKUP(D1213,beans!$A$2:$A$300,beans!$J$2:$J$300,"")," / ",_xlfn.XLOOKUP(D1213,beans!$A$2:$A$300,beans!$K$2:$K$300,"")," - ",_xlfn.XLOOKUP(D1213,beans!$A$2:$A$300,beans!$L$2:$L$300,"")),IF(_xlpm.x=" /  - ","",_xlpm.x))</f>
        <v/>
      </c>
    </row>
    <row r="1214" spans="1:35" x14ac:dyDescent="0.3">
      <c r="A1214">
        <v>1197</v>
      </c>
      <c r="E1214" t="str">
        <f>_xlfn.LET(_xlpm.x,_xlfn.XLOOKUP(D1214,beans!$A$2:$A$300,beans!$H$2:$H$300,""),IF(_xlpm.x="","",_xlpm.x))</f>
        <v/>
      </c>
      <c r="F1214" s="22" t="str">
        <f>_xlfn.XLOOKUP(E1214,menu!$A$2:$A$37,menu!$B$2:$B$37,"")</f>
        <v/>
      </c>
      <c r="G1214" t="str">
        <f>_xlfn.XLOOKUP(E1214,menu!$A$2:$A$37,menu!$C$2:$C$37,"")</f>
        <v/>
      </c>
      <c r="H1214" t="str">
        <f>_xlfn.LET(_xlpm.x,_xlfn.XLOOKUP(_xlfn.XLOOKUP(D1214,beans!$A$2:$A$300,beans!$I$2:$I$300),menu!$E$2:$E$20,menu!$F$2:$F$20),IF(_xlpm.x="","",_xlpm.x))</f>
        <v/>
      </c>
      <c r="T1214" s="68" t="str">
        <f t="shared" si="128"/>
        <v/>
      </c>
      <c r="U1214" t="str">
        <f t="shared" si="124"/>
        <v/>
      </c>
      <c r="V1214">
        <f t="shared" si="129"/>
        <v>0</v>
      </c>
      <c r="W1214" t="str">
        <f t="shared" si="125"/>
        <v/>
      </c>
      <c r="AB1214" s="28" t="str">
        <f t="shared" si="126"/>
        <v xml:space="preserve"> </v>
      </c>
      <c r="AE1214" s="61" t="str">
        <f t="shared" si="127"/>
        <v/>
      </c>
      <c r="AF1214" s="77" t="str">
        <f>_xlfn.XLOOKUP(AD1214,menu!$K$2:$K$9,menu!$J$2:$J$9,"",1)</f>
        <v/>
      </c>
      <c r="AG1214" s="80" t="str">
        <f>_xlfn.XLOOKUP(AH1214,menu!$O$2:$O$9,menu!$H$2:$H$9,"")</f>
        <v/>
      </c>
      <c r="AI1214" t="str">
        <f>_xlfn.LET(_xlpm.x,_xlfn.CONCAT(_xlfn.XLOOKUP(D1214,beans!$A$2:$A$300,beans!$J$2:$J$300,"")," / ",_xlfn.XLOOKUP(D1214,beans!$A$2:$A$300,beans!$K$2:$K$300,"")," - ",_xlfn.XLOOKUP(D1214,beans!$A$2:$A$300,beans!$L$2:$L$300,"")),IF(_xlpm.x=" /  - ","",_xlpm.x))</f>
        <v/>
      </c>
    </row>
    <row r="1215" spans="1:35" x14ac:dyDescent="0.3">
      <c r="A1215">
        <v>1198</v>
      </c>
      <c r="E1215" t="str">
        <f>_xlfn.LET(_xlpm.x,_xlfn.XLOOKUP(D1215,beans!$A$2:$A$300,beans!$H$2:$H$300,""),IF(_xlpm.x="","",_xlpm.x))</f>
        <v/>
      </c>
      <c r="F1215" s="22" t="str">
        <f>_xlfn.XLOOKUP(E1215,menu!$A$2:$A$37,menu!$B$2:$B$37,"")</f>
        <v/>
      </c>
      <c r="G1215" t="str">
        <f>_xlfn.XLOOKUP(E1215,menu!$A$2:$A$37,menu!$C$2:$C$37,"")</f>
        <v/>
      </c>
      <c r="H1215" t="str">
        <f>_xlfn.LET(_xlpm.x,_xlfn.XLOOKUP(_xlfn.XLOOKUP(D1215,beans!$A$2:$A$300,beans!$I$2:$I$300),menu!$E$2:$E$20,menu!$F$2:$F$20),IF(_xlpm.x="","",_xlpm.x))</f>
        <v/>
      </c>
      <c r="T1215" s="68" t="str">
        <f t="shared" si="128"/>
        <v/>
      </c>
      <c r="U1215" t="str">
        <f t="shared" si="124"/>
        <v/>
      </c>
      <c r="V1215">
        <f t="shared" si="129"/>
        <v>0</v>
      </c>
      <c r="W1215" t="str">
        <f t="shared" si="125"/>
        <v/>
      </c>
      <c r="AB1215" s="28" t="str">
        <f t="shared" si="126"/>
        <v xml:space="preserve"> </v>
      </c>
      <c r="AE1215" s="61" t="str">
        <f t="shared" si="127"/>
        <v/>
      </c>
      <c r="AF1215" s="77" t="str">
        <f>_xlfn.XLOOKUP(AD1215,menu!$K$2:$K$9,menu!$J$2:$J$9,"",1)</f>
        <v/>
      </c>
      <c r="AG1215" s="80" t="str">
        <f>_xlfn.XLOOKUP(AH1215,menu!$O$2:$O$9,menu!$H$2:$H$9,"")</f>
        <v/>
      </c>
      <c r="AI1215" t="str">
        <f>_xlfn.LET(_xlpm.x,_xlfn.CONCAT(_xlfn.XLOOKUP(D1215,beans!$A$2:$A$300,beans!$J$2:$J$300,"")," / ",_xlfn.XLOOKUP(D1215,beans!$A$2:$A$300,beans!$K$2:$K$300,"")," - ",_xlfn.XLOOKUP(D1215,beans!$A$2:$A$300,beans!$L$2:$L$300,"")),IF(_xlpm.x=" /  - ","",_xlpm.x))</f>
        <v/>
      </c>
    </row>
    <row r="1216" spans="1:35" x14ac:dyDescent="0.3">
      <c r="A1216">
        <v>1199</v>
      </c>
      <c r="E1216" t="str">
        <f>_xlfn.LET(_xlpm.x,_xlfn.XLOOKUP(D1216,beans!$A$2:$A$300,beans!$H$2:$H$300,""),IF(_xlpm.x="","",_xlpm.x))</f>
        <v/>
      </c>
      <c r="F1216" s="22" t="str">
        <f>_xlfn.XLOOKUP(E1216,menu!$A$2:$A$37,menu!$B$2:$B$37,"")</f>
        <v/>
      </c>
      <c r="G1216" t="str">
        <f>_xlfn.XLOOKUP(E1216,menu!$A$2:$A$37,menu!$C$2:$C$37,"")</f>
        <v/>
      </c>
      <c r="H1216" t="str">
        <f>_xlfn.LET(_xlpm.x,_xlfn.XLOOKUP(_xlfn.XLOOKUP(D1216,beans!$A$2:$A$300,beans!$I$2:$I$300),menu!$E$2:$E$20,menu!$F$2:$F$20),IF(_xlpm.x="","",_xlpm.x))</f>
        <v/>
      </c>
      <c r="T1216" s="68" t="str">
        <f t="shared" si="128"/>
        <v/>
      </c>
      <c r="U1216" t="str">
        <f t="shared" si="124"/>
        <v/>
      </c>
      <c r="V1216">
        <f t="shared" si="129"/>
        <v>0</v>
      </c>
      <c r="W1216" t="str">
        <f t="shared" si="125"/>
        <v/>
      </c>
      <c r="AB1216" s="28" t="str">
        <f t="shared" si="126"/>
        <v xml:space="preserve"> </v>
      </c>
      <c r="AE1216" s="61" t="str">
        <f t="shared" si="127"/>
        <v/>
      </c>
      <c r="AF1216" s="77" t="str">
        <f>_xlfn.XLOOKUP(AD1216,menu!$K$2:$K$9,menu!$J$2:$J$9,"",1)</f>
        <v/>
      </c>
      <c r="AG1216" s="80" t="str">
        <f>_xlfn.XLOOKUP(AH1216,menu!$O$2:$O$9,menu!$H$2:$H$9,"")</f>
        <v/>
      </c>
      <c r="AI1216" t="str">
        <f>_xlfn.LET(_xlpm.x,_xlfn.CONCAT(_xlfn.XLOOKUP(D1216,beans!$A$2:$A$300,beans!$J$2:$J$300,"")," / ",_xlfn.XLOOKUP(D1216,beans!$A$2:$A$300,beans!$K$2:$K$300,"")," - ",_xlfn.XLOOKUP(D1216,beans!$A$2:$A$300,beans!$L$2:$L$300,"")),IF(_xlpm.x=" /  - ","",_xlpm.x))</f>
        <v/>
      </c>
    </row>
    <row r="1217" spans="1:35" x14ac:dyDescent="0.3">
      <c r="A1217">
        <v>1200</v>
      </c>
      <c r="E1217" t="str">
        <f>_xlfn.LET(_xlpm.x,_xlfn.XLOOKUP(D1217,beans!$A$2:$A$300,beans!$H$2:$H$300,""),IF(_xlpm.x="","",_xlpm.x))</f>
        <v/>
      </c>
      <c r="F1217" s="22" t="str">
        <f>_xlfn.XLOOKUP(E1217,menu!$A$2:$A$37,menu!$B$2:$B$37,"")</f>
        <v/>
      </c>
      <c r="G1217" t="str">
        <f>_xlfn.XLOOKUP(E1217,menu!$A$2:$A$37,menu!$C$2:$C$37,"")</f>
        <v/>
      </c>
      <c r="H1217" t="str">
        <f>_xlfn.LET(_xlpm.x,_xlfn.XLOOKUP(_xlfn.XLOOKUP(D1217,beans!$A$2:$A$300,beans!$I$2:$I$300),menu!$E$2:$E$20,menu!$F$2:$F$20),IF(_xlpm.x="","",_xlpm.x))</f>
        <v/>
      </c>
      <c r="T1217" s="68" t="str">
        <f t="shared" si="128"/>
        <v/>
      </c>
      <c r="U1217" t="str">
        <f t="shared" si="124"/>
        <v/>
      </c>
      <c r="V1217">
        <f t="shared" si="129"/>
        <v>0</v>
      </c>
      <c r="W1217" t="str">
        <f t="shared" si="125"/>
        <v/>
      </c>
      <c r="AB1217" s="28" t="str">
        <f t="shared" si="126"/>
        <v xml:space="preserve"> </v>
      </c>
      <c r="AE1217" s="61" t="str">
        <f t="shared" si="127"/>
        <v/>
      </c>
      <c r="AF1217" s="77" t="str">
        <f>_xlfn.XLOOKUP(AD1217,menu!$K$2:$K$9,menu!$J$2:$J$9,"",1)</f>
        <v/>
      </c>
      <c r="AG1217" s="80" t="str">
        <f>_xlfn.XLOOKUP(AH1217,menu!$O$2:$O$9,menu!$H$2:$H$9,"")</f>
        <v/>
      </c>
      <c r="AI1217" t="str">
        <f>_xlfn.LET(_xlpm.x,_xlfn.CONCAT(_xlfn.XLOOKUP(D1217,beans!$A$2:$A$300,beans!$J$2:$J$300,"")," / ",_xlfn.XLOOKUP(D1217,beans!$A$2:$A$300,beans!$K$2:$K$300,"")," - ",_xlfn.XLOOKUP(D1217,beans!$A$2:$A$300,beans!$L$2:$L$300,"")),IF(_xlpm.x=" /  - ","",_xlpm.x))</f>
        <v/>
      </c>
    </row>
    <row r="1218" spans="1:35" x14ac:dyDescent="0.3">
      <c r="A1218">
        <v>1201</v>
      </c>
      <c r="E1218" t="str">
        <f>_xlfn.LET(_xlpm.x,_xlfn.XLOOKUP(D1218,beans!$A$2:$A$300,beans!$H$2:$H$300,""),IF(_xlpm.x="","",_xlpm.x))</f>
        <v/>
      </c>
      <c r="F1218" s="22" t="str">
        <f>_xlfn.XLOOKUP(E1218,menu!$A$2:$A$37,menu!$B$2:$B$37,"")</f>
        <v/>
      </c>
      <c r="G1218" t="str">
        <f>_xlfn.XLOOKUP(E1218,menu!$A$2:$A$37,menu!$C$2:$C$37,"")</f>
        <v/>
      </c>
      <c r="H1218" t="str">
        <f>_xlfn.LET(_xlpm.x,_xlfn.XLOOKUP(_xlfn.XLOOKUP(D1218,beans!$A$2:$A$300,beans!$I$2:$I$300),menu!$E$2:$E$20,menu!$F$2:$F$20),IF(_xlpm.x="","",_xlpm.x))</f>
        <v/>
      </c>
      <c r="T1218" s="68" t="str">
        <f t="shared" si="128"/>
        <v/>
      </c>
      <c r="U1218" t="str">
        <f t="shared" ref="U1218:U1281" si="130">_xlfn.LET(_xlpm.x,(TIMEVALUE("0:"&amp;SUBSTITUTE(R1218,"'",":"))-TIMEVALUE("0:"&amp;SUBSTITUTE(P1218,"'",":")))*86400,IF(_xlpm.x=0,"",ROUND(_xlpm.x,2)))</f>
        <v/>
      </c>
      <c r="V1218">
        <f t="shared" si="129"/>
        <v>0</v>
      </c>
      <c r="W1218" t="str">
        <f t="shared" ref="W1218:W1281" si="131">_xlfn.LET(_xlpm.x,(TIMEVALUE("0:"&amp;SUBSTITUTE(R1218,"'",":"))-TIMEVALUE("0:"&amp;SUBSTITUTE(P1218,"'",":")))*86400,IF(_xlpm.x=0,"",ROUND(_xlpm.x/((TIMEVALUE("0:"&amp;SUBSTITUTE(R1218,"'",":"))-TIMEVALUE("0:0:0"))*864),2)))</f>
        <v/>
      </c>
      <c r="AB1218" s="28" t="str">
        <f t="shared" ref="AB1218:AB1281" si="132">IF(Y1218 &gt; 0,(B1218-Y1218)/B1218," ")</f>
        <v xml:space="preserve"> </v>
      </c>
      <c r="AE1218" s="61" t="str">
        <f t="shared" ref="AE1218:AE1281" si="133">_xlfn.LET(_xlpm.x,AD1218-AC1218,IF(_xlpm.x=0,"",_xlpm.x))</f>
        <v/>
      </c>
      <c r="AF1218" s="77" t="str">
        <f>_xlfn.XLOOKUP(AD1218,menu!$K$2:$K$9,menu!$J$2:$J$9,"",1)</f>
        <v/>
      </c>
      <c r="AG1218" s="80" t="str">
        <f>_xlfn.XLOOKUP(AH1218,menu!$O$2:$O$9,menu!$H$2:$H$9,"")</f>
        <v/>
      </c>
      <c r="AI1218" t="str">
        <f>_xlfn.LET(_xlpm.x,_xlfn.CONCAT(_xlfn.XLOOKUP(D1218,beans!$A$2:$A$300,beans!$J$2:$J$300,"")," / ",_xlfn.XLOOKUP(D1218,beans!$A$2:$A$300,beans!$K$2:$K$300,"")," - ",_xlfn.XLOOKUP(D1218,beans!$A$2:$A$300,beans!$L$2:$L$300,"")),IF(_xlpm.x=" /  - ","",_xlpm.x))</f>
        <v/>
      </c>
    </row>
    <row r="1219" spans="1:35" x14ac:dyDescent="0.3">
      <c r="A1219">
        <v>1202</v>
      </c>
      <c r="E1219" t="str">
        <f>_xlfn.LET(_xlpm.x,_xlfn.XLOOKUP(D1219,beans!$A$2:$A$300,beans!$H$2:$H$300,""),IF(_xlpm.x="","",_xlpm.x))</f>
        <v/>
      </c>
      <c r="F1219" s="22" t="str">
        <f>_xlfn.XLOOKUP(E1219,menu!$A$2:$A$37,menu!$B$2:$B$37,"")</f>
        <v/>
      </c>
      <c r="G1219" t="str">
        <f>_xlfn.XLOOKUP(E1219,menu!$A$2:$A$37,menu!$C$2:$C$37,"")</f>
        <v/>
      </c>
      <c r="H1219" t="str">
        <f>_xlfn.LET(_xlpm.x,_xlfn.XLOOKUP(_xlfn.XLOOKUP(D1219,beans!$A$2:$A$300,beans!$I$2:$I$300),menu!$E$2:$E$20,menu!$F$2:$F$20),IF(_xlpm.x="","",_xlpm.x))</f>
        <v/>
      </c>
      <c r="T1219" s="68" t="str">
        <f t="shared" ref="T1219:T1282" si="134">_xlfn.LET(_xlpm.x,S1219-Q1219,IF(_xlpm.x=0,"",_xlpm.x))</f>
        <v/>
      </c>
      <c r="U1219" t="str">
        <f t="shared" si="130"/>
        <v/>
      </c>
      <c r="V1219">
        <f t="shared" ref="V1219:V1282" si="135">IFERROR(ROUND(T1219*60/U1219,1), )</f>
        <v>0</v>
      </c>
      <c r="W1219" t="str">
        <f t="shared" si="131"/>
        <v/>
      </c>
      <c r="AB1219" s="28" t="str">
        <f t="shared" si="132"/>
        <v xml:space="preserve"> </v>
      </c>
      <c r="AE1219" s="61" t="str">
        <f t="shared" si="133"/>
        <v/>
      </c>
      <c r="AF1219" s="77" t="str">
        <f>_xlfn.XLOOKUP(AD1219,menu!$K$2:$K$9,menu!$J$2:$J$9,"",1)</f>
        <v/>
      </c>
      <c r="AG1219" s="80" t="str">
        <f>_xlfn.XLOOKUP(AH1219,menu!$O$2:$O$9,menu!$H$2:$H$9,"")</f>
        <v/>
      </c>
      <c r="AI1219" t="str">
        <f>_xlfn.LET(_xlpm.x,_xlfn.CONCAT(_xlfn.XLOOKUP(D1219,beans!$A$2:$A$300,beans!$J$2:$J$300,"")," / ",_xlfn.XLOOKUP(D1219,beans!$A$2:$A$300,beans!$K$2:$K$300,"")," - ",_xlfn.XLOOKUP(D1219,beans!$A$2:$A$300,beans!$L$2:$L$300,"")),IF(_xlpm.x=" /  - ","",_xlpm.x))</f>
        <v/>
      </c>
    </row>
    <row r="1220" spans="1:35" x14ac:dyDescent="0.3">
      <c r="A1220">
        <v>1203</v>
      </c>
      <c r="E1220" t="str">
        <f>_xlfn.LET(_xlpm.x,_xlfn.XLOOKUP(D1220,beans!$A$2:$A$300,beans!$H$2:$H$300,""),IF(_xlpm.x="","",_xlpm.x))</f>
        <v/>
      </c>
      <c r="F1220" s="22" t="str">
        <f>_xlfn.XLOOKUP(E1220,menu!$A$2:$A$37,menu!$B$2:$B$37,"")</f>
        <v/>
      </c>
      <c r="G1220" t="str">
        <f>_xlfn.XLOOKUP(E1220,menu!$A$2:$A$37,menu!$C$2:$C$37,"")</f>
        <v/>
      </c>
      <c r="H1220" t="str">
        <f>_xlfn.LET(_xlpm.x,_xlfn.XLOOKUP(_xlfn.XLOOKUP(D1220,beans!$A$2:$A$300,beans!$I$2:$I$300),menu!$E$2:$E$20,menu!$F$2:$F$20),IF(_xlpm.x="","",_xlpm.x))</f>
        <v/>
      </c>
      <c r="T1220" s="68" t="str">
        <f t="shared" si="134"/>
        <v/>
      </c>
      <c r="U1220" t="str">
        <f t="shared" si="130"/>
        <v/>
      </c>
      <c r="V1220">
        <f t="shared" si="135"/>
        <v>0</v>
      </c>
      <c r="W1220" t="str">
        <f t="shared" si="131"/>
        <v/>
      </c>
      <c r="AB1220" s="28" t="str">
        <f t="shared" si="132"/>
        <v xml:space="preserve"> </v>
      </c>
      <c r="AE1220" s="61" t="str">
        <f t="shared" si="133"/>
        <v/>
      </c>
      <c r="AF1220" s="77" t="str">
        <f>_xlfn.XLOOKUP(AD1220,menu!$K$2:$K$9,menu!$J$2:$J$9,"",1)</f>
        <v/>
      </c>
      <c r="AG1220" s="80" t="str">
        <f>_xlfn.XLOOKUP(AH1220,menu!$O$2:$O$9,menu!$H$2:$H$9,"")</f>
        <v/>
      </c>
      <c r="AI1220" t="str">
        <f>_xlfn.LET(_xlpm.x,_xlfn.CONCAT(_xlfn.XLOOKUP(D1220,beans!$A$2:$A$300,beans!$J$2:$J$300,"")," / ",_xlfn.XLOOKUP(D1220,beans!$A$2:$A$300,beans!$K$2:$K$300,"")," - ",_xlfn.XLOOKUP(D1220,beans!$A$2:$A$300,beans!$L$2:$L$300,"")),IF(_xlpm.x=" /  - ","",_xlpm.x))</f>
        <v/>
      </c>
    </row>
    <row r="1221" spans="1:35" x14ac:dyDescent="0.3">
      <c r="A1221">
        <v>1204</v>
      </c>
      <c r="E1221" t="str">
        <f>_xlfn.LET(_xlpm.x,_xlfn.XLOOKUP(D1221,beans!$A$2:$A$300,beans!$H$2:$H$300,""),IF(_xlpm.x="","",_xlpm.x))</f>
        <v/>
      </c>
      <c r="F1221" s="22" t="str">
        <f>_xlfn.XLOOKUP(E1221,menu!$A$2:$A$37,menu!$B$2:$B$37,"")</f>
        <v/>
      </c>
      <c r="G1221" t="str">
        <f>_xlfn.XLOOKUP(E1221,menu!$A$2:$A$37,menu!$C$2:$C$37,"")</f>
        <v/>
      </c>
      <c r="H1221" t="str">
        <f>_xlfn.LET(_xlpm.x,_xlfn.XLOOKUP(_xlfn.XLOOKUP(D1221,beans!$A$2:$A$300,beans!$I$2:$I$300),menu!$E$2:$E$20,menu!$F$2:$F$20),IF(_xlpm.x="","",_xlpm.x))</f>
        <v/>
      </c>
      <c r="T1221" s="68" t="str">
        <f t="shared" si="134"/>
        <v/>
      </c>
      <c r="U1221" t="str">
        <f t="shared" si="130"/>
        <v/>
      </c>
      <c r="V1221">
        <f t="shared" si="135"/>
        <v>0</v>
      </c>
      <c r="W1221" t="str">
        <f t="shared" si="131"/>
        <v/>
      </c>
      <c r="AB1221" s="28" t="str">
        <f t="shared" si="132"/>
        <v xml:space="preserve"> </v>
      </c>
      <c r="AE1221" s="61" t="str">
        <f t="shared" si="133"/>
        <v/>
      </c>
      <c r="AF1221" s="77" t="str">
        <f>_xlfn.XLOOKUP(AD1221,menu!$K$2:$K$9,menu!$J$2:$J$9,"",1)</f>
        <v/>
      </c>
      <c r="AG1221" s="80" t="str">
        <f>_xlfn.XLOOKUP(AH1221,menu!$O$2:$O$9,menu!$H$2:$H$9,"")</f>
        <v/>
      </c>
      <c r="AI1221" t="str">
        <f>_xlfn.LET(_xlpm.x,_xlfn.CONCAT(_xlfn.XLOOKUP(D1221,beans!$A$2:$A$300,beans!$J$2:$J$300,"")," / ",_xlfn.XLOOKUP(D1221,beans!$A$2:$A$300,beans!$K$2:$K$300,"")," - ",_xlfn.XLOOKUP(D1221,beans!$A$2:$A$300,beans!$L$2:$L$300,"")),IF(_xlpm.x=" /  - ","",_xlpm.x))</f>
        <v/>
      </c>
    </row>
    <row r="1222" spans="1:35" x14ac:dyDescent="0.3">
      <c r="A1222">
        <v>1205</v>
      </c>
      <c r="E1222" t="str">
        <f>_xlfn.LET(_xlpm.x,_xlfn.XLOOKUP(D1222,beans!$A$2:$A$300,beans!$H$2:$H$300,""),IF(_xlpm.x="","",_xlpm.x))</f>
        <v/>
      </c>
      <c r="F1222" s="22" t="str">
        <f>_xlfn.XLOOKUP(E1222,menu!$A$2:$A$37,menu!$B$2:$B$37,"")</f>
        <v/>
      </c>
      <c r="G1222" t="str">
        <f>_xlfn.XLOOKUP(E1222,menu!$A$2:$A$37,menu!$C$2:$C$37,"")</f>
        <v/>
      </c>
      <c r="H1222" t="str">
        <f>_xlfn.LET(_xlpm.x,_xlfn.XLOOKUP(_xlfn.XLOOKUP(D1222,beans!$A$2:$A$300,beans!$I$2:$I$300),menu!$E$2:$E$20,menu!$F$2:$F$20),IF(_xlpm.x="","",_xlpm.x))</f>
        <v/>
      </c>
      <c r="T1222" s="68" t="str">
        <f t="shared" si="134"/>
        <v/>
      </c>
      <c r="U1222" t="str">
        <f t="shared" si="130"/>
        <v/>
      </c>
      <c r="V1222">
        <f t="shared" si="135"/>
        <v>0</v>
      </c>
      <c r="W1222" t="str">
        <f t="shared" si="131"/>
        <v/>
      </c>
      <c r="AB1222" s="28" t="str">
        <f t="shared" si="132"/>
        <v xml:space="preserve"> </v>
      </c>
      <c r="AE1222" s="61" t="str">
        <f t="shared" si="133"/>
        <v/>
      </c>
      <c r="AF1222" s="77" t="str">
        <f>_xlfn.XLOOKUP(AD1222,menu!$K$2:$K$9,menu!$J$2:$J$9,"",1)</f>
        <v/>
      </c>
      <c r="AG1222" s="80" t="str">
        <f>_xlfn.XLOOKUP(AH1222,menu!$O$2:$O$9,menu!$H$2:$H$9,"")</f>
        <v/>
      </c>
      <c r="AI1222" t="str">
        <f>_xlfn.LET(_xlpm.x,_xlfn.CONCAT(_xlfn.XLOOKUP(D1222,beans!$A$2:$A$300,beans!$J$2:$J$300,"")," / ",_xlfn.XLOOKUP(D1222,beans!$A$2:$A$300,beans!$K$2:$K$300,"")," - ",_xlfn.XLOOKUP(D1222,beans!$A$2:$A$300,beans!$L$2:$L$300,"")),IF(_xlpm.x=" /  - ","",_xlpm.x))</f>
        <v/>
      </c>
    </row>
    <row r="1223" spans="1:35" x14ac:dyDescent="0.3">
      <c r="A1223">
        <v>1206</v>
      </c>
      <c r="E1223" t="str">
        <f>_xlfn.LET(_xlpm.x,_xlfn.XLOOKUP(D1223,beans!$A$2:$A$300,beans!$H$2:$H$300,""),IF(_xlpm.x="","",_xlpm.x))</f>
        <v/>
      </c>
      <c r="F1223" s="22" t="str">
        <f>_xlfn.XLOOKUP(E1223,menu!$A$2:$A$37,menu!$B$2:$B$37,"")</f>
        <v/>
      </c>
      <c r="G1223" t="str">
        <f>_xlfn.XLOOKUP(E1223,menu!$A$2:$A$37,menu!$C$2:$C$37,"")</f>
        <v/>
      </c>
      <c r="H1223" t="str">
        <f>_xlfn.LET(_xlpm.x,_xlfn.XLOOKUP(_xlfn.XLOOKUP(D1223,beans!$A$2:$A$300,beans!$I$2:$I$300),menu!$E$2:$E$20,menu!$F$2:$F$20),IF(_xlpm.x="","",_xlpm.x))</f>
        <v/>
      </c>
      <c r="T1223" s="68" t="str">
        <f t="shared" si="134"/>
        <v/>
      </c>
      <c r="U1223" t="str">
        <f t="shared" si="130"/>
        <v/>
      </c>
      <c r="V1223">
        <f t="shared" si="135"/>
        <v>0</v>
      </c>
      <c r="W1223" t="str">
        <f t="shared" si="131"/>
        <v/>
      </c>
      <c r="AB1223" s="28" t="str">
        <f t="shared" si="132"/>
        <v xml:space="preserve"> </v>
      </c>
      <c r="AE1223" s="61" t="str">
        <f t="shared" si="133"/>
        <v/>
      </c>
      <c r="AF1223" s="77" t="str">
        <f>_xlfn.XLOOKUP(AD1223,menu!$K$2:$K$9,menu!$J$2:$J$9,"",1)</f>
        <v/>
      </c>
      <c r="AG1223" s="80" t="str">
        <f>_xlfn.XLOOKUP(AH1223,menu!$O$2:$O$9,menu!$H$2:$H$9,"")</f>
        <v/>
      </c>
      <c r="AI1223" t="str">
        <f>_xlfn.LET(_xlpm.x,_xlfn.CONCAT(_xlfn.XLOOKUP(D1223,beans!$A$2:$A$300,beans!$J$2:$J$300,"")," / ",_xlfn.XLOOKUP(D1223,beans!$A$2:$A$300,beans!$K$2:$K$300,"")," - ",_xlfn.XLOOKUP(D1223,beans!$A$2:$A$300,beans!$L$2:$L$300,"")),IF(_xlpm.x=" /  - ","",_xlpm.x))</f>
        <v/>
      </c>
    </row>
    <row r="1224" spans="1:35" x14ac:dyDescent="0.3">
      <c r="A1224">
        <v>1207</v>
      </c>
      <c r="E1224" t="str">
        <f>_xlfn.LET(_xlpm.x,_xlfn.XLOOKUP(D1224,beans!$A$2:$A$300,beans!$H$2:$H$300,""),IF(_xlpm.x="","",_xlpm.x))</f>
        <v/>
      </c>
      <c r="F1224" s="22" t="str">
        <f>_xlfn.XLOOKUP(E1224,menu!$A$2:$A$37,menu!$B$2:$B$37,"")</f>
        <v/>
      </c>
      <c r="G1224" t="str">
        <f>_xlfn.XLOOKUP(E1224,menu!$A$2:$A$37,menu!$C$2:$C$37,"")</f>
        <v/>
      </c>
      <c r="H1224" t="str">
        <f>_xlfn.LET(_xlpm.x,_xlfn.XLOOKUP(_xlfn.XLOOKUP(D1224,beans!$A$2:$A$300,beans!$I$2:$I$300),menu!$E$2:$E$20,menu!$F$2:$F$20),IF(_xlpm.x="","",_xlpm.x))</f>
        <v/>
      </c>
      <c r="T1224" s="68" t="str">
        <f t="shared" si="134"/>
        <v/>
      </c>
      <c r="U1224" t="str">
        <f t="shared" si="130"/>
        <v/>
      </c>
      <c r="V1224">
        <f t="shared" si="135"/>
        <v>0</v>
      </c>
      <c r="W1224" t="str">
        <f t="shared" si="131"/>
        <v/>
      </c>
      <c r="AB1224" s="28" t="str">
        <f t="shared" si="132"/>
        <v xml:space="preserve"> </v>
      </c>
      <c r="AE1224" s="61" t="str">
        <f t="shared" si="133"/>
        <v/>
      </c>
      <c r="AF1224" s="77" t="str">
        <f>_xlfn.XLOOKUP(AD1224,menu!$K$2:$K$9,menu!$J$2:$J$9,"",1)</f>
        <v/>
      </c>
      <c r="AG1224" s="80" t="str">
        <f>_xlfn.XLOOKUP(AH1224,menu!$O$2:$O$9,menu!$H$2:$H$9,"")</f>
        <v/>
      </c>
      <c r="AI1224" t="str">
        <f>_xlfn.LET(_xlpm.x,_xlfn.CONCAT(_xlfn.XLOOKUP(D1224,beans!$A$2:$A$300,beans!$J$2:$J$300,"")," / ",_xlfn.XLOOKUP(D1224,beans!$A$2:$A$300,beans!$K$2:$K$300,"")," - ",_xlfn.XLOOKUP(D1224,beans!$A$2:$A$300,beans!$L$2:$L$300,"")),IF(_xlpm.x=" /  - ","",_xlpm.x))</f>
        <v/>
      </c>
    </row>
    <row r="1225" spans="1:35" x14ac:dyDescent="0.3">
      <c r="A1225">
        <v>1208</v>
      </c>
      <c r="E1225" t="str">
        <f>_xlfn.LET(_xlpm.x,_xlfn.XLOOKUP(D1225,beans!$A$2:$A$300,beans!$H$2:$H$300,""),IF(_xlpm.x="","",_xlpm.x))</f>
        <v/>
      </c>
      <c r="F1225" s="22" t="str">
        <f>_xlfn.XLOOKUP(E1225,menu!$A$2:$A$37,menu!$B$2:$B$37,"")</f>
        <v/>
      </c>
      <c r="G1225" t="str">
        <f>_xlfn.XLOOKUP(E1225,menu!$A$2:$A$37,menu!$C$2:$C$37,"")</f>
        <v/>
      </c>
      <c r="H1225" t="str">
        <f>_xlfn.LET(_xlpm.x,_xlfn.XLOOKUP(_xlfn.XLOOKUP(D1225,beans!$A$2:$A$300,beans!$I$2:$I$300),menu!$E$2:$E$20,menu!$F$2:$F$20),IF(_xlpm.x="","",_xlpm.x))</f>
        <v/>
      </c>
      <c r="T1225" s="68" t="str">
        <f t="shared" si="134"/>
        <v/>
      </c>
      <c r="U1225" t="str">
        <f t="shared" si="130"/>
        <v/>
      </c>
      <c r="V1225">
        <f t="shared" si="135"/>
        <v>0</v>
      </c>
      <c r="W1225" t="str">
        <f t="shared" si="131"/>
        <v/>
      </c>
      <c r="AB1225" s="28" t="str">
        <f t="shared" si="132"/>
        <v xml:space="preserve"> </v>
      </c>
      <c r="AE1225" s="61" t="str">
        <f t="shared" si="133"/>
        <v/>
      </c>
      <c r="AF1225" s="77" t="str">
        <f>_xlfn.XLOOKUP(AD1225,menu!$K$2:$K$9,menu!$J$2:$J$9,"",1)</f>
        <v/>
      </c>
      <c r="AG1225" s="80" t="str">
        <f>_xlfn.XLOOKUP(AH1225,menu!$O$2:$O$9,menu!$H$2:$H$9,"")</f>
        <v/>
      </c>
      <c r="AI1225" t="str">
        <f>_xlfn.LET(_xlpm.x,_xlfn.CONCAT(_xlfn.XLOOKUP(D1225,beans!$A$2:$A$300,beans!$J$2:$J$300,"")," / ",_xlfn.XLOOKUP(D1225,beans!$A$2:$A$300,beans!$K$2:$K$300,"")," - ",_xlfn.XLOOKUP(D1225,beans!$A$2:$A$300,beans!$L$2:$L$300,"")),IF(_xlpm.x=" /  - ","",_xlpm.x))</f>
        <v/>
      </c>
    </row>
    <row r="1226" spans="1:35" x14ac:dyDescent="0.3">
      <c r="A1226">
        <v>1209</v>
      </c>
      <c r="E1226" t="str">
        <f>_xlfn.LET(_xlpm.x,_xlfn.XLOOKUP(D1226,beans!$A$2:$A$300,beans!$H$2:$H$300,""),IF(_xlpm.x="","",_xlpm.x))</f>
        <v/>
      </c>
      <c r="F1226" s="22" t="str">
        <f>_xlfn.XLOOKUP(E1226,menu!$A$2:$A$37,menu!$B$2:$B$37,"")</f>
        <v/>
      </c>
      <c r="G1226" t="str">
        <f>_xlfn.XLOOKUP(E1226,menu!$A$2:$A$37,menu!$C$2:$C$37,"")</f>
        <v/>
      </c>
      <c r="H1226" t="str">
        <f>_xlfn.LET(_xlpm.x,_xlfn.XLOOKUP(_xlfn.XLOOKUP(D1226,beans!$A$2:$A$300,beans!$I$2:$I$300),menu!$E$2:$E$20,menu!$F$2:$F$20),IF(_xlpm.x="","",_xlpm.x))</f>
        <v/>
      </c>
      <c r="T1226" s="68" t="str">
        <f t="shared" si="134"/>
        <v/>
      </c>
      <c r="U1226" t="str">
        <f t="shared" si="130"/>
        <v/>
      </c>
      <c r="V1226">
        <f t="shared" si="135"/>
        <v>0</v>
      </c>
      <c r="W1226" t="str">
        <f t="shared" si="131"/>
        <v/>
      </c>
      <c r="AB1226" s="28" t="str">
        <f t="shared" si="132"/>
        <v xml:space="preserve"> </v>
      </c>
      <c r="AE1226" s="61" t="str">
        <f t="shared" si="133"/>
        <v/>
      </c>
      <c r="AF1226" s="77" t="str">
        <f>_xlfn.XLOOKUP(AD1226,menu!$K$2:$K$9,menu!$J$2:$J$9,"",1)</f>
        <v/>
      </c>
      <c r="AG1226" s="80" t="str">
        <f>_xlfn.XLOOKUP(AH1226,menu!$O$2:$O$9,menu!$H$2:$H$9,"")</f>
        <v/>
      </c>
      <c r="AI1226" t="str">
        <f>_xlfn.LET(_xlpm.x,_xlfn.CONCAT(_xlfn.XLOOKUP(D1226,beans!$A$2:$A$300,beans!$J$2:$J$300,"")," / ",_xlfn.XLOOKUP(D1226,beans!$A$2:$A$300,beans!$K$2:$K$300,"")," - ",_xlfn.XLOOKUP(D1226,beans!$A$2:$A$300,beans!$L$2:$L$300,"")),IF(_xlpm.x=" /  - ","",_xlpm.x))</f>
        <v/>
      </c>
    </row>
    <row r="1227" spans="1:35" x14ac:dyDescent="0.3">
      <c r="A1227">
        <v>1210</v>
      </c>
      <c r="E1227" t="str">
        <f>_xlfn.LET(_xlpm.x,_xlfn.XLOOKUP(D1227,beans!$A$2:$A$300,beans!$H$2:$H$300,""),IF(_xlpm.x="","",_xlpm.x))</f>
        <v/>
      </c>
      <c r="F1227" s="22" t="str">
        <f>_xlfn.XLOOKUP(E1227,menu!$A$2:$A$37,menu!$B$2:$B$37,"")</f>
        <v/>
      </c>
      <c r="G1227" t="str">
        <f>_xlfn.XLOOKUP(E1227,menu!$A$2:$A$37,menu!$C$2:$C$37,"")</f>
        <v/>
      </c>
      <c r="H1227" t="str">
        <f>_xlfn.LET(_xlpm.x,_xlfn.XLOOKUP(_xlfn.XLOOKUP(D1227,beans!$A$2:$A$300,beans!$I$2:$I$300),menu!$E$2:$E$20,menu!$F$2:$F$20),IF(_xlpm.x="","",_xlpm.x))</f>
        <v/>
      </c>
      <c r="T1227" s="68" t="str">
        <f t="shared" si="134"/>
        <v/>
      </c>
      <c r="U1227" t="str">
        <f t="shared" si="130"/>
        <v/>
      </c>
      <c r="V1227">
        <f t="shared" si="135"/>
        <v>0</v>
      </c>
      <c r="W1227" t="str">
        <f t="shared" si="131"/>
        <v/>
      </c>
      <c r="AB1227" s="28" t="str">
        <f t="shared" si="132"/>
        <v xml:space="preserve"> </v>
      </c>
      <c r="AE1227" s="61" t="str">
        <f t="shared" si="133"/>
        <v/>
      </c>
      <c r="AF1227" s="77" t="str">
        <f>_xlfn.XLOOKUP(AD1227,menu!$K$2:$K$9,menu!$J$2:$J$9,"",1)</f>
        <v/>
      </c>
      <c r="AG1227" s="80" t="str">
        <f>_xlfn.XLOOKUP(AH1227,menu!$O$2:$O$9,menu!$H$2:$H$9,"")</f>
        <v/>
      </c>
      <c r="AI1227" t="str">
        <f>_xlfn.LET(_xlpm.x,_xlfn.CONCAT(_xlfn.XLOOKUP(D1227,beans!$A$2:$A$300,beans!$J$2:$J$300,"")," / ",_xlfn.XLOOKUP(D1227,beans!$A$2:$A$300,beans!$K$2:$K$300,"")," - ",_xlfn.XLOOKUP(D1227,beans!$A$2:$A$300,beans!$L$2:$L$300,"")),IF(_xlpm.x=" /  - ","",_xlpm.x))</f>
        <v/>
      </c>
    </row>
    <row r="1228" spans="1:35" x14ac:dyDescent="0.3">
      <c r="A1228">
        <v>1211</v>
      </c>
      <c r="E1228" t="str">
        <f>_xlfn.LET(_xlpm.x,_xlfn.XLOOKUP(D1228,beans!$A$2:$A$300,beans!$H$2:$H$300,""),IF(_xlpm.x="","",_xlpm.x))</f>
        <v/>
      </c>
      <c r="F1228" s="22" t="str">
        <f>_xlfn.XLOOKUP(E1228,menu!$A$2:$A$37,menu!$B$2:$B$37,"")</f>
        <v/>
      </c>
      <c r="G1228" t="str">
        <f>_xlfn.XLOOKUP(E1228,menu!$A$2:$A$37,menu!$C$2:$C$37,"")</f>
        <v/>
      </c>
      <c r="H1228" t="str">
        <f>_xlfn.LET(_xlpm.x,_xlfn.XLOOKUP(_xlfn.XLOOKUP(D1228,beans!$A$2:$A$300,beans!$I$2:$I$300),menu!$E$2:$E$20,menu!$F$2:$F$20),IF(_xlpm.x="","",_xlpm.x))</f>
        <v/>
      </c>
      <c r="T1228" s="68" t="str">
        <f t="shared" si="134"/>
        <v/>
      </c>
      <c r="U1228" t="str">
        <f t="shared" si="130"/>
        <v/>
      </c>
      <c r="V1228">
        <f t="shared" si="135"/>
        <v>0</v>
      </c>
      <c r="W1228" t="str">
        <f t="shared" si="131"/>
        <v/>
      </c>
      <c r="AB1228" s="28" t="str">
        <f t="shared" si="132"/>
        <v xml:space="preserve"> </v>
      </c>
      <c r="AE1228" s="61" t="str">
        <f t="shared" si="133"/>
        <v/>
      </c>
      <c r="AF1228" s="77" t="str">
        <f>_xlfn.XLOOKUP(AD1228,menu!$K$2:$K$9,menu!$J$2:$J$9,"",1)</f>
        <v/>
      </c>
      <c r="AG1228" s="80" t="str">
        <f>_xlfn.XLOOKUP(AH1228,menu!$O$2:$O$9,menu!$H$2:$H$9,"")</f>
        <v/>
      </c>
      <c r="AI1228" t="str">
        <f>_xlfn.LET(_xlpm.x,_xlfn.CONCAT(_xlfn.XLOOKUP(D1228,beans!$A$2:$A$300,beans!$J$2:$J$300,"")," / ",_xlfn.XLOOKUP(D1228,beans!$A$2:$A$300,beans!$K$2:$K$300,"")," - ",_xlfn.XLOOKUP(D1228,beans!$A$2:$A$300,beans!$L$2:$L$300,"")),IF(_xlpm.x=" /  - ","",_xlpm.x))</f>
        <v/>
      </c>
    </row>
    <row r="1229" spans="1:35" x14ac:dyDescent="0.3">
      <c r="A1229">
        <v>1212</v>
      </c>
      <c r="E1229" t="str">
        <f>_xlfn.LET(_xlpm.x,_xlfn.XLOOKUP(D1229,beans!$A$2:$A$300,beans!$H$2:$H$300,""),IF(_xlpm.x="","",_xlpm.x))</f>
        <v/>
      </c>
      <c r="F1229" s="22" t="str">
        <f>_xlfn.XLOOKUP(E1229,menu!$A$2:$A$37,menu!$B$2:$B$37,"")</f>
        <v/>
      </c>
      <c r="G1229" t="str">
        <f>_xlfn.XLOOKUP(E1229,menu!$A$2:$A$37,menu!$C$2:$C$37,"")</f>
        <v/>
      </c>
      <c r="H1229" t="str">
        <f>_xlfn.LET(_xlpm.x,_xlfn.XLOOKUP(_xlfn.XLOOKUP(D1229,beans!$A$2:$A$300,beans!$I$2:$I$300),menu!$E$2:$E$20,menu!$F$2:$F$20),IF(_xlpm.x="","",_xlpm.x))</f>
        <v/>
      </c>
      <c r="T1229" s="68" t="str">
        <f t="shared" si="134"/>
        <v/>
      </c>
      <c r="U1229" t="str">
        <f t="shared" si="130"/>
        <v/>
      </c>
      <c r="V1229">
        <f t="shared" si="135"/>
        <v>0</v>
      </c>
      <c r="W1229" t="str">
        <f t="shared" si="131"/>
        <v/>
      </c>
      <c r="AB1229" s="28" t="str">
        <f t="shared" si="132"/>
        <v xml:space="preserve"> </v>
      </c>
      <c r="AE1229" s="61" t="str">
        <f t="shared" si="133"/>
        <v/>
      </c>
      <c r="AF1229" s="77" t="str">
        <f>_xlfn.XLOOKUP(AD1229,menu!$K$2:$K$9,menu!$J$2:$J$9,"",1)</f>
        <v/>
      </c>
      <c r="AG1229" s="80" t="str">
        <f>_xlfn.XLOOKUP(AH1229,menu!$O$2:$O$9,menu!$H$2:$H$9,"")</f>
        <v/>
      </c>
      <c r="AI1229" t="str">
        <f>_xlfn.LET(_xlpm.x,_xlfn.CONCAT(_xlfn.XLOOKUP(D1229,beans!$A$2:$A$300,beans!$J$2:$J$300,"")," / ",_xlfn.XLOOKUP(D1229,beans!$A$2:$A$300,beans!$K$2:$K$300,"")," - ",_xlfn.XLOOKUP(D1229,beans!$A$2:$A$300,beans!$L$2:$L$300,"")),IF(_xlpm.x=" /  - ","",_xlpm.x))</f>
        <v/>
      </c>
    </row>
    <row r="1230" spans="1:35" x14ac:dyDescent="0.3">
      <c r="A1230">
        <v>1213</v>
      </c>
      <c r="E1230" t="str">
        <f>_xlfn.LET(_xlpm.x,_xlfn.XLOOKUP(D1230,beans!$A$2:$A$300,beans!$H$2:$H$300,""),IF(_xlpm.x="","",_xlpm.x))</f>
        <v/>
      </c>
      <c r="F1230" s="22" t="str">
        <f>_xlfn.XLOOKUP(E1230,menu!$A$2:$A$37,menu!$B$2:$B$37,"")</f>
        <v/>
      </c>
      <c r="G1230" t="str">
        <f>_xlfn.XLOOKUP(E1230,menu!$A$2:$A$37,menu!$C$2:$C$37,"")</f>
        <v/>
      </c>
      <c r="H1230" t="str">
        <f>_xlfn.LET(_xlpm.x,_xlfn.XLOOKUP(_xlfn.XLOOKUP(D1230,beans!$A$2:$A$300,beans!$I$2:$I$300),menu!$E$2:$E$20,menu!$F$2:$F$20),IF(_xlpm.x="","",_xlpm.x))</f>
        <v/>
      </c>
      <c r="T1230" s="68" t="str">
        <f t="shared" si="134"/>
        <v/>
      </c>
      <c r="U1230" t="str">
        <f t="shared" si="130"/>
        <v/>
      </c>
      <c r="V1230">
        <f t="shared" si="135"/>
        <v>0</v>
      </c>
      <c r="W1230" t="str">
        <f t="shared" si="131"/>
        <v/>
      </c>
      <c r="AB1230" s="28" t="str">
        <f t="shared" si="132"/>
        <v xml:space="preserve"> </v>
      </c>
      <c r="AE1230" s="61" t="str">
        <f t="shared" si="133"/>
        <v/>
      </c>
      <c r="AF1230" s="77" t="str">
        <f>_xlfn.XLOOKUP(AD1230,menu!$K$2:$K$9,menu!$J$2:$J$9,"",1)</f>
        <v/>
      </c>
      <c r="AG1230" s="80" t="str">
        <f>_xlfn.XLOOKUP(AH1230,menu!$O$2:$O$9,menu!$H$2:$H$9,"")</f>
        <v/>
      </c>
      <c r="AI1230" t="str">
        <f>_xlfn.LET(_xlpm.x,_xlfn.CONCAT(_xlfn.XLOOKUP(D1230,beans!$A$2:$A$300,beans!$J$2:$J$300,"")," / ",_xlfn.XLOOKUP(D1230,beans!$A$2:$A$300,beans!$K$2:$K$300,"")," - ",_xlfn.XLOOKUP(D1230,beans!$A$2:$A$300,beans!$L$2:$L$300,"")),IF(_xlpm.x=" /  - ","",_xlpm.x))</f>
        <v/>
      </c>
    </row>
    <row r="1231" spans="1:35" x14ac:dyDescent="0.3">
      <c r="A1231">
        <v>1214</v>
      </c>
      <c r="E1231" t="str">
        <f>_xlfn.LET(_xlpm.x,_xlfn.XLOOKUP(D1231,beans!$A$2:$A$300,beans!$H$2:$H$300,""),IF(_xlpm.x="","",_xlpm.x))</f>
        <v/>
      </c>
      <c r="F1231" s="22" t="str">
        <f>_xlfn.XLOOKUP(E1231,menu!$A$2:$A$37,menu!$B$2:$B$37,"")</f>
        <v/>
      </c>
      <c r="G1231" t="str">
        <f>_xlfn.XLOOKUP(E1231,menu!$A$2:$A$37,menu!$C$2:$C$37,"")</f>
        <v/>
      </c>
      <c r="H1231" t="str">
        <f>_xlfn.LET(_xlpm.x,_xlfn.XLOOKUP(_xlfn.XLOOKUP(D1231,beans!$A$2:$A$300,beans!$I$2:$I$300),menu!$E$2:$E$20,menu!$F$2:$F$20),IF(_xlpm.x="","",_xlpm.x))</f>
        <v/>
      </c>
      <c r="T1231" s="68" t="str">
        <f t="shared" si="134"/>
        <v/>
      </c>
      <c r="U1231" t="str">
        <f t="shared" si="130"/>
        <v/>
      </c>
      <c r="V1231">
        <f t="shared" si="135"/>
        <v>0</v>
      </c>
      <c r="W1231" t="str">
        <f t="shared" si="131"/>
        <v/>
      </c>
      <c r="AB1231" s="28" t="str">
        <f t="shared" si="132"/>
        <v xml:space="preserve"> </v>
      </c>
      <c r="AE1231" s="61" t="str">
        <f t="shared" si="133"/>
        <v/>
      </c>
      <c r="AF1231" s="77" t="str">
        <f>_xlfn.XLOOKUP(AD1231,menu!$K$2:$K$9,menu!$J$2:$J$9,"",1)</f>
        <v/>
      </c>
      <c r="AG1231" s="80" t="str">
        <f>_xlfn.XLOOKUP(AH1231,menu!$O$2:$O$9,menu!$H$2:$H$9,"")</f>
        <v/>
      </c>
      <c r="AI1231" t="str">
        <f>_xlfn.LET(_xlpm.x,_xlfn.CONCAT(_xlfn.XLOOKUP(D1231,beans!$A$2:$A$300,beans!$J$2:$J$300,"")," / ",_xlfn.XLOOKUP(D1231,beans!$A$2:$A$300,beans!$K$2:$K$300,"")," - ",_xlfn.XLOOKUP(D1231,beans!$A$2:$A$300,beans!$L$2:$L$300,"")),IF(_xlpm.x=" /  - ","",_xlpm.x))</f>
        <v/>
      </c>
    </row>
    <row r="1232" spans="1:35" x14ac:dyDescent="0.3">
      <c r="A1232">
        <v>1215</v>
      </c>
      <c r="E1232" t="str">
        <f>_xlfn.LET(_xlpm.x,_xlfn.XLOOKUP(D1232,beans!$A$2:$A$300,beans!$H$2:$H$300,""),IF(_xlpm.x="","",_xlpm.x))</f>
        <v/>
      </c>
      <c r="F1232" s="22" t="str">
        <f>_xlfn.XLOOKUP(E1232,menu!$A$2:$A$37,menu!$B$2:$B$37,"")</f>
        <v/>
      </c>
      <c r="G1232" t="str">
        <f>_xlfn.XLOOKUP(E1232,menu!$A$2:$A$37,menu!$C$2:$C$37,"")</f>
        <v/>
      </c>
      <c r="H1232" t="str">
        <f>_xlfn.LET(_xlpm.x,_xlfn.XLOOKUP(_xlfn.XLOOKUP(D1232,beans!$A$2:$A$300,beans!$I$2:$I$300),menu!$E$2:$E$20,menu!$F$2:$F$20),IF(_xlpm.x="","",_xlpm.x))</f>
        <v/>
      </c>
      <c r="T1232" s="68" t="str">
        <f t="shared" si="134"/>
        <v/>
      </c>
      <c r="U1232" t="str">
        <f t="shared" si="130"/>
        <v/>
      </c>
      <c r="V1232">
        <f t="shared" si="135"/>
        <v>0</v>
      </c>
      <c r="W1232" t="str">
        <f t="shared" si="131"/>
        <v/>
      </c>
      <c r="AB1232" s="28" t="str">
        <f t="shared" si="132"/>
        <v xml:space="preserve"> </v>
      </c>
      <c r="AE1232" s="61" t="str">
        <f t="shared" si="133"/>
        <v/>
      </c>
      <c r="AF1232" s="77" t="str">
        <f>_xlfn.XLOOKUP(AD1232,menu!$K$2:$K$9,menu!$J$2:$J$9,"",1)</f>
        <v/>
      </c>
      <c r="AG1232" s="80" t="str">
        <f>_xlfn.XLOOKUP(AH1232,menu!$O$2:$O$9,menu!$H$2:$H$9,"")</f>
        <v/>
      </c>
      <c r="AI1232" t="str">
        <f>_xlfn.LET(_xlpm.x,_xlfn.CONCAT(_xlfn.XLOOKUP(D1232,beans!$A$2:$A$300,beans!$J$2:$J$300,"")," / ",_xlfn.XLOOKUP(D1232,beans!$A$2:$A$300,beans!$K$2:$K$300,"")," - ",_xlfn.XLOOKUP(D1232,beans!$A$2:$A$300,beans!$L$2:$L$300,"")),IF(_xlpm.x=" /  - ","",_xlpm.x))</f>
        <v/>
      </c>
    </row>
    <row r="1233" spans="1:35" x14ac:dyDescent="0.3">
      <c r="A1233">
        <v>1216</v>
      </c>
      <c r="E1233" t="str">
        <f>_xlfn.LET(_xlpm.x,_xlfn.XLOOKUP(D1233,beans!$A$2:$A$300,beans!$H$2:$H$300,""),IF(_xlpm.x="","",_xlpm.x))</f>
        <v/>
      </c>
      <c r="F1233" s="22" t="str">
        <f>_xlfn.XLOOKUP(E1233,menu!$A$2:$A$37,menu!$B$2:$B$37,"")</f>
        <v/>
      </c>
      <c r="G1233" t="str">
        <f>_xlfn.XLOOKUP(E1233,menu!$A$2:$A$37,menu!$C$2:$C$37,"")</f>
        <v/>
      </c>
      <c r="H1233" t="str">
        <f>_xlfn.LET(_xlpm.x,_xlfn.XLOOKUP(_xlfn.XLOOKUP(D1233,beans!$A$2:$A$300,beans!$I$2:$I$300),menu!$E$2:$E$20,menu!$F$2:$F$20),IF(_xlpm.x="","",_xlpm.x))</f>
        <v/>
      </c>
      <c r="T1233" s="68" t="str">
        <f t="shared" si="134"/>
        <v/>
      </c>
      <c r="U1233" t="str">
        <f t="shared" si="130"/>
        <v/>
      </c>
      <c r="V1233">
        <f t="shared" si="135"/>
        <v>0</v>
      </c>
      <c r="W1233" t="str">
        <f t="shared" si="131"/>
        <v/>
      </c>
      <c r="AB1233" s="28" t="str">
        <f t="shared" si="132"/>
        <v xml:space="preserve"> </v>
      </c>
      <c r="AE1233" s="61" t="str">
        <f t="shared" si="133"/>
        <v/>
      </c>
      <c r="AF1233" s="77" t="str">
        <f>_xlfn.XLOOKUP(AD1233,menu!$K$2:$K$9,menu!$J$2:$J$9,"",1)</f>
        <v/>
      </c>
      <c r="AG1233" s="80" t="str">
        <f>_xlfn.XLOOKUP(AH1233,menu!$O$2:$O$9,menu!$H$2:$H$9,"")</f>
        <v/>
      </c>
      <c r="AI1233" t="str">
        <f>_xlfn.LET(_xlpm.x,_xlfn.CONCAT(_xlfn.XLOOKUP(D1233,beans!$A$2:$A$300,beans!$J$2:$J$300,"")," / ",_xlfn.XLOOKUP(D1233,beans!$A$2:$A$300,beans!$K$2:$K$300,"")," - ",_xlfn.XLOOKUP(D1233,beans!$A$2:$A$300,beans!$L$2:$L$300,"")),IF(_xlpm.x=" /  - ","",_xlpm.x))</f>
        <v/>
      </c>
    </row>
    <row r="1234" spans="1:35" x14ac:dyDescent="0.3">
      <c r="A1234">
        <v>1217</v>
      </c>
      <c r="E1234" t="str">
        <f>_xlfn.LET(_xlpm.x,_xlfn.XLOOKUP(D1234,beans!$A$2:$A$300,beans!$H$2:$H$300,""),IF(_xlpm.x="","",_xlpm.x))</f>
        <v/>
      </c>
      <c r="F1234" s="22" t="str">
        <f>_xlfn.XLOOKUP(E1234,menu!$A$2:$A$37,menu!$B$2:$B$37,"")</f>
        <v/>
      </c>
      <c r="G1234" t="str">
        <f>_xlfn.XLOOKUP(E1234,menu!$A$2:$A$37,menu!$C$2:$C$37,"")</f>
        <v/>
      </c>
      <c r="H1234" t="str">
        <f>_xlfn.LET(_xlpm.x,_xlfn.XLOOKUP(_xlfn.XLOOKUP(D1234,beans!$A$2:$A$300,beans!$I$2:$I$300),menu!$E$2:$E$20,menu!$F$2:$F$20),IF(_xlpm.x="","",_xlpm.x))</f>
        <v/>
      </c>
      <c r="T1234" s="68" t="str">
        <f t="shared" si="134"/>
        <v/>
      </c>
      <c r="U1234" t="str">
        <f t="shared" si="130"/>
        <v/>
      </c>
      <c r="V1234">
        <f t="shared" si="135"/>
        <v>0</v>
      </c>
      <c r="W1234" t="str">
        <f t="shared" si="131"/>
        <v/>
      </c>
      <c r="AB1234" s="28" t="str">
        <f t="shared" si="132"/>
        <v xml:space="preserve"> </v>
      </c>
      <c r="AE1234" s="61" t="str">
        <f t="shared" si="133"/>
        <v/>
      </c>
      <c r="AF1234" s="77" t="str">
        <f>_xlfn.XLOOKUP(AD1234,menu!$K$2:$K$9,menu!$J$2:$J$9,"",1)</f>
        <v/>
      </c>
      <c r="AG1234" s="80" t="str">
        <f>_xlfn.XLOOKUP(AH1234,menu!$O$2:$O$9,menu!$H$2:$H$9,"")</f>
        <v/>
      </c>
      <c r="AI1234" t="str">
        <f>_xlfn.LET(_xlpm.x,_xlfn.CONCAT(_xlfn.XLOOKUP(D1234,beans!$A$2:$A$300,beans!$J$2:$J$300,"")," / ",_xlfn.XLOOKUP(D1234,beans!$A$2:$A$300,beans!$K$2:$K$300,"")," - ",_xlfn.XLOOKUP(D1234,beans!$A$2:$A$300,beans!$L$2:$L$300,"")),IF(_xlpm.x=" /  - ","",_xlpm.x))</f>
        <v/>
      </c>
    </row>
    <row r="1235" spans="1:35" x14ac:dyDescent="0.3">
      <c r="A1235">
        <v>1218</v>
      </c>
      <c r="E1235" t="str">
        <f>_xlfn.LET(_xlpm.x,_xlfn.XLOOKUP(D1235,beans!$A$2:$A$300,beans!$H$2:$H$300,""),IF(_xlpm.x="","",_xlpm.x))</f>
        <v/>
      </c>
      <c r="F1235" s="22" t="str">
        <f>_xlfn.XLOOKUP(E1235,menu!$A$2:$A$37,menu!$B$2:$B$37,"")</f>
        <v/>
      </c>
      <c r="G1235" t="str">
        <f>_xlfn.XLOOKUP(E1235,menu!$A$2:$A$37,menu!$C$2:$C$37,"")</f>
        <v/>
      </c>
      <c r="H1235" t="str">
        <f>_xlfn.LET(_xlpm.x,_xlfn.XLOOKUP(_xlfn.XLOOKUP(D1235,beans!$A$2:$A$300,beans!$I$2:$I$300),menu!$E$2:$E$20,menu!$F$2:$F$20),IF(_xlpm.x="","",_xlpm.x))</f>
        <v/>
      </c>
      <c r="T1235" s="68" t="str">
        <f t="shared" si="134"/>
        <v/>
      </c>
      <c r="U1235" t="str">
        <f t="shared" si="130"/>
        <v/>
      </c>
      <c r="V1235">
        <f t="shared" si="135"/>
        <v>0</v>
      </c>
      <c r="W1235" t="str">
        <f t="shared" si="131"/>
        <v/>
      </c>
      <c r="AB1235" s="28" t="str">
        <f t="shared" si="132"/>
        <v xml:space="preserve"> </v>
      </c>
      <c r="AE1235" s="61" t="str">
        <f t="shared" si="133"/>
        <v/>
      </c>
      <c r="AF1235" s="77" t="str">
        <f>_xlfn.XLOOKUP(AD1235,menu!$K$2:$K$9,menu!$J$2:$J$9,"",1)</f>
        <v/>
      </c>
      <c r="AG1235" s="80" t="str">
        <f>_xlfn.XLOOKUP(AH1235,menu!$O$2:$O$9,menu!$H$2:$H$9,"")</f>
        <v/>
      </c>
      <c r="AI1235" t="str">
        <f>_xlfn.LET(_xlpm.x,_xlfn.CONCAT(_xlfn.XLOOKUP(D1235,beans!$A$2:$A$300,beans!$J$2:$J$300,"")," / ",_xlfn.XLOOKUP(D1235,beans!$A$2:$A$300,beans!$K$2:$K$300,"")," - ",_xlfn.XLOOKUP(D1235,beans!$A$2:$A$300,beans!$L$2:$L$300,"")),IF(_xlpm.x=" /  - ","",_xlpm.x))</f>
        <v/>
      </c>
    </row>
    <row r="1236" spans="1:35" x14ac:dyDescent="0.3">
      <c r="A1236">
        <v>1219</v>
      </c>
      <c r="E1236" t="str">
        <f>_xlfn.LET(_xlpm.x,_xlfn.XLOOKUP(D1236,beans!$A$2:$A$300,beans!$H$2:$H$300,""),IF(_xlpm.x="","",_xlpm.x))</f>
        <v/>
      </c>
      <c r="F1236" s="22" t="str">
        <f>_xlfn.XLOOKUP(E1236,menu!$A$2:$A$37,menu!$B$2:$B$37,"")</f>
        <v/>
      </c>
      <c r="G1236" t="str">
        <f>_xlfn.XLOOKUP(E1236,menu!$A$2:$A$37,menu!$C$2:$C$37,"")</f>
        <v/>
      </c>
      <c r="H1236" t="str">
        <f>_xlfn.LET(_xlpm.x,_xlfn.XLOOKUP(_xlfn.XLOOKUP(D1236,beans!$A$2:$A$300,beans!$I$2:$I$300),menu!$E$2:$E$20,menu!$F$2:$F$20),IF(_xlpm.x="","",_xlpm.x))</f>
        <v/>
      </c>
      <c r="T1236" s="68" t="str">
        <f t="shared" si="134"/>
        <v/>
      </c>
      <c r="U1236" t="str">
        <f t="shared" si="130"/>
        <v/>
      </c>
      <c r="V1236">
        <f t="shared" si="135"/>
        <v>0</v>
      </c>
      <c r="W1236" t="str">
        <f t="shared" si="131"/>
        <v/>
      </c>
      <c r="AB1236" s="28" t="str">
        <f t="shared" si="132"/>
        <v xml:space="preserve"> </v>
      </c>
      <c r="AE1236" s="61" t="str">
        <f t="shared" si="133"/>
        <v/>
      </c>
      <c r="AF1236" s="77" t="str">
        <f>_xlfn.XLOOKUP(AD1236,menu!$K$2:$K$9,menu!$J$2:$J$9,"",1)</f>
        <v/>
      </c>
      <c r="AG1236" s="80" t="str">
        <f>_xlfn.XLOOKUP(AH1236,menu!$O$2:$O$9,menu!$H$2:$H$9,"")</f>
        <v/>
      </c>
      <c r="AI1236" t="str">
        <f>_xlfn.LET(_xlpm.x,_xlfn.CONCAT(_xlfn.XLOOKUP(D1236,beans!$A$2:$A$300,beans!$J$2:$J$300,"")," / ",_xlfn.XLOOKUP(D1236,beans!$A$2:$A$300,beans!$K$2:$K$300,"")," - ",_xlfn.XLOOKUP(D1236,beans!$A$2:$A$300,beans!$L$2:$L$300,"")),IF(_xlpm.x=" /  - ","",_xlpm.x))</f>
        <v/>
      </c>
    </row>
    <row r="1237" spans="1:35" x14ac:dyDescent="0.3">
      <c r="A1237">
        <v>1220</v>
      </c>
      <c r="E1237" t="str">
        <f>_xlfn.LET(_xlpm.x,_xlfn.XLOOKUP(D1237,beans!$A$2:$A$300,beans!$H$2:$H$300,""),IF(_xlpm.x="","",_xlpm.x))</f>
        <v/>
      </c>
      <c r="F1237" s="22" t="str">
        <f>_xlfn.XLOOKUP(E1237,menu!$A$2:$A$37,menu!$B$2:$B$37,"")</f>
        <v/>
      </c>
      <c r="G1237" t="str">
        <f>_xlfn.XLOOKUP(E1237,menu!$A$2:$A$37,menu!$C$2:$C$37,"")</f>
        <v/>
      </c>
      <c r="H1237" t="str">
        <f>_xlfn.LET(_xlpm.x,_xlfn.XLOOKUP(_xlfn.XLOOKUP(D1237,beans!$A$2:$A$300,beans!$I$2:$I$300),menu!$E$2:$E$20,menu!$F$2:$F$20),IF(_xlpm.x="","",_xlpm.x))</f>
        <v/>
      </c>
      <c r="T1237" s="68" t="str">
        <f t="shared" si="134"/>
        <v/>
      </c>
      <c r="U1237" t="str">
        <f t="shared" si="130"/>
        <v/>
      </c>
      <c r="V1237">
        <f t="shared" si="135"/>
        <v>0</v>
      </c>
      <c r="W1237" t="str">
        <f t="shared" si="131"/>
        <v/>
      </c>
      <c r="AB1237" s="28" t="str">
        <f t="shared" si="132"/>
        <v xml:space="preserve"> </v>
      </c>
      <c r="AE1237" s="61" t="str">
        <f t="shared" si="133"/>
        <v/>
      </c>
      <c r="AF1237" s="77" t="str">
        <f>_xlfn.XLOOKUP(AD1237,menu!$K$2:$K$9,menu!$J$2:$J$9,"",1)</f>
        <v/>
      </c>
      <c r="AG1237" s="80" t="str">
        <f>_xlfn.XLOOKUP(AH1237,menu!$O$2:$O$9,menu!$H$2:$H$9,"")</f>
        <v/>
      </c>
      <c r="AI1237" t="str">
        <f>_xlfn.LET(_xlpm.x,_xlfn.CONCAT(_xlfn.XLOOKUP(D1237,beans!$A$2:$A$300,beans!$J$2:$J$300,"")," / ",_xlfn.XLOOKUP(D1237,beans!$A$2:$A$300,beans!$K$2:$K$300,"")," - ",_xlfn.XLOOKUP(D1237,beans!$A$2:$A$300,beans!$L$2:$L$300,"")),IF(_xlpm.x=" /  - ","",_xlpm.x))</f>
        <v/>
      </c>
    </row>
    <row r="1238" spans="1:35" x14ac:dyDescent="0.3">
      <c r="A1238">
        <v>1221</v>
      </c>
      <c r="E1238" t="str">
        <f>_xlfn.LET(_xlpm.x,_xlfn.XLOOKUP(D1238,beans!$A$2:$A$300,beans!$H$2:$H$300,""),IF(_xlpm.x="","",_xlpm.x))</f>
        <v/>
      </c>
      <c r="F1238" s="22" t="str">
        <f>_xlfn.XLOOKUP(E1238,menu!$A$2:$A$37,menu!$B$2:$B$37,"")</f>
        <v/>
      </c>
      <c r="G1238" t="str">
        <f>_xlfn.XLOOKUP(E1238,menu!$A$2:$A$37,menu!$C$2:$C$37,"")</f>
        <v/>
      </c>
      <c r="H1238" t="str">
        <f>_xlfn.LET(_xlpm.x,_xlfn.XLOOKUP(_xlfn.XLOOKUP(D1238,beans!$A$2:$A$300,beans!$I$2:$I$300),menu!$E$2:$E$20,menu!$F$2:$F$20),IF(_xlpm.x="","",_xlpm.x))</f>
        <v/>
      </c>
      <c r="T1238" s="68" t="str">
        <f t="shared" si="134"/>
        <v/>
      </c>
      <c r="U1238" t="str">
        <f t="shared" si="130"/>
        <v/>
      </c>
      <c r="V1238">
        <f t="shared" si="135"/>
        <v>0</v>
      </c>
      <c r="W1238" t="str">
        <f t="shared" si="131"/>
        <v/>
      </c>
      <c r="AB1238" s="28" t="str">
        <f t="shared" si="132"/>
        <v xml:space="preserve"> </v>
      </c>
      <c r="AE1238" s="61" t="str">
        <f t="shared" si="133"/>
        <v/>
      </c>
      <c r="AF1238" s="77" t="str">
        <f>_xlfn.XLOOKUP(AD1238,menu!$K$2:$K$9,menu!$J$2:$J$9,"",1)</f>
        <v/>
      </c>
      <c r="AG1238" s="80" t="str">
        <f>_xlfn.XLOOKUP(AH1238,menu!$O$2:$O$9,menu!$H$2:$H$9,"")</f>
        <v/>
      </c>
      <c r="AI1238" t="str">
        <f>_xlfn.LET(_xlpm.x,_xlfn.CONCAT(_xlfn.XLOOKUP(D1238,beans!$A$2:$A$300,beans!$J$2:$J$300,"")," / ",_xlfn.XLOOKUP(D1238,beans!$A$2:$A$300,beans!$K$2:$K$300,"")," - ",_xlfn.XLOOKUP(D1238,beans!$A$2:$A$300,beans!$L$2:$L$300,"")),IF(_xlpm.x=" /  - ","",_xlpm.x))</f>
        <v/>
      </c>
    </row>
    <row r="1239" spans="1:35" x14ac:dyDescent="0.3">
      <c r="A1239">
        <v>1222</v>
      </c>
      <c r="E1239" t="str">
        <f>_xlfn.LET(_xlpm.x,_xlfn.XLOOKUP(D1239,beans!$A$2:$A$300,beans!$H$2:$H$300,""),IF(_xlpm.x="","",_xlpm.x))</f>
        <v/>
      </c>
      <c r="F1239" s="22" t="str">
        <f>_xlfn.XLOOKUP(E1239,menu!$A$2:$A$37,menu!$B$2:$B$37,"")</f>
        <v/>
      </c>
      <c r="G1239" t="str">
        <f>_xlfn.XLOOKUP(E1239,menu!$A$2:$A$37,menu!$C$2:$C$37,"")</f>
        <v/>
      </c>
      <c r="H1239" t="str">
        <f>_xlfn.LET(_xlpm.x,_xlfn.XLOOKUP(_xlfn.XLOOKUP(D1239,beans!$A$2:$A$300,beans!$I$2:$I$300),menu!$E$2:$E$20,menu!$F$2:$F$20),IF(_xlpm.x="","",_xlpm.x))</f>
        <v/>
      </c>
      <c r="T1239" s="68" t="str">
        <f t="shared" si="134"/>
        <v/>
      </c>
      <c r="U1239" t="str">
        <f t="shared" si="130"/>
        <v/>
      </c>
      <c r="V1239">
        <f t="shared" si="135"/>
        <v>0</v>
      </c>
      <c r="W1239" t="str">
        <f t="shared" si="131"/>
        <v/>
      </c>
      <c r="AB1239" s="28" t="str">
        <f t="shared" si="132"/>
        <v xml:space="preserve"> </v>
      </c>
      <c r="AE1239" s="61" t="str">
        <f t="shared" si="133"/>
        <v/>
      </c>
      <c r="AF1239" s="77" t="str">
        <f>_xlfn.XLOOKUP(AD1239,menu!$K$2:$K$9,menu!$J$2:$J$9,"",1)</f>
        <v/>
      </c>
      <c r="AG1239" s="80" t="str">
        <f>_xlfn.XLOOKUP(AH1239,menu!$O$2:$O$9,menu!$H$2:$H$9,"")</f>
        <v/>
      </c>
      <c r="AI1239" t="str">
        <f>_xlfn.LET(_xlpm.x,_xlfn.CONCAT(_xlfn.XLOOKUP(D1239,beans!$A$2:$A$300,beans!$J$2:$J$300,"")," / ",_xlfn.XLOOKUP(D1239,beans!$A$2:$A$300,beans!$K$2:$K$300,"")," - ",_xlfn.XLOOKUP(D1239,beans!$A$2:$A$300,beans!$L$2:$L$300,"")),IF(_xlpm.x=" /  - ","",_xlpm.x))</f>
        <v/>
      </c>
    </row>
    <row r="1240" spans="1:35" x14ac:dyDescent="0.3">
      <c r="A1240">
        <v>1223</v>
      </c>
      <c r="E1240" t="str">
        <f>_xlfn.LET(_xlpm.x,_xlfn.XLOOKUP(D1240,beans!$A$2:$A$300,beans!$H$2:$H$300,""),IF(_xlpm.x="","",_xlpm.x))</f>
        <v/>
      </c>
      <c r="F1240" s="22" t="str">
        <f>_xlfn.XLOOKUP(E1240,menu!$A$2:$A$37,menu!$B$2:$B$37,"")</f>
        <v/>
      </c>
      <c r="G1240" t="str">
        <f>_xlfn.XLOOKUP(E1240,menu!$A$2:$A$37,menu!$C$2:$C$37,"")</f>
        <v/>
      </c>
      <c r="H1240" t="str">
        <f>_xlfn.LET(_xlpm.x,_xlfn.XLOOKUP(_xlfn.XLOOKUP(D1240,beans!$A$2:$A$300,beans!$I$2:$I$300),menu!$E$2:$E$20,menu!$F$2:$F$20),IF(_xlpm.x="","",_xlpm.x))</f>
        <v/>
      </c>
      <c r="T1240" s="68" t="str">
        <f t="shared" si="134"/>
        <v/>
      </c>
      <c r="U1240" t="str">
        <f t="shared" si="130"/>
        <v/>
      </c>
      <c r="V1240">
        <f t="shared" si="135"/>
        <v>0</v>
      </c>
      <c r="W1240" t="str">
        <f t="shared" si="131"/>
        <v/>
      </c>
      <c r="AB1240" s="28" t="str">
        <f t="shared" si="132"/>
        <v xml:space="preserve"> </v>
      </c>
      <c r="AE1240" s="61" t="str">
        <f t="shared" si="133"/>
        <v/>
      </c>
      <c r="AF1240" s="77" t="str">
        <f>_xlfn.XLOOKUP(AD1240,menu!$K$2:$K$9,menu!$J$2:$J$9,"",1)</f>
        <v/>
      </c>
      <c r="AG1240" s="80" t="str">
        <f>_xlfn.XLOOKUP(AH1240,menu!$O$2:$O$9,menu!$H$2:$H$9,"")</f>
        <v/>
      </c>
      <c r="AI1240" t="str">
        <f>_xlfn.LET(_xlpm.x,_xlfn.CONCAT(_xlfn.XLOOKUP(D1240,beans!$A$2:$A$300,beans!$J$2:$J$300,"")," / ",_xlfn.XLOOKUP(D1240,beans!$A$2:$A$300,beans!$K$2:$K$300,"")," - ",_xlfn.XLOOKUP(D1240,beans!$A$2:$A$300,beans!$L$2:$L$300,"")),IF(_xlpm.x=" /  - ","",_xlpm.x))</f>
        <v/>
      </c>
    </row>
    <row r="1241" spans="1:35" x14ac:dyDescent="0.3">
      <c r="A1241">
        <v>1224</v>
      </c>
      <c r="E1241" t="str">
        <f>_xlfn.LET(_xlpm.x,_xlfn.XLOOKUP(D1241,beans!$A$2:$A$300,beans!$H$2:$H$300,""),IF(_xlpm.x="","",_xlpm.x))</f>
        <v/>
      </c>
      <c r="F1241" s="22" t="str">
        <f>_xlfn.XLOOKUP(E1241,menu!$A$2:$A$37,menu!$B$2:$B$37,"")</f>
        <v/>
      </c>
      <c r="G1241" t="str">
        <f>_xlfn.XLOOKUP(E1241,menu!$A$2:$A$37,menu!$C$2:$C$37,"")</f>
        <v/>
      </c>
      <c r="H1241" t="str">
        <f>_xlfn.LET(_xlpm.x,_xlfn.XLOOKUP(_xlfn.XLOOKUP(D1241,beans!$A$2:$A$300,beans!$I$2:$I$300),menu!$E$2:$E$20,menu!$F$2:$F$20),IF(_xlpm.x="","",_xlpm.x))</f>
        <v/>
      </c>
      <c r="T1241" s="68" t="str">
        <f t="shared" si="134"/>
        <v/>
      </c>
      <c r="U1241" t="str">
        <f t="shared" si="130"/>
        <v/>
      </c>
      <c r="V1241">
        <f t="shared" si="135"/>
        <v>0</v>
      </c>
      <c r="W1241" t="str">
        <f t="shared" si="131"/>
        <v/>
      </c>
      <c r="AB1241" s="28" t="str">
        <f t="shared" si="132"/>
        <v xml:space="preserve"> </v>
      </c>
      <c r="AE1241" s="61" t="str">
        <f t="shared" si="133"/>
        <v/>
      </c>
      <c r="AF1241" s="77" t="str">
        <f>_xlfn.XLOOKUP(AD1241,menu!$K$2:$K$9,menu!$J$2:$J$9,"",1)</f>
        <v/>
      </c>
      <c r="AG1241" s="80" t="str">
        <f>_xlfn.XLOOKUP(AH1241,menu!$O$2:$O$9,menu!$H$2:$H$9,"")</f>
        <v/>
      </c>
      <c r="AI1241" t="str">
        <f>_xlfn.LET(_xlpm.x,_xlfn.CONCAT(_xlfn.XLOOKUP(D1241,beans!$A$2:$A$300,beans!$J$2:$J$300,"")," / ",_xlfn.XLOOKUP(D1241,beans!$A$2:$A$300,beans!$K$2:$K$300,"")," - ",_xlfn.XLOOKUP(D1241,beans!$A$2:$A$300,beans!$L$2:$L$300,"")),IF(_xlpm.x=" /  - ","",_xlpm.x))</f>
        <v/>
      </c>
    </row>
    <row r="1242" spans="1:35" x14ac:dyDescent="0.3">
      <c r="A1242">
        <v>1225</v>
      </c>
      <c r="E1242" t="str">
        <f>_xlfn.LET(_xlpm.x,_xlfn.XLOOKUP(D1242,beans!$A$2:$A$300,beans!$H$2:$H$300,""),IF(_xlpm.x="","",_xlpm.x))</f>
        <v/>
      </c>
      <c r="F1242" s="22" t="str">
        <f>_xlfn.XLOOKUP(E1242,menu!$A$2:$A$37,menu!$B$2:$B$37,"")</f>
        <v/>
      </c>
      <c r="G1242" t="str">
        <f>_xlfn.XLOOKUP(E1242,menu!$A$2:$A$37,menu!$C$2:$C$37,"")</f>
        <v/>
      </c>
      <c r="H1242" t="str">
        <f>_xlfn.LET(_xlpm.x,_xlfn.XLOOKUP(_xlfn.XLOOKUP(D1242,beans!$A$2:$A$300,beans!$I$2:$I$300),menu!$E$2:$E$20,menu!$F$2:$F$20),IF(_xlpm.x="","",_xlpm.x))</f>
        <v/>
      </c>
      <c r="T1242" s="68" t="str">
        <f t="shared" si="134"/>
        <v/>
      </c>
      <c r="U1242" t="str">
        <f t="shared" si="130"/>
        <v/>
      </c>
      <c r="V1242">
        <f t="shared" si="135"/>
        <v>0</v>
      </c>
      <c r="W1242" t="str">
        <f t="shared" si="131"/>
        <v/>
      </c>
      <c r="AB1242" s="28" t="str">
        <f t="shared" si="132"/>
        <v xml:space="preserve"> </v>
      </c>
      <c r="AE1242" s="61" t="str">
        <f t="shared" si="133"/>
        <v/>
      </c>
      <c r="AF1242" s="77" t="str">
        <f>_xlfn.XLOOKUP(AD1242,menu!$K$2:$K$9,menu!$J$2:$J$9,"",1)</f>
        <v/>
      </c>
      <c r="AG1242" s="80" t="str">
        <f>_xlfn.XLOOKUP(AH1242,menu!$O$2:$O$9,menu!$H$2:$H$9,"")</f>
        <v/>
      </c>
      <c r="AI1242" t="str">
        <f>_xlfn.LET(_xlpm.x,_xlfn.CONCAT(_xlfn.XLOOKUP(D1242,beans!$A$2:$A$300,beans!$J$2:$J$300,"")," / ",_xlfn.XLOOKUP(D1242,beans!$A$2:$A$300,beans!$K$2:$K$300,"")," - ",_xlfn.XLOOKUP(D1242,beans!$A$2:$A$300,beans!$L$2:$L$300,"")),IF(_xlpm.x=" /  - ","",_xlpm.x))</f>
        <v/>
      </c>
    </row>
    <row r="1243" spans="1:35" x14ac:dyDescent="0.3">
      <c r="A1243">
        <v>1226</v>
      </c>
      <c r="E1243" t="str">
        <f>_xlfn.LET(_xlpm.x,_xlfn.XLOOKUP(D1243,beans!$A$2:$A$300,beans!$H$2:$H$300,""),IF(_xlpm.x="","",_xlpm.x))</f>
        <v/>
      </c>
      <c r="F1243" s="22" t="str">
        <f>_xlfn.XLOOKUP(E1243,menu!$A$2:$A$37,menu!$B$2:$B$37,"")</f>
        <v/>
      </c>
      <c r="G1243" t="str">
        <f>_xlfn.XLOOKUP(E1243,menu!$A$2:$A$37,menu!$C$2:$C$37,"")</f>
        <v/>
      </c>
      <c r="H1243" t="str">
        <f>_xlfn.LET(_xlpm.x,_xlfn.XLOOKUP(_xlfn.XLOOKUP(D1243,beans!$A$2:$A$300,beans!$I$2:$I$300),menu!$E$2:$E$20,menu!$F$2:$F$20),IF(_xlpm.x="","",_xlpm.x))</f>
        <v/>
      </c>
      <c r="T1243" s="68" t="str">
        <f t="shared" si="134"/>
        <v/>
      </c>
      <c r="U1243" t="str">
        <f t="shared" si="130"/>
        <v/>
      </c>
      <c r="V1243">
        <f t="shared" si="135"/>
        <v>0</v>
      </c>
      <c r="W1243" t="str">
        <f t="shared" si="131"/>
        <v/>
      </c>
      <c r="AB1243" s="28" t="str">
        <f t="shared" si="132"/>
        <v xml:space="preserve"> </v>
      </c>
      <c r="AE1243" s="61" t="str">
        <f t="shared" si="133"/>
        <v/>
      </c>
      <c r="AF1243" s="77" t="str">
        <f>_xlfn.XLOOKUP(AD1243,menu!$K$2:$K$9,menu!$J$2:$J$9,"",1)</f>
        <v/>
      </c>
      <c r="AG1243" s="80" t="str">
        <f>_xlfn.XLOOKUP(AH1243,menu!$O$2:$O$9,menu!$H$2:$H$9,"")</f>
        <v/>
      </c>
      <c r="AI1243" t="str">
        <f>_xlfn.LET(_xlpm.x,_xlfn.CONCAT(_xlfn.XLOOKUP(D1243,beans!$A$2:$A$300,beans!$J$2:$J$300,"")," / ",_xlfn.XLOOKUP(D1243,beans!$A$2:$A$300,beans!$K$2:$K$300,"")," - ",_xlfn.XLOOKUP(D1243,beans!$A$2:$A$300,beans!$L$2:$L$300,"")),IF(_xlpm.x=" /  - ","",_xlpm.x))</f>
        <v/>
      </c>
    </row>
    <row r="1244" spans="1:35" x14ac:dyDescent="0.3">
      <c r="A1244">
        <v>1227</v>
      </c>
      <c r="E1244" t="str">
        <f>_xlfn.LET(_xlpm.x,_xlfn.XLOOKUP(D1244,beans!$A$2:$A$300,beans!$H$2:$H$300,""),IF(_xlpm.x="","",_xlpm.x))</f>
        <v/>
      </c>
      <c r="F1244" s="22" t="str">
        <f>_xlfn.XLOOKUP(E1244,menu!$A$2:$A$37,menu!$B$2:$B$37,"")</f>
        <v/>
      </c>
      <c r="G1244" t="str">
        <f>_xlfn.XLOOKUP(E1244,menu!$A$2:$A$37,menu!$C$2:$C$37,"")</f>
        <v/>
      </c>
      <c r="H1244" t="str">
        <f>_xlfn.LET(_xlpm.x,_xlfn.XLOOKUP(_xlfn.XLOOKUP(D1244,beans!$A$2:$A$300,beans!$I$2:$I$300),menu!$E$2:$E$20,menu!$F$2:$F$20),IF(_xlpm.x="","",_xlpm.x))</f>
        <v/>
      </c>
      <c r="T1244" s="68" t="str">
        <f t="shared" si="134"/>
        <v/>
      </c>
      <c r="U1244" t="str">
        <f t="shared" si="130"/>
        <v/>
      </c>
      <c r="V1244">
        <f t="shared" si="135"/>
        <v>0</v>
      </c>
      <c r="W1244" t="str">
        <f t="shared" si="131"/>
        <v/>
      </c>
      <c r="AB1244" s="28" t="str">
        <f t="shared" si="132"/>
        <v xml:space="preserve"> </v>
      </c>
      <c r="AE1244" s="61" t="str">
        <f t="shared" si="133"/>
        <v/>
      </c>
      <c r="AF1244" s="77" t="str">
        <f>_xlfn.XLOOKUP(AD1244,menu!$K$2:$K$9,menu!$J$2:$J$9,"",1)</f>
        <v/>
      </c>
      <c r="AG1244" s="80" t="str">
        <f>_xlfn.XLOOKUP(AH1244,menu!$O$2:$O$9,menu!$H$2:$H$9,"")</f>
        <v/>
      </c>
      <c r="AI1244" t="str">
        <f>_xlfn.LET(_xlpm.x,_xlfn.CONCAT(_xlfn.XLOOKUP(D1244,beans!$A$2:$A$300,beans!$J$2:$J$300,"")," / ",_xlfn.XLOOKUP(D1244,beans!$A$2:$A$300,beans!$K$2:$K$300,"")," - ",_xlfn.XLOOKUP(D1244,beans!$A$2:$A$300,beans!$L$2:$L$300,"")),IF(_xlpm.x=" /  - ","",_xlpm.x))</f>
        <v/>
      </c>
    </row>
    <row r="1245" spans="1:35" x14ac:dyDescent="0.3">
      <c r="A1245">
        <v>1228</v>
      </c>
      <c r="E1245" t="str">
        <f>_xlfn.LET(_xlpm.x,_xlfn.XLOOKUP(D1245,beans!$A$2:$A$300,beans!$H$2:$H$300,""),IF(_xlpm.x="","",_xlpm.x))</f>
        <v/>
      </c>
      <c r="F1245" s="22" t="str">
        <f>_xlfn.XLOOKUP(E1245,menu!$A$2:$A$37,menu!$B$2:$B$37,"")</f>
        <v/>
      </c>
      <c r="G1245" t="str">
        <f>_xlfn.XLOOKUP(E1245,menu!$A$2:$A$37,menu!$C$2:$C$37,"")</f>
        <v/>
      </c>
      <c r="H1245" t="str">
        <f>_xlfn.LET(_xlpm.x,_xlfn.XLOOKUP(_xlfn.XLOOKUP(D1245,beans!$A$2:$A$300,beans!$I$2:$I$300),menu!$E$2:$E$20,menu!$F$2:$F$20),IF(_xlpm.x="","",_xlpm.x))</f>
        <v/>
      </c>
      <c r="T1245" s="68" t="str">
        <f t="shared" si="134"/>
        <v/>
      </c>
      <c r="U1245" t="str">
        <f t="shared" si="130"/>
        <v/>
      </c>
      <c r="V1245">
        <f t="shared" si="135"/>
        <v>0</v>
      </c>
      <c r="W1245" t="str">
        <f t="shared" si="131"/>
        <v/>
      </c>
      <c r="AB1245" s="28" t="str">
        <f t="shared" si="132"/>
        <v xml:space="preserve"> </v>
      </c>
      <c r="AE1245" s="61" t="str">
        <f t="shared" si="133"/>
        <v/>
      </c>
      <c r="AF1245" s="77" t="str">
        <f>_xlfn.XLOOKUP(AD1245,menu!$K$2:$K$9,menu!$J$2:$J$9,"",1)</f>
        <v/>
      </c>
      <c r="AG1245" s="80" t="str">
        <f>_xlfn.XLOOKUP(AH1245,menu!$O$2:$O$9,menu!$H$2:$H$9,"")</f>
        <v/>
      </c>
      <c r="AI1245" t="str">
        <f>_xlfn.LET(_xlpm.x,_xlfn.CONCAT(_xlfn.XLOOKUP(D1245,beans!$A$2:$A$300,beans!$J$2:$J$300,"")," / ",_xlfn.XLOOKUP(D1245,beans!$A$2:$A$300,beans!$K$2:$K$300,"")," - ",_xlfn.XLOOKUP(D1245,beans!$A$2:$A$300,beans!$L$2:$L$300,"")),IF(_xlpm.x=" /  - ","",_xlpm.x))</f>
        <v/>
      </c>
    </row>
    <row r="1246" spans="1:35" x14ac:dyDescent="0.3">
      <c r="A1246">
        <v>1229</v>
      </c>
      <c r="E1246" t="str">
        <f>_xlfn.LET(_xlpm.x,_xlfn.XLOOKUP(D1246,beans!$A$2:$A$300,beans!$H$2:$H$300,""),IF(_xlpm.x="","",_xlpm.x))</f>
        <v/>
      </c>
      <c r="F1246" s="22" t="str">
        <f>_xlfn.XLOOKUP(E1246,menu!$A$2:$A$37,menu!$B$2:$B$37,"")</f>
        <v/>
      </c>
      <c r="G1246" t="str">
        <f>_xlfn.XLOOKUP(E1246,menu!$A$2:$A$37,menu!$C$2:$C$37,"")</f>
        <v/>
      </c>
      <c r="H1246" t="str">
        <f>_xlfn.LET(_xlpm.x,_xlfn.XLOOKUP(_xlfn.XLOOKUP(D1246,beans!$A$2:$A$300,beans!$I$2:$I$300),menu!$E$2:$E$20,menu!$F$2:$F$20),IF(_xlpm.x="","",_xlpm.x))</f>
        <v/>
      </c>
      <c r="T1246" s="68" t="str">
        <f t="shared" si="134"/>
        <v/>
      </c>
      <c r="U1246" t="str">
        <f t="shared" si="130"/>
        <v/>
      </c>
      <c r="V1246">
        <f t="shared" si="135"/>
        <v>0</v>
      </c>
      <c r="W1246" t="str">
        <f t="shared" si="131"/>
        <v/>
      </c>
      <c r="AB1246" s="28" t="str">
        <f t="shared" si="132"/>
        <v xml:space="preserve"> </v>
      </c>
      <c r="AE1246" s="61" t="str">
        <f t="shared" si="133"/>
        <v/>
      </c>
      <c r="AF1246" s="77" t="str">
        <f>_xlfn.XLOOKUP(AD1246,menu!$K$2:$K$9,menu!$J$2:$J$9,"",1)</f>
        <v/>
      </c>
      <c r="AG1246" s="80" t="str">
        <f>_xlfn.XLOOKUP(AH1246,menu!$O$2:$O$9,menu!$H$2:$H$9,"")</f>
        <v/>
      </c>
      <c r="AI1246" t="str">
        <f>_xlfn.LET(_xlpm.x,_xlfn.CONCAT(_xlfn.XLOOKUP(D1246,beans!$A$2:$A$300,beans!$J$2:$J$300,"")," / ",_xlfn.XLOOKUP(D1246,beans!$A$2:$A$300,beans!$K$2:$K$300,"")," - ",_xlfn.XLOOKUP(D1246,beans!$A$2:$A$300,beans!$L$2:$L$300,"")),IF(_xlpm.x=" /  - ","",_xlpm.x))</f>
        <v/>
      </c>
    </row>
    <row r="1247" spans="1:35" x14ac:dyDescent="0.3">
      <c r="A1247">
        <v>1230</v>
      </c>
      <c r="E1247" t="str">
        <f>_xlfn.LET(_xlpm.x,_xlfn.XLOOKUP(D1247,beans!$A$2:$A$300,beans!$H$2:$H$300,""),IF(_xlpm.x="","",_xlpm.x))</f>
        <v/>
      </c>
      <c r="F1247" s="22" t="str">
        <f>_xlfn.XLOOKUP(E1247,menu!$A$2:$A$37,menu!$B$2:$B$37,"")</f>
        <v/>
      </c>
      <c r="G1247" t="str">
        <f>_xlfn.XLOOKUP(E1247,menu!$A$2:$A$37,menu!$C$2:$C$37,"")</f>
        <v/>
      </c>
      <c r="H1247" t="str">
        <f>_xlfn.LET(_xlpm.x,_xlfn.XLOOKUP(_xlfn.XLOOKUP(D1247,beans!$A$2:$A$300,beans!$I$2:$I$300),menu!$E$2:$E$20,menu!$F$2:$F$20),IF(_xlpm.x="","",_xlpm.x))</f>
        <v/>
      </c>
      <c r="T1247" s="68" t="str">
        <f t="shared" si="134"/>
        <v/>
      </c>
      <c r="U1247" t="str">
        <f t="shared" si="130"/>
        <v/>
      </c>
      <c r="V1247">
        <f t="shared" si="135"/>
        <v>0</v>
      </c>
      <c r="W1247" t="str">
        <f t="shared" si="131"/>
        <v/>
      </c>
      <c r="AB1247" s="28" t="str">
        <f t="shared" si="132"/>
        <v xml:space="preserve"> </v>
      </c>
      <c r="AE1247" s="61" t="str">
        <f t="shared" si="133"/>
        <v/>
      </c>
      <c r="AF1247" s="77" t="str">
        <f>_xlfn.XLOOKUP(AD1247,menu!$K$2:$K$9,menu!$J$2:$J$9,"",1)</f>
        <v/>
      </c>
      <c r="AG1247" s="80" t="str">
        <f>_xlfn.XLOOKUP(AH1247,menu!$O$2:$O$9,menu!$H$2:$H$9,"")</f>
        <v/>
      </c>
      <c r="AI1247" t="str">
        <f>_xlfn.LET(_xlpm.x,_xlfn.CONCAT(_xlfn.XLOOKUP(D1247,beans!$A$2:$A$300,beans!$J$2:$J$300,"")," / ",_xlfn.XLOOKUP(D1247,beans!$A$2:$A$300,beans!$K$2:$K$300,"")," - ",_xlfn.XLOOKUP(D1247,beans!$A$2:$A$300,beans!$L$2:$L$300,"")),IF(_xlpm.x=" /  - ","",_xlpm.x))</f>
        <v/>
      </c>
    </row>
    <row r="1248" spans="1:35" x14ac:dyDescent="0.3">
      <c r="A1248">
        <v>1231</v>
      </c>
      <c r="E1248" t="str">
        <f>_xlfn.LET(_xlpm.x,_xlfn.XLOOKUP(D1248,beans!$A$2:$A$300,beans!$H$2:$H$300,""),IF(_xlpm.x="","",_xlpm.x))</f>
        <v/>
      </c>
      <c r="F1248" s="22" t="str">
        <f>_xlfn.XLOOKUP(E1248,menu!$A$2:$A$37,menu!$B$2:$B$37,"")</f>
        <v/>
      </c>
      <c r="G1248" t="str">
        <f>_xlfn.XLOOKUP(E1248,menu!$A$2:$A$37,menu!$C$2:$C$37,"")</f>
        <v/>
      </c>
      <c r="H1248" t="str">
        <f>_xlfn.LET(_xlpm.x,_xlfn.XLOOKUP(_xlfn.XLOOKUP(D1248,beans!$A$2:$A$300,beans!$I$2:$I$300),menu!$E$2:$E$20,menu!$F$2:$F$20),IF(_xlpm.x="","",_xlpm.x))</f>
        <v/>
      </c>
      <c r="T1248" s="68" t="str">
        <f t="shared" si="134"/>
        <v/>
      </c>
      <c r="U1248" t="str">
        <f t="shared" si="130"/>
        <v/>
      </c>
      <c r="V1248">
        <f t="shared" si="135"/>
        <v>0</v>
      </c>
      <c r="W1248" t="str">
        <f t="shared" si="131"/>
        <v/>
      </c>
      <c r="AB1248" s="28" t="str">
        <f t="shared" si="132"/>
        <v xml:space="preserve"> </v>
      </c>
      <c r="AE1248" s="61" t="str">
        <f t="shared" si="133"/>
        <v/>
      </c>
      <c r="AF1248" s="77" t="str">
        <f>_xlfn.XLOOKUP(AD1248,menu!$K$2:$K$9,menu!$J$2:$J$9,"",1)</f>
        <v/>
      </c>
      <c r="AG1248" s="80" t="str">
        <f>_xlfn.XLOOKUP(AH1248,menu!$O$2:$O$9,menu!$H$2:$H$9,"")</f>
        <v/>
      </c>
      <c r="AI1248" t="str">
        <f>_xlfn.LET(_xlpm.x,_xlfn.CONCAT(_xlfn.XLOOKUP(D1248,beans!$A$2:$A$300,beans!$J$2:$J$300,"")," / ",_xlfn.XLOOKUP(D1248,beans!$A$2:$A$300,beans!$K$2:$K$300,"")," - ",_xlfn.XLOOKUP(D1248,beans!$A$2:$A$300,beans!$L$2:$L$300,"")),IF(_xlpm.x=" /  - ","",_xlpm.x))</f>
        <v/>
      </c>
    </row>
    <row r="1249" spans="1:35" x14ac:dyDescent="0.3">
      <c r="A1249">
        <v>1232</v>
      </c>
      <c r="E1249" t="str">
        <f>_xlfn.LET(_xlpm.x,_xlfn.XLOOKUP(D1249,beans!$A$2:$A$300,beans!$H$2:$H$300,""),IF(_xlpm.x="","",_xlpm.x))</f>
        <v/>
      </c>
      <c r="F1249" s="22" t="str">
        <f>_xlfn.XLOOKUP(E1249,menu!$A$2:$A$37,menu!$B$2:$B$37,"")</f>
        <v/>
      </c>
      <c r="G1249" t="str">
        <f>_xlfn.XLOOKUP(E1249,menu!$A$2:$A$37,menu!$C$2:$C$37,"")</f>
        <v/>
      </c>
      <c r="H1249" t="str">
        <f>_xlfn.LET(_xlpm.x,_xlfn.XLOOKUP(_xlfn.XLOOKUP(D1249,beans!$A$2:$A$300,beans!$I$2:$I$300),menu!$E$2:$E$20,menu!$F$2:$F$20),IF(_xlpm.x="","",_xlpm.x))</f>
        <v/>
      </c>
      <c r="T1249" s="68" t="str">
        <f t="shared" si="134"/>
        <v/>
      </c>
      <c r="U1249" t="str">
        <f t="shared" si="130"/>
        <v/>
      </c>
      <c r="V1249">
        <f t="shared" si="135"/>
        <v>0</v>
      </c>
      <c r="W1249" t="str">
        <f t="shared" si="131"/>
        <v/>
      </c>
      <c r="AB1249" s="28" t="str">
        <f t="shared" si="132"/>
        <v xml:space="preserve"> </v>
      </c>
      <c r="AE1249" s="61" t="str">
        <f t="shared" si="133"/>
        <v/>
      </c>
      <c r="AF1249" s="77" t="str">
        <f>_xlfn.XLOOKUP(AD1249,menu!$K$2:$K$9,menu!$J$2:$J$9,"",1)</f>
        <v/>
      </c>
      <c r="AG1249" s="80" t="str">
        <f>_xlfn.XLOOKUP(AH1249,menu!$O$2:$O$9,menu!$H$2:$H$9,"")</f>
        <v/>
      </c>
      <c r="AI1249" t="str">
        <f>_xlfn.LET(_xlpm.x,_xlfn.CONCAT(_xlfn.XLOOKUP(D1249,beans!$A$2:$A$300,beans!$J$2:$J$300,"")," / ",_xlfn.XLOOKUP(D1249,beans!$A$2:$A$300,beans!$K$2:$K$300,"")," - ",_xlfn.XLOOKUP(D1249,beans!$A$2:$A$300,beans!$L$2:$L$300,"")),IF(_xlpm.x=" /  - ","",_xlpm.x))</f>
        <v/>
      </c>
    </row>
    <row r="1250" spans="1:35" x14ac:dyDescent="0.3">
      <c r="A1250">
        <v>1233</v>
      </c>
      <c r="E1250" t="str">
        <f>_xlfn.LET(_xlpm.x,_xlfn.XLOOKUP(D1250,beans!$A$2:$A$300,beans!$H$2:$H$300,""),IF(_xlpm.x="","",_xlpm.x))</f>
        <v/>
      </c>
      <c r="F1250" s="22" t="str">
        <f>_xlfn.XLOOKUP(E1250,menu!$A$2:$A$37,menu!$B$2:$B$37,"")</f>
        <v/>
      </c>
      <c r="G1250" t="str">
        <f>_xlfn.XLOOKUP(E1250,menu!$A$2:$A$37,menu!$C$2:$C$37,"")</f>
        <v/>
      </c>
      <c r="H1250" t="str">
        <f>_xlfn.LET(_xlpm.x,_xlfn.XLOOKUP(_xlfn.XLOOKUP(D1250,beans!$A$2:$A$300,beans!$I$2:$I$300),menu!$E$2:$E$20,menu!$F$2:$F$20),IF(_xlpm.x="","",_xlpm.x))</f>
        <v/>
      </c>
      <c r="T1250" s="68" t="str">
        <f t="shared" si="134"/>
        <v/>
      </c>
      <c r="U1250" t="str">
        <f t="shared" si="130"/>
        <v/>
      </c>
      <c r="V1250">
        <f t="shared" si="135"/>
        <v>0</v>
      </c>
      <c r="W1250" t="str">
        <f t="shared" si="131"/>
        <v/>
      </c>
      <c r="AB1250" s="28" t="str">
        <f t="shared" si="132"/>
        <v xml:space="preserve"> </v>
      </c>
      <c r="AE1250" s="61" t="str">
        <f t="shared" si="133"/>
        <v/>
      </c>
      <c r="AF1250" s="77" t="str">
        <f>_xlfn.XLOOKUP(AD1250,menu!$K$2:$K$9,menu!$J$2:$J$9,"",1)</f>
        <v/>
      </c>
      <c r="AG1250" s="80" t="str">
        <f>_xlfn.XLOOKUP(AH1250,menu!$O$2:$O$9,menu!$H$2:$H$9,"")</f>
        <v/>
      </c>
      <c r="AI1250" t="str">
        <f>_xlfn.LET(_xlpm.x,_xlfn.CONCAT(_xlfn.XLOOKUP(D1250,beans!$A$2:$A$300,beans!$J$2:$J$300,"")," / ",_xlfn.XLOOKUP(D1250,beans!$A$2:$A$300,beans!$K$2:$K$300,"")," - ",_xlfn.XLOOKUP(D1250,beans!$A$2:$A$300,beans!$L$2:$L$300,"")),IF(_xlpm.x=" /  - ","",_xlpm.x))</f>
        <v/>
      </c>
    </row>
    <row r="1251" spans="1:35" x14ac:dyDescent="0.3">
      <c r="A1251">
        <v>1234</v>
      </c>
      <c r="E1251" t="str">
        <f>_xlfn.LET(_xlpm.x,_xlfn.XLOOKUP(D1251,beans!$A$2:$A$300,beans!$H$2:$H$300,""),IF(_xlpm.x="","",_xlpm.x))</f>
        <v/>
      </c>
      <c r="F1251" s="22" t="str">
        <f>_xlfn.XLOOKUP(E1251,menu!$A$2:$A$37,menu!$B$2:$B$37,"")</f>
        <v/>
      </c>
      <c r="G1251" t="str">
        <f>_xlfn.XLOOKUP(E1251,menu!$A$2:$A$37,menu!$C$2:$C$37,"")</f>
        <v/>
      </c>
      <c r="H1251" t="str">
        <f>_xlfn.LET(_xlpm.x,_xlfn.XLOOKUP(_xlfn.XLOOKUP(D1251,beans!$A$2:$A$300,beans!$I$2:$I$300),menu!$E$2:$E$20,menu!$F$2:$F$20),IF(_xlpm.x="","",_xlpm.x))</f>
        <v/>
      </c>
      <c r="T1251" s="68" t="str">
        <f t="shared" si="134"/>
        <v/>
      </c>
      <c r="U1251" t="str">
        <f t="shared" si="130"/>
        <v/>
      </c>
      <c r="V1251">
        <f t="shared" si="135"/>
        <v>0</v>
      </c>
      <c r="W1251" t="str">
        <f t="shared" si="131"/>
        <v/>
      </c>
      <c r="AB1251" s="28" t="str">
        <f t="shared" si="132"/>
        <v xml:space="preserve"> </v>
      </c>
      <c r="AE1251" s="61" t="str">
        <f t="shared" si="133"/>
        <v/>
      </c>
      <c r="AF1251" s="77" t="str">
        <f>_xlfn.XLOOKUP(AD1251,menu!$K$2:$K$9,menu!$J$2:$J$9,"",1)</f>
        <v/>
      </c>
      <c r="AG1251" s="80" t="str">
        <f>_xlfn.XLOOKUP(AH1251,menu!$O$2:$O$9,menu!$H$2:$H$9,"")</f>
        <v/>
      </c>
      <c r="AI1251" t="str">
        <f>_xlfn.LET(_xlpm.x,_xlfn.CONCAT(_xlfn.XLOOKUP(D1251,beans!$A$2:$A$300,beans!$J$2:$J$300,"")," / ",_xlfn.XLOOKUP(D1251,beans!$A$2:$A$300,beans!$K$2:$K$300,"")," - ",_xlfn.XLOOKUP(D1251,beans!$A$2:$A$300,beans!$L$2:$L$300,"")),IF(_xlpm.x=" /  - ","",_xlpm.x))</f>
        <v/>
      </c>
    </row>
    <row r="1252" spans="1:35" x14ac:dyDescent="0.3">
      <c r="A1252">
        <v>1235</v>
      </c>
      <c r="E1252" t="str">
        <f>_xlfn.LET(_xlpm.x,_xlfn.XLOOKUP(D1252,beans!$A$2:$A$300,beans!$H$2:$H$300,""),IF(_xlpm.x="","",_xlpm.x))</f>
        <v/>
      </c>
      <c r="F1252" s="22" t="str">
        <f>_xlfn.XLOOKUP(E1252,menu!$A$2:$A$37,menu!$B$2:$B$37,"")</f>
        <v/>
      </c>
      <c r="G1252" t="str">
        <f>_xlfn.XLOOKUP(E1252,menu!$A$2:$A$37,menu!$C$2:$C$37,"")</f>
        <v/>
      </c>
      <c r="H1252" t="str">
        <f>_xlfn.LET(_xlpm.x,_xlfn.XLOOKUP(_xlfn.XLOOKUP(D1252,beans!$A$2:$A$300,beans!$I$2:$I$300),menu!$E$2:$E$20,menu!$F$2:$F$20),IF(_xlpm.x="","",_xlpm.x))</f>
        <v/>
      </c>
      <c r="T1252" s="68" t="str">
        <f t="shared" si="134"/>
        <v/>
      </c>
      <c r="U1252" t="str">
        <f t="shared" si="130"/>
        <v/>
      </c>
      <c r="V1252">
        <f t="shared" si="135"/>
        <v>0</v>
      </c>
      <c r="W1252" t="str">
        <f t="shared" si="131"/>
        <v/>
      </c>
      <c r="AB1252" s="28" t="str">
        <f t="shared" si="132"/>
        <v xml:space="preserve"> </v>
      </c>
      <c r="AE1252" s="61" t="str">
        <f t="shared" si="133"/>
        <v/>
      </c>
      <c r="AF1252" s="77" t="str">
        <f>_xlfn.XLOOKUP(AD1252,menu!$K$2:$K$9,menu!$J$2:$J$9,"",1)</f>
        <v/>
      </c>
      <c r="AG1252" s="80" t="str">
        <f>_xlfn.XLOOKUP(AH1252,menu!$O$2:$O$9,menu!$H$2:$H$9,"")</f>
        <v/>
      </c>
      <c r="AI1252" t="str">
        <f>_xlfn.LET(_xlpm.x,_xlfn.CONCAT(_xlfn.XLOOKUP(D1252,beans!$A$2:$A$300,beans!$J$2:$J$300,"")," / ",_xlfn.XLOOKUP(D1252,beans!$A$2:$A$300,beans!$K$2:$K$300,"")," - ",_xlfn.XLOOKUP(D1252,beans!$A$2:$A$300,beans!$L$2:$L$300,"")),IF(_xlpm.x=" /  - ","",_xlpm.x))</f>
        <v/>
      </c>
    </row>
    <row r="1253" spans="1:35" x14ac:dyDescent="0.3">
      <c r="A1253">
        <v>1236</v>
      </c>
      <c r="E1253" t="str">
        <f>_xlfn.LET(_xlpm.x,_xlfn.XLOOKUP(D1253,beans!$A$2:$A$300,beans!$H$2:$H$300,""),IF(_xlpm.x="","",_xlpm.x))</f>
        <v/>
      </c>
      <c r="F1253" s="22" t="str">
        <f>_xlfn.XLOOKUP(E1253,menu!$A$2:$A$37,menu!$B$2:$B$37,"")</f>
        <v/>
      </c>
      <c r="G1253" t="str">
        <f>_xlfn.XLOOKUP(E1253,menu!$A$2:$A$37,menu!$C$2:$C$37,"")</f>
        <v/>
      </c>
      <c r="H1253" t="str">
        <f>_xlfn.LET(_xlpm.x,_xlfn.XLOOKUP(_xlfn.XLOOKUP(D1253,beans!$A$2:$A$300,beans!$I$2:$I$300),menu!$E$2:$E$20,menu!$F$2:$F$20),IF(_xlpm.x="","",_xlpm.x))</f>
        <v/>
      </c>
      <c r="T1253" s="68" t="str">
        <f t="shared" si="134"/>
        <v/>
      </c>
      <c r="U1253" t="str">
        <f t="shared" si="130"/>
        <v/>
      </c>
      <c r="V1253">
        <f t="shared" si="135"/>
        <v>0</v>
      </c>
      <c r="W1253" t="str">
        <f t="shared" si="131"/>
        <v/>
      </c>
      <c r="AB1253" s="28" t="str">
        <f t="shared" si="132"/>
        <v xml:space="preserve"> </v>
      </c>
      <c r="AE1253" s="61" t="str">
        <f t="shared" si="133"/>
        <v/>
      </c>
      <c r="AF1253" s="77" t="str">
        <f>_xlfn.XLOOKUP(AD1253,menu!$K$2:$K$9,menu!$J$2:$J$9,"",1)</f>
        <v/>
      </c>
      <c r="AG1253" s="80" t="str">
        <f>_xlfn.XLOOKUP(AH1253,menu!$O$2:$O$9,menu!$H$2:$H$9,"")</f>
        <v/>
      </c>
      <c r="AI1253" t="str">
        <f>_xlfn.LET(_xlpm.x,_xlfn.CONCAT(_xlfn.XLOOKUP(D1253,beans!$A$2:$A$300,beans!$J$2:$J$300,"")," / ",_xlfn.XLOOKUP(D1253,beans!$A$2:$A$300,beans!$K$2:$K$300,"")," - ",_xlfn.XLOOKUP(D1253,beans!$A$2:$A$300,beans!$L$2:$L$300,"")),IF(_xlpm.x=" /  - ","",_xlpm.x))</f>
        <v/>
      </c>
    </row>
    <row r="1254" spans="1:35" x14ac:dyDescent="0.3">
      <c r="A1254">
        <v>1237</v>
      </c>
      <c r="E1254" t="str">
        <f>_xlfn.LET(_xlpm.x,_xlfn.XLOOKUP(D1254,beans!$A$2:$A$300,beans!$H$2:$H$300,""),IF(_xlpm.x="","",_xlpm.x))</f>
        <v/>
      </c>
      <c r="F1254" s="22" t="str">
        <f>_xlfn.XLOOKUP(E1254,menu!$A$2:$A$37,menu!$B$2:$B$37,"")</f>
        <v/>
      </c>
      <c r="G1254" t="str">
        <f>_xlfn.XLOOKUP(E1254,menu!$A$2:$A$37,menu!$C$2:$C$37,"")</f>
        <v/>
      </c>
      <c r="H1254" t="str">
        <f>_xlfn.LET(_xlpm.x,_xlfn.XLOOKUP(_xlfn.XLOOKUP(D1254,beans!$A$2:$A$300,beans!$I$2:$I$300),menu!$E$2:$E$20,menu!$F$2:$F$20),IF(_xlpm.x="","",_xlpm.x))</f>
        <v/>
      </c>
      <c r="T1254" s="68" t="str">
        <f t="shared" si="134"/>
        <v/>
      </c>
      <c r="U1254" t="str">
        <f t="shared" si="130"/>
        <v/>
      </c>
      <c r="V1254">
        <f t="shared" si="135"/>
        <v>0</v>
      </c>
      <c r="W1254" t="str">
        <f t="shared" si="131"/>
        <v/>
      </c>
      <c r="AB1254" s="28" t="str">
        <f t="shared" si="132"/>
        <v xml:space="preserve"> </v>
      </c>
      <c r="AE1254" s="61" t="str">
        <f t="shared" si="133"/>
        <v/>
      </c>
      <c r="AF1254" s="77" t="str">
        <f>_xlfn.XLOOKUP(AD1254,menu!$K$2:$K$9,menu!$J$2:$J$9,"",1)</f>
        <v/>
      </c>
      <c r="AG1254" s="80" t="str">
        <f>_xlfn.XLOOKUP(AH1254,menu!$O$2:$O$9,menu!$H$2:$H$9,"")</f>
        <v/>
      </c>
      <c r="AI1254" t="str">
        <f>_xlfn.LET(_xlpm.x,_xlfn.CONCAT(_xlfn.XLOOKUP(D1254,beans!$A$2:$A$300,beans!$J$2:$J$300,"")," / ",_xlfn.XLOOKUP(D1254,beans!$A$2:$A$300,beans!$K$2:$K$300,"")," - ",_xlfn.XLOOKUP(D1254,beans!$A$2:$A$300,beans!$L$2:$L$300,"")),IF(_xlpm.x=" /  - ","",_xlpm.x))</f>
        <v/>
      </c>
    </row>
    <row r="1255" spans="1:35" x14ac:dyDescent="0.3">
      <c r="A1255">
        <v>1238</v>
      </c>
      <c r="E1255" t="str">
        <f>_xlfn.LET(_xlpm.x,_xlfn.XLOOKUP(D1255,beans!$A$2:$A$300,beans!$H$2:$H$300,""),IF(_xlpm.x="","",_xlpm.x))</f>
        <v/>
      </c>
      <c r="F1255" s="22" t="str">
        <f>_xlfn.XLOOKUP(E1255,menu!$A$2:$A$37,menu!$B$2:$B$37,"")</f>
        <v/>
      </c>
      <c r="G1255" t="str">
        <f>_xlfn.XLOOKUP(E1255,menu!$A$2:$A$37,menu!$C$2:$C$37,"")</f>
        <v/>
      </c>
      <c r="H1255" t="str">
        <f>_xlfn.LET(_xlpm.x,_xlfn.XLOOKUP(_xlfn.XLOOKUP(D1255,beans!$A$2:$A$300,beans!$I$2:$I$300),menu!$E$2:$E$20,menu!$F$2:$F$20),IF(_xlpm.x="","",_xlpm.x))</f>
        <v/>
      </c>
      <c r="T1255" s="68" t="str">
        <f t="shared" si="134"/>
        <v/>
      </c>
      <c r="U1255" t="str">
        <f t="shared" si="130"/>
        <v/>
      </c>
      <c r="V1255">
        <f t="shared" si="135"/>
        <v>0</v>
      </c>
      <c r="W1255" t="str">
        <f t="shared" si="131"/>
        <v/>
      </c>
      <c r="AB1255" s="28" t="str">
        <f t="shared" si="132"/>
        <v xml:space="preserve"> </v>
      </c>
      <c r="AE1255" s="61" t="str">
        <f t="shared" si="133"/>
        <v/>
      </c>
      <c r="AF1255" s="77" t="str">
        <f>_xlfn.XLOOKUP(AD1255,menu!$K$2:$K$9,menu!$J$2:$J$9,"",1)</f>
        <v/>
      </c>
      <c r="AG1255" s="80" t="str">
        <f>_xlfn.XLOOKUP(AH1255,menu!$O$2:$O$9,menu!$H$2:$H$9,"")</f>
        <v/>
      </c>
      <c r="AI1255" t="str">
        <f>_xlfn.LET(_xlpm.x,_xlfn.CONCAT(_xlfn.XLOOKUP(D1255,beans!$A$2:$A$300,beans!$J$2:$J$300,"")," / ",_xlfn.XLOOKUP(D1255,beans!$A$2:$A$300,beans!$K$2:$K$300,"")," - ",_xlfn.XLOOKUP(D1255,beans!$A$2:$A$300,beans!$L$2:$L$300,"")),IF(_xlpm.x=" /  - ","",_xlpm.x))</f>
        <v/>
      </c>
    </row>
    <row r="1256" spans="1:35" x14ac:dyDescent="0.3">
      <c r="A1256">
        <v>1239</v>
      </c>
      <c r="E1256" t="str">
        <f>_xlfn.LET(_xlpm.x,_xlfn.XLOOKUP(D1256,beans!$A$2:$A$300,beans!$H$2:$H$300,""),IF(_xlpm.x="","",_xlpm.x))</f>
        <v/>
      </c>
      <c r="F1256" s="22" t="str">
        <f>_xlfn.XLOOKUP(E1256,menu!$A$2:$A$37,menu!$B$2:$B$37,"")</f>
        <v/>
      </c>
      <c r="G1256" t="str">
        <f>_xlfn.XLOOKUP(E1256,menu!$A$2:$A$37,menu!$C$2:$C$37,"")</f>
        <v/>
      </c>
      <c r="H1256" t="str">
        <f>_xlfn.LET(_xlpm.x,_xlfn.XLOOKUP(_xlfn.XLOOKUP(D1256,beans!$A$2:$A$300,beans!$I$2:$I$300),menu!$E$2:$E$20,menu!$F$2:$F$20),IF(_xlpm.x="","",_xlpm.x))</f>
        <v/>
      </c>
      <c r="T1256" s="68" t="str">
        <f t="shared" si="134"/>
        <v/>
      </c>
      <c r="U1256" t="str">
        <f t="shared" si="130"/>
        <v/>
      </c>
      <c r="V1256">
        <f t="shared" si="135"/>
        <v>0</v>
      </c>
      <c r="W1256" t="str">
        <f t="shared" si="131"/>
        <v/>
      </c>
      <c r="AB1256" s="28" t="str">
        <f t="shared" si="132"/>
        <v xml:space="preserve"> </v>
      </c>
      <c r="AE1256" s="61" t="str">
        <f t="shared" si="133"/>
        <v/>
      </c>
      <c r="AF1256" s="77" t="str">
        <f>_xlfn.XLOOKUP(AD1256,menu!$K$2:$K$9,menu!$J$2:$J$9,"",1)</f>
        <v/>
      </c>
      <c r="AG1256" s="80" t="str">
        <f>_xlfn.XLOOKUP(AH1256,menu!$O$2:$O$9,menu!$H$2:$H$9,"")</f>
        <v/>
      </c>
      <c r="AI1256" t="str">
        <f>_xlfn.LET(_xlpm.x,_xlfn.CONCAT(_xlfn.XLOOKUP(D1256,beans!$A$2:$A$300,beans!$J$2:$J$300,"")," / ",_xlfn.XLOOKUP(D1256,beans!$A$2:$A$300,beans!$K$2:$K$300,"")," - ",_xlfn.XLOOKUP(D1256,beans!$A$2:$A$300,beans!$L$2:$L$300,"")),IF(_xlpm.x=" /  - ","",_xlpm.x))</f>
        <v/>
      </c>
    </row>
    <row r="1257" spans="1:35" x14ac:dyDescent="0.3">
      <c r="A1257">
        <v>1240</v>
      </c>
      <c r="E1257" t="str">
        <f>_xlfn.LET(_xlpm.x,_xlfn.XLOOKUP(D1257,beans!$A$2:$A$300,beans!$H$2:$H$300,""),IF(_xlpm.x="","",_xlpm.x))</f>
        <v/>
      </c>
      <c r="F1257" s="22" t="str">
        <f>_xlfn.XLOOKUP(E1257,menu!$A$2:$A$37,menu!$B$2:$B$37,"")</f>
        <v/>
      </c>
      <c r="G1257" t="str">
        <f>_xlfn.XLOOKUP(E1257,menu!$A$2:$A$37,menu!$C$2:$C$37,"")</f>
        <v/>
      </c>
      <c r="H1257" t="str">
        <f>_xlfn.LET(_xlpm.x,_xlfn.XLOOKUP(_xlfn.XLOOKUP(D1257,beans!$A$2:$A$300,beans!$I$2:$I$300),menu!$E$2:$E$20,menu!$F$2:$F$20),IF(_xlpm.x="","",_xlpm.x))</f>
        <v/>
      </c>
      <c r="T1257" s="68" t="str">
        <f t="shared" si="134"/>
        <v/>
      </c>
      <c r="U1257" t="str">
        <f t="shared" si="130"/>
        <v/>
      </c>
      <c r="V1257">
        <f t="shared" si="135"/>
        <v>0</v>
      </c>
      <c r="W1257" t="str">
        <f t="shared" si="131"/>
        <v/>
      </c>
      <c r="AB1257" s="28" t="str">
        <f t="shared" si="132"/>
        <v xml:space="preserve"> </v>
      </c>
      <c r="AE1257" s="61" t="str">
        <f t="shared" si="133"/>
        <v/>
      </c>
      <c r="AF1257" s="77" t="str">
        <f>_xlfn.XLOOKUP(AD1257,menu!$K$2:$K$9,menu!$J$2:$J$9,"",1)</f>
        <v/>
      </c>
      <c r="AG1257" s="80" t="str">
        <f>_xlfn.XLOOKUP(AH1257,menu!$O$2:$O$9,menu!$H$2:$H$9,"")</f>
        <v/>
      </c>
      <c r="AI1257" t="str">
        <f>_xlfn.LET(_xlpm.x,_xlfn.CONCAT(_xlfn.XLOOKUP(D1257,beans!$A$2:$A$300,beans!$J$2:$J$300,"")," / ",_xlfn.XLOOKUP(D1257,beans!$A$2:$A$300,beans!$K$2:$K$300,"")," - ",_xlfn.XLOOKUP(D1257,beans!$A$2:$A$300,beans!$L$2:$L$300,"")),IF(_xlpm.x=" /  - ","",_xlpm.x))</f>
        <v/>
      </c>
    </row>
    <row r="1258" spans="1:35" x14ac:dyDescent="0.3">
      <c r="A1258">
        <v>1241</v>
      </c>
      <c r="E1258" t="str">
        <f>_xlfn.LET(_xlpm.x,_xlfn.XLOOKUP(D1258,beans!$A$2:$A$300,beans!$H$2:$H$300,""),IF(_xlpm.x="","",_xlpm.x))</f>
        <v/>
      </c>
      <c r="F1258" s="22" t="str">
        <f>_xlfn.XLOOKUP(E1258,menu!$A$2:$A$37,menu!$B$2:$B$37,"")</f>
        <v/>
      </c>
      <c r="G1258" t="str">
        <f>_xlfn.XLOOKUP(E1258,menu!$A$2:$A$37,menu!$C$2:$C$37,"")</f>
        <v/>
      </c>
      <c r="H1258" t="str">
        <f>_xlfn.LET(_xlpm.x,_xlfn.XLOOKUP(_xlfn.XLOOKUP(D1258,beans!$A$2:$A$300,beans!$I$2:$I$300),menu!$E$2:$E$20,menu!$F$2:$F$20),IF(_xlpm.x="","",_xlpm.x))</f>
        <v/>
      </c>
      <c r="T1258" s="68" t="str">
        <f t="shared" si="134"/>
        <v/>
      </c>
      <c r="U1258" t="str">
        <f t="shared" si="130"/>
        <v/>
      </c>
      <c r="V1258">
        <f t="shared" si="135"/>
        <v>0</v>
      </c>
      <c r="W1258" t="str">
        <f t="shared" si="131"/>
        <v/>
      </c>
      <c r="AB1258" s="28" t="str">
        <f t="shared" si="132"/>
        <v xml:space="preserve"> </v>
      </c>
      <c r="AE1258" s="61" t="str">
        <f t="shared" si="133"/>
        <v/>
      </c>
      <c r="AF1258" s="77" t="str">
        <f>_xlfn.XLOOKUP(AD1258,menu!$K$2:$K$9,menu!$J$2:$J$9,"",1)</f>
        <v/>
      </c>
      <c r="AG1258" s="80" t="str">
        <f>_xlfn.XLOOKUP(AH1258,menu!$O$2:$O$9,menu!$H$2:$H$9,"")</f>
        <v/>
      </c>
      <c r="AI1258" t="str">
        <f>_xlfn.LET(_xlpm.x,_xlfn.CONCAT(_xlfn.XLOOKUP(D1258,beans!$A$2:$A$300,beans!$J$2:$J$300,"")," / ",_xlfn.XLOOKUP(D1258,beans!$A$2:$A$300,beans!$K$2:$K$300,"")," - ",_xlfn.XLOOKUP(D1258,beans!$A$2:$A$300,beans!$L$2:$L$300,"")),IF(_xlpm.x=" /  - ","",_xlpm.x))</f>
        <v/>
      </c>
    </row>
    <row r="1259" spans="1:35" x14ac:dyDescent="0.3">
      <c r="A1259">
        <v>1242</v>
      </c>
      <c r="E1259" t="str">
        <f>_xlfn.LET(_xlpm.x,_xlfn.XLOOKUP(D1259,beans!$A$2:$A$300,beans!$H$2:$H$300,""),IF(_xlpm.x="","",_xlpm.x))</f>
        <v/>
      </c>
      <c r="F1259" s="22" t="str">
        <f>_xlfn.XLOOKUP(E1259,menu!$A$2:$A$37,menu!$B$2:$B$37,"")</f>
        <v/>
      </c>
      <c r="G1259" t="str">
        <f>_xlfn.XLOOKUP(E1259,menu!$A$2:$A$37,menu!$C$2:$C$37,"")</f>
        <v/>
      </c>
      <c r="H1259" t="str">
        <f>_xlfn.LET(_xlpm.x,_xlfn.XLOOKUP(_xlfn.XLOOKUP(D1259,beans!$A$2:$A$300,beans!$I$2:$I$300),menu!$E$2:$E$20,menu!$F$2:$F$20),IF(_xlpm.x="","",_xlpm.x))</f>
        <v/>
      </c>
      <c r="T1259" s="68" t="str">
        <f t="shared" si="134"/>
        <v/>
      </c>
      <c r="U1259" t="str">
        <f t="shared" si="130"/>
        <v/>
      </c>
      <c r="V1259">
        <f t="shared" si="135"/>
        <v>0</v>
      </c>
      <c r="W1259" t="str">
        <f t="shared" si="131"/>
        <v/>
      </c>
      <c r="AB1259" s="28" t="str">
        <f t="shared" si="132"/>
        <v xml:space="preserve"> </v>
      </c>
      <c r="AE1259" s="61" t="str">
        <f t="shared" si="133"/>
        <v/>
      </c>
      <c r="AF1259" s="77" t="str">
        <f>_xlfn.XLOOKUP(AD1259,menu!$K$2:$K$9,menu!$J$2:$J$9,"",1)</f>
        <v/>
      </c>
      <c r="AG1259" s="80" t="str">
        <f>_xlfn.XLOOKUP(AH1259,menu!$O$2:$O$9,menu!$H$2:$H$9,"")</f>
        <v/>
      </c>
      <c r="AI1259" t="str">
        <f>_xlfn.LET(_xlpm.x,_xlfn.CONCAT(_xlfn.XLOOKUP(D1259,beans!$A$2:$A$300,beans!$J$2:$J$300,"")," / ",_xlfn.XLOOKUP(D1259,beans!$A$2:$A$300,beans!$K$2:$K$300,"")," - ",_xlfn.XLOOKUP(D1259,beans!$A$2:$A$300,beans!$L$2:$L$300,"")),IF(_xlpm.x=" /  - ","",_xlpm.x))</f>
        <v/>
      </c>
    </row>
    <row r="1260" spans="1:35" x14ac:dyDescent="0.3">
      <c r="A1260">
        <v>1243</v>
      </c>
      <c r="E1260" t="str">
        <f>_xlfn.LET(_xlpm.x,_xlfn.XLOOKUP(D1260,beans!$A$2:$A$300,beans!$H$2:$H$300,""),IF(_xlpm.x="","",_xlpm.x))</f>
        <v/>
      </c>
      <c r="F1260" s="22" t="str">
        <f>_xlfn.XLOOKUP(E1260,menu!$A$2:$A$37,menu!$B$2:$B$37,"")</f>
        <v/>
      </c>
      <c r="G1260" t="str">
        <f>_xlfn.XLOOKUP(E1260,menu!$A$2:$A$37,menu!$C$2:$C$37,"")</f>
        <v/>
      </c>
      <c r="H1260" t="str">
        <f>_xlfn.LET(_xlpm.x,_xlfn.XLOOKUP(_xlfn.XLOOKUP(D1260,beans!$A$2:$A$300,beans!$I$2:$I$300),menu!$E$2:$E$20,menu!$F$2:$F$20),IF(_xlpm.x="","",_xlpm.x))</f>
        <v/>
      </c>
      <c r="T1260" s="68" t="str">
        <f t="shared" si="134"/>
        <v/>
      </c>
      <c r="U1260" t="str">
        <f t="shared" si="130"/>
        <v/>
      </c>
      <c r="V1260">
        <f t="shared" si="135"/>
        <v>0</v>
      </c>
      <c r="W1260" t="str">
        <f t="shared" si="131"/>
        <v/>
      </c>
      <c r="AB1260" s="28" t="str">
        <f t="shared" si="132"/>
        <v xml:space="preserve"> </v>
      </c>
      <c r="AE1260" s="61" t="str">
        <f t="shared" si="133"/>
        <v/>
      </c>
      <c r="AF1260" s="77" t="str">
        <f>_xlfn.XLOOKUP(AD1260,menu!$K$2:$K$9,menu!$J$2:$J$9,"",1)</f>
        <v/>
      </c>
      <c r="AG1260" s="80" t="str">
        <f>_xlfn.XLOOKUP(AH1260,menu!$O$2:$O$9,menu!$H$2:$H$9,"")</f>
        <v/>
      </c>
      <c r="AI1260" t="str">
        <f>_xlfn.LET(_xlpm.x,_xlfn.CONCAT(_xlfn.XLOOKUP(D1260,beans!$A$2:$A$300,beans!$J$2:$J$300,"")," / ",_xlfn.XLOOKUP(D1260,beans!$A$2:$A$300,beans!$K$2:$K$300,"")," - ",_xlfn.XLOOKUP(D1260,beans!$A$2:$A$300,beans!$L$2:$L$300,"")),IF(_xlpm.x=" /  - ","",_xlpm.x))</f>
        <v/>
      </c>
    </row>
    <row r="1261" spans="1:35" x14ac:dyDescent="0.3">
      <c r="A1261">
        <v>1244</v>
      </c>
      <c r="E1261" t="str">
        <f>_xlfn.LET(_xlpm.x,_xlfn.XLOOKUP(D1261,beans!$A$2:$A$300,beans!$H$2:$H$300,""),IF(_xlpm.x="","",_xlpm.x))</f>
        <v/>
      </c>
      <c r="F1261" s="22" t="str">
        <f>_xlfn.XLOOKUP(E1261,menu!$A$2:$A$37,menu!$B$2:$B$37,"")</f>
        <v/>
      </c>
      <c r="G1261" t="str">
        <f>_xlfn.XLOOKUP(E1261,menu!$A$2:$A$37,menu!$C$2:$C$37,"")</f>
        <v/>
      </c>
      <c r="H1261" t="str">
        <f>_xlfn.LET(_xlpm.x,_xlfn.XLOOKUP(_xlfn.XLOOKUP(D1261,beans!$A$2:$A$300,beans!$I$2:$I$300),menu!$E$2:$E$20,menu!$F$2:$F$20),IF(_xlpm.x="","",_xlpm.x))</f>
        <v/>
      </c>
      <c r="T1261" s="68" t="str">
        <f t="shared" si="134"/>
        <v/>
      </c>
      <c r="U1261" t="str">
        <f t="shared" si="130"/>
        <v/>
      </c>
      <c r="V1261">
        <f t="shared" si="135"/>
        <v>0</v>
      </c>
      <c r="W1261" t="str">
        <f t="shared" si="131"/>
        <v/>
      </c>
      <c r="AB1261" s="28" t="str">
        <f t="shared" si="132"/>
        <v xml:space="preserve"> </v>
      </c>
      <c r="AE1261" s="61" t="str">
        <f t="shared" si="133"/>
        <v/>
      </c>
      <c r="AF1261" s="77" t="str">
        <f>_xlfn.XLOOKUP(AD1261,menu!$K$2:$K$9,menu!$J$2:$J$9,"",1)</f>
        <v/>
      </c>
      <c r="AG1261" s="80" t="str">
        <f>_xlfn.XLOOKUP(AH1261,menu!$O$2:$O$9,menu!$H$2:$H$9,"")</f>
        <v/>
      </c>
      <c r="AI1261" t="str">
        <f>_xlfn.LET(_xlpm.x,_xlfn.CONCAT(_xlfn.XLOOKUP(D1261,beans!$A$2:$A$300,beans!$J$2:$J$300,"")," / ",_xlfn.XLOOKUP(D1261,beans!$A$2:$A$300,beans!$K$2:$K$300,"")," - ",_xlfn.XLOOKUP(D1261,beans!$A$2:$A$300,beans!$L$2:$L$300,"")),IF(_xlpm.x=" /  - ","",_xlpm.x))</f>
        <v/>
      </c>
    </row>
    <row r="1262" spans="1:35" x14ac:dyDescent="0.3">
      <c r="A1262">
        <v>1245</v>
      </c>
      <c r="E1262" t="str">
        <f>_xlfn.LET(_xlpm.x,_xlfn.XLOOKUP(D1262,beans!$A$2:$A$300,beans!$H$2:$H$300,""),IF(_xlpm.x="","",_xlpm.x))</f>
        <v/>
      </c>
      <c r="F1262" s="22" t="str">
        <f>_xlfn.XLOOKUP(E1262,menu!$A$2:$A$37,menu!$B$2:$B$37,"")</f>
        <v/>
      </c>
      <c r="G1262" t="str">
        <f>_xlfn.XLOOKUP(E1262,menu!$A$2:$A$37,menu!$C$2:$C$37,"")</f>
        <v/>
      </c>
      <c r="H1262" t="str">
        <f>_xlfn.LET(_xlpm.x,_xlfn.XLOOKUP(_xlfn.XLOOKUP(D1262,beans!$A$2:$A$300,beans!$I$2:$I$300),menu!$E$2:$E$20,menu!$F$2:$F$20),IF(_xlpm.x="","",_xlpm.x))</f>
        <v/>
      </c>
      <c r="T1262" s="68" t="str">
        <f t="shared" si="134"/>
        <v/>
      </c>
      <c r="U1262" t="str">
        <f t="shared" si="130"/>
        <v/>
      </c>
      <c r="V1262">
        <f t="shared" si="135"/>
        <v>0</v>
      </c>
      <c r="W1262" t="str">
        <f t="shared" si="131"/>
        <v/>
      </c>
      <c r="AB1262" s="28" t="str">
        <f t="shared" si="132"/>
        <v xml:space="preserve"> </v>
      </c>
      <c r="AE1262" s="61" t="str">
        <f t="shared" si="133"/>
        <v/>
      </c>
      <c r="AF1262" s="77" t="str">
        <f>_xlfn.XLOOKUP(AD1262,menu!$K$2:$K$9,menu!$J$2:$J$9,"",1)</f>
        <v/>
      </c>
      <c r="AG1262" s="80" t="str">
        <f>_xlfn.XLOOKUP(AH1262,menu!$O$2:$O$9,menu!$H$2:$H$9,"")</f>
        <v/>
      </c>
      <c r="AI1262" t="str">
        <f>_xlfn.LET(_xlpm.x,_xlfn.CONCAT(_xlfn.XLOOKUP(D1262,beans!$A$2:$A$300,beans!$J$2:$J$300,"")," / ",_xlfn.XLOOKUP(D1262,beans!$A$2:$A$300,beans!$K$2:$K$300,"")," - ",_xlfn.XLOOKUP(D1262,beans!$A$2:$A$300,beans!$L$2:$L$300,"")),IF(_xlpm.x=" /  - ","",_xlpm.x))</f>
        <v/>
      </c>
    </row>
    <row r="1263" spans="1:35" x14ac:dyDescent="0.3">
      <c r="A1263">
        <v>1246</v>
      </c>
      <c r="E1263" t="str">
        <f>_xlfn.LET(_xlpm.x,_xlfn.XLOOKUP(D1263,beans!$A$2:$A$300,beans!$H$2:$H$300,""),IF(_xlpm.x="","",_xlpm.x))</f>
        <v/>
      </c>
      <c r="F1263" s="22" t="str">
        <f>_xlfn.XLOOKUP(E1263,menu!$A$2:$A$37,menu!$B$2:$B$37,"")</f>
        <v/>
      </c>
      <c r="G1263" t="str">
        <f>_xlfn.XLOOKUP(E1263,menu!$A$2:$A$37,menu!$C$2:$C$37,"")</f>
        <v/>
      </c>
      <c r="H1263" t="str">
        <f>_xlfn.LET(_xlpm.x,_xlfn.XLOOKUP(_xlfn.XLOOKUP(D1263,beans!$A$2:$A$300,beans!$I$2:$I$300),menu!$E$2:$E$20,menu!$F$2:$F$20),IF(_xlpm.x="","",_xlpm.x))</f>
        <v/>
      </c>
      <c r="T1263" s="68" t="str">
        <f t="shared" si="134"/>
        <v/>
      </c>
      <c r="U1263" t="str">
        <f t="shared" si="130"/>
        <v/>
      </c>
      <c r="V1263">
        <f t="shared" si="135"/>
        <v>0</v>
      </c>
      <c r="W1263" t="str">
        <f t="shared" si="131"/>
        <v/>
      </c>
      <c r="AB1263" s="28" t="str">
        <f t="shared" si="132"/>
        <v xml:space="preserve"> </v>
      </c>
      <c r="AE1263" s="61" t="str">
        <f t="shared" si="133"/>
        <v/>
      </c>
      <c r="AF1263" s="77" t="str">
        <f>_xlfn.XLOOKUP(AD1263,menu!$K$2:$K$9,menu!$J$2:$J$9,"",1)</f>
        <v/>
      </c>
      <c r="AG1263" s="80" t="str">
        <f>_xlfn.XLOOKUP(AH1263,menu!$O$2:$O$9,menu!$H$2:$H$9,"")</f>
        <v/>
      </c>
      <c r="AI1263" t="str">
        <f>_xlfn.LET(_xlpm.x,_xlfn.CONCAT(_xlfn.XLOOKUP(D1263,beans!$A$2:$A$300,beans!$J$2:$J$300,"")," / ",_xlfn.XLOOKUP(D1263,beans!$A$2:$A$300,beans!$K$2:$K$300,"")," - ",_xlfn.XLOOKUP(D1263,beans!$A$2:$A$300,beans!$L$2:$L$300,"")),IF(_xlpm.x=" /  - ","",_xlpm.x))</f>
        <v/>
      </c>
    </row>
    <row r="1264" spans="1:35" x14ac:dyDescent="0.3">
      <c r="A1264">
        <v>1247</v>
      </c>
      <c r="E1264" t="str">
        <f>_xlfn.LET(_xlpm.x,_xlfn.XLOOKUP(D1264,beans!$A$2:$A$300,beans!$H$2:$H$300,""),IF(_xlpm.x="","",_xlpm.x))</f>
        <v/>
      </c>
      <c r="F1264" s="22" t="str">
        <f>_xlfn.XLOOKUP(E1264,menu!$A$2:$A$37,menu!$B$2:$B$37,"")</f>
        <v/>
      </c>
      <c r="G1264" t="str">
        <f>_xlfn.XLOOKUP(E1264,menu!$A$2:$A$37,menu!$C$2:$C$37,"")</f>
        <v/>
      </c>
      <c r="H1264" t="str">
        <f>_xlfn.LET(_xlpm.x,_xlfn.XLOOKUP(_xlfn.XLOOKUP(D1264,beans!$A$2:$A$300,beans!$I$2:$I$300),menu!$E$2:$E$20,menu!$F$2:$F$20),IF(_xlpm.x="","",_xlpm.x))</f>
        <v/>
      </c>
      <c r="T1264" s="68" t="str">
        <f t="shared" si="134"/>
        <v/>
      </c>
      <c r="U1264" t="str">
        <f t="shared" si="130"/>
        <v/>
      </c>
      <c r="V1264">
        <f t="shared" si="135"/>
        <v>0</v>
      </c>
      <c r="W1264" t="str">
        <f t="shared" si="131"/>
        <v/>
      </c>
      <c r="AB1264" s="28" t="str">
        <f t="shared" si="132"/>
        <v xml:space="preserve"> </v>
      </c>
      <c r="AE1264" s="61" t="str">
        <f t="shared" si="133"/>
        <v/>
      </c>
      <c r="AF1264" s="77" t="str">
        <f>_xlfn.XLOOKUP(AD1264,menu!$K$2:$K$9,menu!$J$2:$J$9,"",1)</f>
        <v/>
      </c>
      <c r="AG1264" s="80" t="str">
        <f>_xlfn.XLOOKUP(AH1264,menu!$O$2:$O$9,menu!$H$2:$H$9,"")</f>
        <v/>
      </c>
      <c r="AI1264" t="str">
        <f>_xlfn.LET(_xlpm.x,_xlfn.CONCAT(_xlfn.XLOOKUP(D1264,beans!$A$2:$A$300,beans!$J$2:$J$300,"")," / ",_xlfn.XLOOKUP(D1264,beans!$A$2:$A$300,beans!$K$2:$K$300,"")," - ",_xlfn.XLOOKUP(D1264,beans!$A$2:$A$300,beans!$L$2:$L$300,"")),IF(_xlpm.x=" /  - ","",_xlpm.x))</f>
        <v/>
      </c>
    </row>
    <row r="1265" spans="1:35" x14ac:dyDescent="0.3">
      <c r="A1265">
        <v>1248</v>
      </c>
      <c r="E1265" t="str">
        <f>_xlfn.LET(_xlpm.x,_xlfn.XLOOKUP(D1265,beans!$A$2:$A$300,beans!$H$2:$H$300,""),IF(_xlpm.x="","",_xlpm.x))</f>
        <v/>
      </c>
      <c r="F1265" s="22" t="str">
        <f>_xlfn.XLOOKUP(E1265,menu!$A$2:$A$37,menu!$B$2:$B$37,"")</f>
        <v/>
      </c>
      <c r="G1265" t="str">
        <f>_xlfn.XLOOKUP(E1265,menu!$A$2:$A$37,menu!$C$2:$C$37,"")</f>
        <v/>
      </c>
      <c r="H1265" t="str">
        <f>_xlfn.LET(_xlpm.x,_xlfn.XLOOKUP(_xlfn.XLOOKUP(D1265,beans!$A$2:$A$300,beans!$I$2:$I$300),menu!$E$2:$E$20,menu!$F$2:$F$20),IF(_xlpm.x="","",_xlpm.x))</f>
        <v/>
      </c>
      <c r="T1265" s="68" t="str">
        <f t="shared" si="134"/>
        <v/>
      </c>
      <c r="U1265" t="str">
        <f t="shared" si="130"/>
        <v/>
      </c>
      <c r="V1265">
        <f t="shared" si="135"/>
        <v>0</v>
      </c>
      <c r="W1265" t="str">
        <f t="shared" si="131"/>
        <v/>
      </c>
      <c r="AB1265" s="28" t="str">
        <f t="shared" si="132"/>
        <v xml:space="preserve"> </v>
      </c>
      <c r="AE1265" s="61" t="str">
        <f t="shared" si="133"/>
        <v/>
      </c>
      <c r="AF1265" s="77" t="str">
        <f>_xlfn.XLOOKUP(AD1265,menu!$K$2:$K$9,menu!$J$2:$J$9,"",1)</f>
        <v/>
      </c>
      <c r="AG1265" s="80" t="str">
        <f>_xlfn.XLOOKUP(AH1265,menu!$O$2:$O$9,menu!$H$2:$H$9,"")</f>
        <v/>
      </c>
      <c r="AI1265" t="str">
        <f>_xlfn.LET(_xlpm.x,_xlfn.CONCAT(_xlfn.XLOOKUP(D1265,beans!$A$2:$A$300,beans!$J$2:$J$300,"")," / ",_xlfn.XLOOKUP(D1265,beans!$A$2:$A$300,beans!$K$2:$K$300,"")," - ",_xlfn.XLOOKUP(D1265,beans!$A$2:$A$300,beans!$L$2:$L$300,"")),IF(_xlpm.x=" /  - ","",_xlpm.x))</f>
        <v/>
      </c>
    </row>
    <row r="1266" spans="1:35" x14ac:dyDescent="0.3">
      <c r="A1266">
        <v>1249</v>
      </c>
      <c r="E1266" t="str">
        <f>_xlfn.LET(_xlpm.x,_xlfn.XLOOKUP(D1266,beans!$A$2:$A$300,beans!$H$2:$H$300,""),IF(_xlpm.x="","",_xlpm.x))</f>
        <v/>
      </c>
      <c r="F1266" s="22" t="str">
        <f>_xlfn.XLOOKUP(E1266,menu!$A$2:$A$37,menu!$B$2:$B$37,"")</f>
        <v/>
      </c>
      <c r="G1266" t="str">
        <f>_xlfn.XLOOKUP(E1266,menu!$A$2:$A$37,menu!$C$2:$C$37,"")</f>
        <v/>
      </c>
      <c r="H1266" t="str">
        <f>_xlfn.LET(_xlpm.x,_xlfn.XLOOKUP(_xlfn.XLOOKUP(D1266,beans!$A$2:$A$300,beans!$I$2:$I$300),menu!$E$2:$E$20,menu!$F$2:$F$20),IF(_xlpm.x="","",_xlpm.x))</f>
        <v/>
      </c>
      <c r="T1266" s="68" t="str">
        <f t="shared" si="134"/>
        <v/>
      </c>
      <c r="U1266" t="str">
        <f t="shared" si="130"/>
        <v/>
      </c>
      <c r="V1266">
        <f t="shared" si="135"/>
        <v>0</v>
      </c>
      <c r="W1266" t="str">
        <f t="shared" si="131"/>
        <v/>
      </c>
      <c r="AB1266" s="28" t="str">
        <f t="shared" si="132"/>
        <v xml:space="preserve"> </v>
      </c>
      <c r="AE1266" s="61" t="str">
        <f t="shared" si="133"/>
        <v/>
      </c>
      <c r="AF1266" s="77" t="str">
        <f>_xlfn.XLOOKUP(AD1266,menu!$K$2:$K$9,menu!$J$2:$J$9,"",1)</f>
        <v/>
      </c>
      <c r="AG1266" s="80" t="str">
        <f>_xlfn.XLOOKUP(AH1266,menu!$O$2:$O$9,menu!$H$2:$H$9,"")</f>
        <v/>
      </c>
      <c r="AI1266" t="str">
        <f>_xlfn.LET(_xlpm.x,_xlfn.CONCAT(_xlfn.XLOOKUP(D1266,beans!$A$2:$A$300,beans!$J$2:$J$300,"")," / ",_xlfn.XLOOKUP(D1266,beans!$A$2:$A$300,beans!$K$2:$K$300,"")," - ",_xlfn.XLOOKUP(D1266,beans!$A$2:$A$300,beans!$L$2:$L$300,"")),IF(_xlpm.x=" /  - ","",_xlpm.x))</f>
        <v/>
      </c>
    </row>
    <row r="1267" spans="1:35" x14ac:dyDescent="0.3">
      <c r="A1267">
        <v>1250</v>
      </c>
      <c r="E1267" t="str">
        <f>_xlfn.LET(_xlpm.x,_xlfn.XLOOKUP(D1267,beans!$A$2:$A$300,beans!$H$2:$H$300,""),IF(_xlpm.x="","",_xlpm.x))</f>
        <v/>
      </c>
      <c r="F1267" s="22" t="str">
        <f>_xlfn.XLOOKUP(E1267,menu!$A$2:$A$37,menu!$B$2:$B$37,"")</f>
        <v/>
      </c>
      <c r="G1267" t="str">
        <f>_xlfn.XLOOKUP(E1267,menu!$A$2:$A$37,menu!$C$2:$C$37,"")</f>
        <v/>
      </c>
      <c r="H1267" t="str">
        <f>_xlfn.LET(_xlpm.x,_xlfn.XLOOKUP(_xlfn.XLOOKUP(D1267,beans!$A$2:$A$300,beans!$I$2:$I$300),menu!$E$2:$E$20,menu!$F$2:$F$20),IF(_xlpm.x="","",_xlpm.x))</f>
        <v/>
      </c>
      <c r="T1267" s="68" t="str">
        <f t="shared" si="134"/>
        <v/>
      </c>
      <c r="U1267" t="str">
        <f t="shared" si="130"/>
        <v/>
      </c>
      <c r="V1267">
        <f t="shared" si="135"/>
        <v>0</v>
      </c>
      <c r="W1267" t="str">
        <f t="shared" si="131"/>
        <v/>
      </c>
      <c r="AB1267" s="28" t="str">
        <f t="shared" si="132"/>
        <v xml:space="preserve"> </v>
      </c>
      <c r="AE1267" s="61" t="str">
        <f t="shared" si="133"/>
        <v/>
      </c>
      <c r="AF1267" s="77" t="str">
        <f>_xlfn.XLOOKUP(AD1267,menu!$K$2:$K$9,menu!$J$2:$J$9,"",1)</f>
        <v/>
      </c>
      <c r="AG1267" s="80" t="str">
        <f>_xlfn.XLOOKUP(AH1267,menu!$O$2:$O$9,menu!$H$2:$H$9,"")</f>
        <v/>
      </c>
      <c r="AI1267" t="str">
        <f>_xlfn.LET(_xlpm.x,_xlfn.CONCAT(_xlfn.XLOOKUP(D1267,beans!$A$2:$A$300,beans!$J$2:$J$300,"")," / ",_xlfn.XLOOKUP(D1267,beans!$A$2:$A$300,beans!$K$2:$K$300,"")," - ",_xlfn.XLOOKUP(D1267,beans!$A$2:$A$300,beans!$L$2:$L$300,"")),IF(_xlpm.x=" /  - ","",_xlpm.x))</f>
        <v/>
      </c>
    </row>
    <row r="1268" spans="1:35" x14ac:dyDescent="0.3">
      <c r="A1268">
        <v>1251</v>
      </c>
      <c r="E1268" t="str">
        <f>_xlfn.LET(_xlpm.x,_xlfn.XLOOKUP(D1268,beans!$A$2:$A$300,beans!$H$2:$H$300,""),IF(_xlpm.x="","",_xlpm.x))</f>
        <v/>
      </c>
      <c r="F1268" s="22" t="str">
        <f>_xlfn.XLOOKUP(E1268,menu!$A$2:$A$37,menu!$B$2:$B$37,"")</f>
        <v/>
      </c>
      <c r="G1268" t="str">
        <f>_xlfn.XLOOKUP(E1268,menu!$A$2:$A$37,menu!$C$2:$C$37,"")</f>
        <v/>
      </c>
      <c r="H1268" t="str">
        <f>_xlfn.LET(_xlpm.x,_xlfn.XLOOKUP(_xlfn.XLOOKUP(D1268,beans!$A$2:$A$300,beans!$I$2:$I$300),menu!$E$2:$E$20,menu!$F$2:$F$20),IF(_xlpm.x="","",_xlpm.x))</f>
        <v/>
      </c>
      <c r="T1268" s="68" t="str">
        <f t="shared" si="134"/>
        <v/>
      </c>
      <c r="U1268" t="str">
        <f t="shared" si="130"/>
        <v/>
      </c>
      <c r="V1268">
        <f t="shared" si="135"/>
        <v>0</v>
      </c>
      <c r="W1268" t="str">
        <f t="shared" si="131"/>
        <v/>
      </c>
      <c r="AB1268" s="28" t="str">
        <f t="shared" si="132"/>
        <v xml:space="preserve"> </v>
      </c>
      <c r="AE1268" s="61" t="str">
        <f t="shared" si="133"/>
        <v/>
      </c>
      <c r="AF1268" s="77" t="str">
        <f>_xlfn.XLOOKUP(AD1268,menu!$K$2:$K$9,menu!$J$2:$J$9,"",1)</f>
        <v/>
      </c>
      <c r="AG1268" s="80" t="str">
        <f>_xlfn.XLOOKUP(AH1268,menu!$O$2:$O$9,menu!$H$2:$H$9,"")</f>
        <v/>
      </c>
      <c r="AI1268" t="str">
        <f>_xlfn.LET(_xlpm.x,_xlfn.CONCAT(_xlfn.XLOOKUP(D1268,beans!$A$2:$A$300,beans!$J$2:$J$300,"")," / ",_xlfn.XLOOKUP(D1268,beans!$A$2:$A$300,beans!$K$2:$K$300,"")," - ",_xlfn.XLOOKUP(D1268,beans!$A$2:$A$300,beans!$L$2:$L$300,"")),IF(_xlpm.x=" /  - ","",_xlpm.x))</f>
        <v/>
      </c>
    </row>
    <row r="1269" spans="1:35" x14ac:dyDescent="0.3">
      <c r="A1269">
        <v>1252</v>
      </c>
      <c r="E1269" t="str">
        <f>_xlfn.LET(_xlpm.x,_xlfn.XLOOKUP(D1269,beans!$A$2:$A$300,beans!$H$2:$H$300,""),IF(_xlpm.x="","",_xlpm.x))</f>
        <v/>
      </c>
      <c r="F1269" s="22" t="str">
        <f>_xlfn.XLOOKUP(E1269,menu!$A$2:$A$37,menu!$B$2:$B$37,"")</f>
        <v/>
      </c>
      <c r="G1269" t="str">
        <f>_xlfn.XLOOKUP(E1269,menu!$A$2:$A$37,menu!$C$2:$C$37,"")</f>
        <v/>
      </c>
      <c r="H1269" t="str">
        <f>_xlfn.LET(_xlpm.x,_xlfn.XLOOKUP(_xlfn.XLOOKUP(D1269,beans!$A$2:$A$300,beans!$I$2:$I$300),menu!$E$2:$E$20,menu!$F$2:$F$20),IF(_xlpm.x="","",_xlpm.x))</f>
        <v/>
      </c>
      <c r="T1269" s="68" t="str">
        <f t="shared" si="134"/>
        <v/>
      </c>
      <c r="U1269" t="str">
        <f t="shared" si="130"/>
        <v/>
      </c>
      <c r="V1269">
        <f t="shared" si="135"/>
        <v>0</v>
      </c>
      <c r="W1269" t="str">
        <f t="shared" si="131"/>
        <v/>
      </c>
      <c r="AB1269" s="28" t="str">
        <f t="shared" si="132"/>
        <v xml:space="preserve"> </v>
      </c>
      <c r="AE1269" s="61" t="str">
        <f t="shared" si="133"/>
        <v/>
      </c>
      <c r="AF1269" s="77" t="str">
        <f>_xlfn.XLOOKUP(AD1269,menu!$K$2:$K$9,menu!$J$2:$J$9,"",1)</f>
        <v/>
      </c>
      <c r="AG1269" s="80" t="str">
        <f>_xlfn.XLOOKUP(AH1269,menu!$O$2:$O$9,menu!$H$2:$H$9,"")</f>
        <v/>
      </c>
      <c r="AI1269" t="str">
        <f>_xlfn.LET(_xlpm.x,_xlfn.CONCAT(_xlfn.XLOOKUP(D1269,beans!$A$2:$A$300,beans!$J$2:$J$300,"")," / ",_xlfn.XLOOKUP(D1269,beans!$A$2:$A$300,beans!$K$2:$K$300,"")," - ",_xlfn.XLOOKUP(D1269,beans!$A$2:$A$300,beans!$L$2:$L$300,"")),IF(_xlpm.x=" /  - ","",_xlpm.x))</f>
        <v/>
      </c>
    </row>
    <row r="1270" spans="1:35" x14ac:dyDescent="0.3">
      <c r="A1270">
        <v>1253</v>
      </c>
      <c r="E1270" t="str">
        <f>_xlfn.LET(_xlpm.x,_xlfn.XLOOKUP(D1270,beans!$A$2:$A$300,beans!$H$2:$H$300,""),IF(_xlpm.x="","",_xlpm.x))</f>
        <v/>
      </c>
      <c r="F1270" s="22" t="str">
        <f>_xlfn.XLOOKUP(E1270,menu!$A$2:$A$37,menu!$B$2:$B$37,"")</f>
        <v/>
      </c>
      <c r="G1270" t="str">
        <f>_xlfn.XLOOKUP(E1270,menu!$A$2:$A$37,menu!$C$2:$C$37,"")</f>
        <v/>
      </c>
      <c r="H1270" t="str">
        <f>_xlfn.LET(_xlpm.x,_xlfn.XLOOKUP(_xlfn.XLOOKUP(D1270,beans!$A$2:$A$300,beans!$I$2:$I$300),menu!$E$2:$E$20,menu!$F$2:$F$20),IF(_xlpm.x="","",_xlpm.x))</f>
        <v/>
      </c>
      <c r="T1270" s="68" t="str">
        <f t="shared" si="134"/>
        <v/>
      </c>
      <c r="U1270" t="str">
        <f t="shared" si="130"/>
        <v/>
      </c>
      <c r="V1270">
        <f t="shared" si="135"/>
        <v>0</v>
      </c>
      <c r="W1270" t="str">
        <f t="shared" si="131"/>
        <v/>
      </c>
      <c r="AB1270" s="28" t="str">
        <f t="shared" si="132"/>
        <v xml:space="preserve"> </v>
      </c>
      <c r="AE1270" s="61" t="str">
        <f t="shared" si="133"/>
        <v/>
      </c>
      <c r="AF1270" s="77" t="str">
        <f>_xlfn.XLOOKUP(AD1270,menu!$K$2:$K$9,menu!$J$2:$J$9,"",1)</f>
        <v/>
      </c>
      <c r="AG1270" s="80" t="str">
        <f>_xlfn.XLOOKUP(AH1270,menu!$O$2:$O$9,menu!$H$2:$H$9,"")</f>
        <v/>
      </c>
      <c r="AI1270" t="str">
        <f>_xlfn.LET(_xlpm.x,_xlfn.CONCAT(_xlfn.XLOOKUP(D1270,beans!$A$2:$A$300,beans!$J$2:$J$300,"")," / ",_xlfn.XLOOKUP(D1270,beans!$A$2:$A$300,beans!$K$2:$K$300,"")," - ",_xlfn.XLOOKUP(D1270,beans!$A$2:$A$300,beans!$L$2:$L$300,"")),IF(_xlpm.x=" /  - ","",_xlpm.x))</f>
        <v/>
      </c>
    </row>
    <row r="1271" spans="1:35" x14ac:dyDescent="0.3">
      <c r="A1271">
        <v>1254</v>
      </c>
      <c r="E1271" t="str">
        <f>_xlfn.LET(_xlpm.x,_xlfn.XLOOKUP(D1271,beans!$A$2:$A$300,beans!$H$2:$H$300,""),IF(_xlpm.x="","",_xlpm.x))</f>
        <v/>
      </c>
      <c r="F1271" s="22" t="str">
        <f>_xlfn.XLOOKUP(E1271,menu!$A$2:$A$37,menu!$B$2:$B$37,"")</f>
        <v/>
      </c>
      <c r="G1271" t="str">
        <f>_xlfn.XLOOKUP(E1271,menu!$A$2:$A$37,menu!$C$2:$C$37,"")</f>
        <v/>
      </c>
      <c r="H1271" t="str">
        <f>_xlfn.LET(_xlpm.x,_xlfn.XLOOKUP(_xlfn.XLOOKUP(D1271,beans!$A$2:$A$300,beans!$I$2:$I$300),menu!$E$2:$E$20,menu!$F$2:$F$20),IF(_xlpm.x="","",_xlpm.x))</f>
        <v/>
      </c>
      <c r="T1271" s="68" t="str">
        <f t="shared" si="134"/>
        <v/>
      </c>
      <c r="U1271" t="str">
        <f t="shared" si="130"/>
        <v/>
      </c>
      <c r="V1271">
        <f t="shared" si="135"/>
        <v>0</v>
      </c>
      <c r="W1271" t="str">
        <f t="shared" si="131"/>
        <v/>
      </c>
      <c r="AB1271" s="28" t="str">
        <f t="shared" si="132"/>
        <v xml:space="preserve"> </v>
      </c>
      <c r="AE1271" s="61" t="str">
        <f t="shared" si="133"/>
        <v/>
      </c>
      <c r="AF1271" s="77" t="str">
        <f>_xlfn.XLOOKUP(AD1271,menu!$K$2:$K$9,menu!$J$2:$J$9,"",1)</f>
        <v/>
      </c>
      <c r="AG1271" s="80" t="str">
        <f>_xlfn.XLOOKUP(AH1271,menu!$O$2:$O$9,menu!$H$2:$H$9,"")</f>
        <v/>
      </c>
      <c r="AI1271" t="str">
        <f>_xlfn.LET(_xlpm.x,_xlfn.CONCAT(_xlfn.XLOOKUP(D1271,beans!$A$2:$A$300,beans!$J$2:$J$300,"")," / ",_xlfn.XLOOKUP(D1271,beans!$A$2:$A$300,beans!$K$2:$K$300,"")," - ",_xlfn.XLOOKUP(D1271,beans!$A$2:$A$300,beans!$L$2:$L$300,"")),IF(_xlpm.x=" /  - ","",_xlpm.x))</f>
        <v/>
      </c>
    </row>
    <row r="1272" spans="1:35" x14ac:dyDescent="0.3">
      <c r="A1272">
        <v>1255</v>
      </c>
      <c r="E1272" t="str">
        <f>_xlfn.LET(_xlpm.x,_xlfn.XLOOKUP(D1272,beans!$A$2:$A$300,beans!$H$2:$H$300,""),IF(_xlpm.x="","",_xlpm.x))</f>
        <v/>
      </c>
      <c r="F1272" s="22" t="str">
        <f>_xlfn.XLOOKUP(E1272,menu!$A$2:$A$37,menu!$B$2:$B$37,"")</f>
        <v/>
      </c>
      <c r="G1272" t="str">
        <f>_xlfn.XLOOKUP(E1272,menu!$A$2:$A$37,menu!$C$2:$C$37,"")</f>
        <v/>
      </c>
      <c r="H1272" t="str">
        <f>_xlfn.LET(_xlpm.x,_xlfn.XLOOKUP(_xlfn.XLOOKUP(D1272,beans!$A$2:$A$300,beans!$I$2:$I$300),menu!$E$2:$E$20,menu!$F$2:$F$20),IF(_xlpm.x="","",_xlpm.x))</f>
        <v/>
      </c>
      <c r="T1272" s="68" t="str">
        <f t="shared" si="134"/>
        <v/>
      </c>
      <c r="U1272" t="str">
        <f t="shared" si="130"/>
        <v/>
      </c>
      <c r="V1272">
        <f t="shared" si="135"/>
        <v>0</v>
      </c>
      <c r="W1272" t="str">
        <f t="shared" si="131"/>
        <v/>
      </c>
      <c r="AB1272" s="28" t="str">
        <f t="shared" si="132"/>
        <v xml:space="preserve"> </v>
      </c>
      <c r="AE1272" s="61" t="str">
        <f t="shared" si="133"/>
        <v/>
      </c>
      <c r="AF1272" s="77" t="str">
        <f>_xlfn.XLOOKUP(AD1272,menu!$K$2:$K$9,menu!$J$2:$J$9,"",1)</f>
        <v/>
      </c>
      <c r="AG1272" s="80" t="str">
        <f>_xlfn.XLOOKUP(AH1272,menu!$O$2:$O$9,menu!$H$2:$H$9,"")</f>
        <v/>
      </c>
      <c r="AI1272" t="str">
        <f>_xlfn.LET(_xlpm.x,_xlfn.CONCAT(_xlfn.XLOOKUP(D1272,beans!$A$2:$A$300,beans!$J$2:$J$300,"")," / ",_xlfn.XLOOKUP(D1272,beans!$A$2:$A$300,beans!$K$2:$K$300,"")," - ",_xlfn.XLOOKUP(D1272,beans!$A$2:$A$300,beans!$L$2:$L$300,"")),IF(_xlpm.x=" /  - ","",_xlpm.x))</f>
        <v/>
      </c>
    </row>
    <row r="1273" spans="1:35" x14ac:dyDescent="0.3">
      <c r="A1273">
        <v>1256</v>
      </c>
      <c r="E1273" t="str">
        <f>_xlfn.LET(_xlpm.x,_xlfn.XLOOKUP(D1273,beans!$A$2:$A$300,beans!$H$2:$H$300,""),IF(_xlpm.x="","",_xlpm.x))</f>
        <v/>
      </c>
      <c r="F1273" s="22" t="str">
        <f>_xlfn.XLOOKUP(E1273,menu!$A$2:$A$37,menu!$B$2:$B$37,"")</f>
        <v/>
      </c>
      <c r="G1273" t="str">
        <f>_xlfn.XLOOKUP(E1273,menu!$A$2:$A$37,menu!$C$2:$C$37,"")</f>
        <v/>
      </c>
      <c r="H1273" t="str">
        <f>_xlfn.LET(_xlpm.x,_xlfn.XLOOKUP(_xlfn.XLOOKUP(D1273,beans!$A$2:$A$300,beans!$I$2:$I$300),menu!$E$2:$E$20,menu!$F$2:$F$20),IF(_xlpm.x="","",_xlpm.x))</f>
        <v/>
      </c>
      <c r="T1273" s="68" t="str">
        <f t="shared" si="134"/>
        <v/>
      </c>
      <c r="U1273" t="str">
        <f t="shared" si="130"/>
        <v/>
      </c>
      <c r="V1273">
        <f t="shared" si="135"/>
        <v>0</v>
      </c>
      <c r="W1273" t="str">
        <f t="shared" si="131"/>
        <v/>
      </c>
      <c r="AB1273" s="28" t="str">
        <f t="shared" si="132"/>
        <v xml:space="preserve"> </v>
      </c>
      <c r="AE1273" s="61" t="str">
        <f t="shared" si="133"/>
        <v/>
      </c>
      <c r="AF1273" s="77" t="str">
        <f>_xlfn.XLOOKUP(AD1273,menu!$K$2:$K$9,menu!$J$2:$J$9,"",1)</f>
        <v/>
      </c>
      <c r="AG1273" s="80" t="str">
        <f>_xlfn.XLOOKUP(AH1273,menu!$O$2:$O$9,menu!$H$2:$H$9,"")</f>
        <v/>
      </c>
      <c r="AI1273" t="str">
        <f>_xlfn.LET(_xlpm.x,_xlfn.CONCAT(_xlfn.XLOOKUP(D1273,beans!$A$2:$A$300,beans!$J$2:$J$300,"")," / ",_xlfn.XLOOKUP(D1273,beans!$A$2:$A$300,beans!$K$2:$K$300,"")," - ",_xlfn.XLOOKUP(D1273,beans!$A$2:$A$300,beans!$L$2:$L$300,"")),IF(_xlpm.x=" /  - ","",_xlpm.x))</f>
        <v/>
      </c>
    </row>
    <row r="1274" spans="1:35" x14ac:dyDescent="0.3">
      <c r="A1274">
        <v>1257</v>
      </c>
      <c r="E1274" t="str">
        <f>_xlfn.LET(_xlpm.x,_xlfn.XLOOKUP(D1274,beans!$A$2:$A$300,beans!$H$2:$H$300,""),IF(_xlpm.x="","",_xlpm.x))</f>
        <v/>
      </c>
      <c r="F1274" s="22" t="str">
        <f>_xlfn.XLOOKUP(E1274,menu!$A$2:$A$37,menu!$B$2:$B$37,"")</f>
        <v/>
      </c>
      <c r="G1274" t="str">
        <f>_xlfn.XLOOKUP(E1274,menu!$A$2:$A$37,menu!$C$2:$C$37,"")</f>
        <v/>
      </c>
      <c r="H1274" t="str">
        <f>_xlfn.LET(_xlpm.x,_xlfn.XLOOKUP(_xlfn.XLOOKUP(D1274,beans!$A$2:$A$300,beans!$I$2:$I$300),menu!$E$2:$E$20,menu!$F$2:$F$20),IF(_xlpm.x="","",_xlpm.x))</f>
        <v/>
      </c>
      <c r="T1274" s="68" t="str">
        <f t="shared" si="134"/>
        <v/>
      </c>
      <c r="U1274" t="str">
        <f t="shared" si="130"/>
        <v/>
      </c>
      <c r="V1274">
        <f t="shared" si="135"/>
        <v>0</v>
      </c>
      <c r="W1274" t="str">
        <f t="shared" si="131"/>
        <v/>
      </c>
      <c r="AB1274" s="28" t="str">
        <f t="shared" si="132"/>
        <v xml:space="preserve"> </v>
      </c>
      <c r="AE1274" s="61" t="str">
        <f t="shared" si="133"/>
        <v/>
      </c>
      <c r="AF1274" s="77" t="str">
        <f>_xlfn.XLOOKUP(AD1274,menu!$K$2:$K$9,menu!$J$2:$J$9,"",1)</f>
        <v/>
      </c>
      <c r="AG1274" s="80" t="str">
        <f>_xlfn.XLOOKUP(AH1274,menu!$O$2:$O$9,menu!$H$2:$H$9,"")</f>
        <v/>
      </c>
      <c r="AI1274" t="str">
        <f>_xlfn.LET(_xlpm.x,_xlfn.CONCAT(_xlfn.XLOOKUP(D1274,beans!$A$2:$A$300,beans!$J$2:$J$300,"")," / ",_xlfn.XLOOKUP(D1274,beans!$A$2:$A$300,beans!$K$2:$K$300,"")," - ",_xlfn.XLOOKUP(D1274,beans!$A$2:$A$300,beans!$L$2:$L$300,"")),IF(_xlpm.x=" /  - ","",_xlpm.x))</f>
        <v/>
      </c>
    </row>
    <row r="1275" spans="1:35" x14ac:dyDescent="0.3">
      <c r="A1275">
        <v>1258</v>
      </c>
      <c r="E1275" t="str">
        <f>_xlfn.LET(_xlpm.x,_xlfn.XLOOKUP(D1275,beans!$A$2:$A$300,beans!$H$2:$H$300,""),IF(_xlpm.x="","",_xlpm.x))</f>
        <v/>
      </c>
      <c r="F1275" s="22" t="str">
        <f>_xlfn.XLOOKUP(E1275,menu!$A$2:$A$37,menu!$B$2:$B$37,"")</f>
        <v/>
      </c>
      <c r="G1275" t="str">
        <f>_xlfn.XLOOKUP(E1275,menu!$A$2:$A$37,menu!$C$2:$C$37,"")</f>
        <v/>
      </c>
      <c r="H1275" t="str">
        <f>_xlfn.LET(_xlpm.x,_xlfn.XLOOKUP(_xlfn.XLOOKUP(D1275,beans!$A$2:$A$300,beans!$I$2:$I$300),menu!$E$2:$E$20,menu!$F$2:$F$20),IF(_xlpm.x="","",_xlpm.x))</f>
        <v/>
      </c>
      <c r="T1275" s="68" t="str">
        <f t="shared" si="134"/>
        <v/>
      </c>
      <c r="U1275" t="str">
        <f t="shared" si="130"/>
        <v/>
      </c>
      <c r="V1275">
        <f t="shared" si="135"/>
        <v>0</v>
      </c>
      <c r="W1275" t="str">
        <f t="shared" si="131"/>
        <v/>
      </c>
      <c r="AB1275" s="28" t="str">
        <f t="shared" si="132"/>
        <v xml:space="preserve"> </v>
      </c>
      <c r="AE1275" s="61" t="str">
        <f t="shared" si="133"/>
        <v/>
      </c>
      <c r="AF1275" s="77" t="str">
        <f>_xlfn.XLOOKUP(AD1275,menu!$K$2:$K$9,menu!$J$2:$J$9,"",1)</f>
        <v/>
      </c>
      <c r="AG1275" s="80" t="str">
        <f>_xlfn.XLOOKUP(AH1275,menu!$O$2:$O$9,menu!$H$2:$H$9,"")</f>
        <v/>
      </c>
      <c r="AI1275" t="str">
        <f>_xlfn.LET(_xlpm.x,_xlfn.CONCAT(_xlfn.XLOOKUP(D1275,beans!$A$2:$A$300,beans!$J$2:$J$300,"")," / ",_xlfn.XLOOKUP(D1275,beans!$A$2:$A$300,beans!$K$2:$K$300,"")," - ",_xlfn.XLOOKUP(D1275,beans!$A$2:$A$300,beans!$L$2:$L$300,"")),IF(_xlpm.x=" /  - ","",_xlpm.x))</f>
        <v/>
      </c>
    </row>
    <row r="1276" spans="1:35" x14ac:dyDescent="0.3">
      <c r="A1276">
        <v>1259</v>
      </c>
      <c r="E1276" t="str">
        <f>_xlfn.LET(_xlpm.x,_xlfn.XLOOKUP(D1276,beans!$A$2:$A$300,beans!$H$2:$H$300,""),IF(_xlpm.x="","",_xlpm.x))</f>
        <v/>
      </c>
      <c r="F1276" s="22" t="str">
        <f>_xlfn.XLOOKUP(E1276,menu!$A$2:$A$37,menu!$B$2:$B$37,"")</f>
        <v/>
      </c>
      <c r="G1276" t="str">
        <f>_xlfn.XLOOKUP(E1276,menu!$A$2:$A$37,menu!$C$2:$C$37,"")</f>
        <v/>
      </c>
      <c r="H1276" t="str">
        <f>_xlfn.LET(_xlpm.x,_xlfn.XLOOKUP(_xlfn.XLOOKUP(D1276,beans!$A$2:$A$300,beans!$I$2:$I$300),menu!$E$2:$E$20,menu!$F$2:$F$20),IF(_xlpm.x="","",_xlpm.x))</f>
        <v/>
      </c>
      <c r="T1276" s="68" t="str">
        <f t="shared" si="134"/>
        <v/>
      </c>
      <c r="U1276" t="str">
        <f t="shared" si="130"/>
        <v/>
      </c>
      <c r="V1276">
        <f t="shared" si="135"/>
        <v>0</v>
      </c>
      <c r="W1276" t="str">
        <f t="shared" si="131"/>
        <v/>
      </c>
      <c r="AB1276" s="28" t="str">
        <f t="shared" si="132"/>
        <v xml:space="preserve"> </v>
      </c>
      <c r="AE1276" s="61" t="str">
        <f t="shared" si="133"/>
        <v/>
      </c>
      <c r="AF1276" s="77" t="str">
        <f>_xlfn.XLOOKUP(AD1276,menu!$K$2:$K$9,menu!$J$2:$J$9,"",1)</f>
        <v/>
      </c>
      <c r="AG1276" s="80" t="str">
        <f>_xlfn.XLOOKUP(AH1276,menu!$O$2:$O$9,menu!$H$2:$H$9,"")</f>
        <v/>
      </c>
      <c r="AI1276" t="str">
        <f>_xlfn.LET(_xlpm.x,_xlfn.CONCAT(_xlfn.XLOOKUP(D1276,beans!$A$2:$A$300,beans!$J$2:$J$300,"")," / ",_xlfn.XLOOKUP(D1276,beans!$A$2:$A$300,beans!$K$2:$K$300,"")," - ",_xlfn.XLOOKUP(D1276,beans!$A$2:$A$300,beans!$L$2:$L$300,"")),IF(_xlpm.x=" /  - ","",_xlpm.x))</f>
        <v/>
      </c>
    </row>
    <row r="1277" spans="1:35" x14ac:dyDescent="0.3">
      <c r="A1277">
        <v>1260</v>
      </c>
      <c r="E1277" t="str">
        <f>_xlfn.LET(_xlpm.x,_xlfn.XLOOKUP(D1277,beans!$A$2:$A$300,beans!$H$2:$H$300,""),IF(_xlpm.x="","",_xlpm.x))</f>
        <v/>
      </c>
      <c r="F1277" s="22" t="str">
        <f>_xlfn.XLOOKUP(E1277,menu!$A$2:$A$37,menu!$B$2:$B$37,"")</f>
        <v/>
      </c>
      <c r="G1277" t="str">
        <f>_xlfn.XLOOKUP(E1277,menu!$A$2:$A$37,menu!$C$2:$C$37,"")</f>
        <v/>
      </c>
      <c r="H1277" t="str">
        <f>_xlfn.LET(_xlpm.x,_xlfn.XLOOKUP(_xlfn.XLOOKUP(D1277,beans!$A$2:$A$300,beans!$I$2:$I$300),menu!$E$2:$E$20,menu!$F$2:$F$20),IF(_xlpm.x="","",_xlpm.x))</f>
        <v/>
      </c>
      <c r="T1277" s="68" t="str">
        <f t="shared" si="134"/>
        <v/>
      </c>
      <c r="U1277" t="str">
        <f t="shared" si="130"/>
        <v/>
      </c>
      <c r="V1277">
        <f t="shared" si="135"/>
        <v>0</v>
      </c>
      <c r="W1277" t="str">
        <f t="shared" si="131"/>
        <v/>
      </c>
      <c r="AB1277" s="28" t="str">
        <f t="shared" si="132"/>
        <v xml:space="preserve"> </v>
      </c>
      <c r="AE1277" s="61" t="str">
        <f t="shared" si="133"/>
        <v/>
      </c>
      <c r="AF1277" s="77" t="str">
        <f>_xlfn.XLOOKUP(AD1277,menu!$K$2:$K$9,menu!$J$2:$J$9,"",1)</f>
        <v/>
      </c>
      <c r="AG1277" s="80" t="str">
        <f>_xlfn.XLOOKUP(AH1277,menu!$O$2:$O$9,menu!$H$2:$H$9,"")</f>
        <v/>
      </c>
      <c r="AI1277" t="str">
        <f>_xlfn.LET(_xlpm.x,_xlfn.CONCAT(_xlfn.XLOOKUP(D1277,beans!$A$2:$A$300,beans!$J$2:$J$300,"")," / ",_xlfn.XLOOKUP(D1277,beans!$A$2:$A$300,beans!$K$2:$K$300,"")," - ",_xlfn.XLOOKUP(D1277,beans!$A$2:$A$300,beans!$L$2:$L$300,"")),IF(_xlpm.x=" /  - ","",_xlpm.x))</f>
        <v/>
      </c>
    </row>
    <row r="1278" spans="1:35" x14ac:dyDescent="0.3">
      <c r="A1278">
        <v>1261</v>
      </c>
      <c r="E1278" t="str">
        <f>_xlfn.LET(_xlpm.x,_xlfn.XLOOKUP(D1278,beans!$A$2:$A$300,beans!$H$2:$H$300,""),IF(_xlpm.x="","",_xlpm.x))</f>
        <v/>
      </c>
      <c r="F1278" s="22" t="str">
        <f>_xlfn.XLOOKUP(E1278,menu!$A$2:$A$37,menu!$B$2:$B$37,"")</f>
        <v/>
      </c>
      <c r="G1278" t="str">
        <f>_xlfn.XLOOKUP(E1278,menu!$A$2:$A$37,menu!$C$2:$C$37,"")</f>
        <v/>
      </c>
      <c r="H1278" t="str">
        <f>_xlfn.LET(_xlpm.x,_xlfn.XLOOKUP(_xlfn.XLOOKUP(D1278,beans!$A$2:$A$300,beans!$I$2:$I$300),menu!$E$2:$E$20,menu!$F$2:$F$20),IF(_xlpm.x="","",_xlpm.x))</f>
        <v/>
      </c>
      <c r="T1278" s="68" t="str">
        <f t="shared" si="134"/>
        <v/>
      </c>
      <c r="U1278" t="str">
        <f t="shared" si="130"/>
        <v/>
      </c>
      <c r="V1278">
        <f t="shared" si="135"/>
        <v>0</v>
      </c>
      <c r="W1278" t="str">
        <f t="shared" si="131"/>
        <v/>
      </c>
      <c r="AB1278" s="28" t="str">
        <f t="shared" si="132"/>
        <v xml:space="preserve"> </v>
      </c>
      <c r="AE1278" s="61" t="str">
        <f t="shared" si="133"/>
        <v/>
      </c>
      <c r="AF1278" s="77" t="str">
        <f>_xlfn.XLOOKUP(AD1278,menu!$K$2:$K$9,menu!$J$2:$J$9,"",1)</f>
        <v/>
      </c>
      <c r="AG1278" s="80" t="str">
        <f>_xlfn.XLOOKUP(AH1278,menu!$O$2:$O$9,menu!$H$2:$H$9,"")</f>
        <v/>
      </c>
      <c r="AI1278" t="str">
        <f>_xlfn.LET(_xlpm.x,_xlfn.CONCAT(_xlfn.XLOOKUP(D1278,beans!$A$2:$A$300,beans!$J$2:$J$300,"")," / ",_xlfn.XLOOKUP(D1278,beans!$A$2:$A$300,beans!$K$2:$K$300,"")," - ",_xlfn.XLOOKUP(D1278,beans!$A$2:$A$300,beans!$L$2:$L$300,"")),IF(_xlpm.x=" /  - ","",_xlpm.x))</f>
        <v/>
      </c>
    </row>
    <row r="1279" spans="1:35" x14ac:dyDescent="0.3">
      <c r="A1279">
        <v>1262</v>
      </c>
      <c r="E1279" t="str">
        <f>_xlfn.LET(_xlpm.x,_xlfn.XLOOKUP(D1279,beans!$A$2:$A$300,beans!$H$2:$H$300,""),IF(_xlpm.x="","",_xlpm.x))</f>
        <v/>
      </c>
      <c r="F1279" s="22" t="str">
        <f>_xlfn.XLOOKUP(E1279,menu!$A$2:$A$37,menu!$B$2:$B$37,"")</f>
        <v/>
      </c>
      <c r="G1279" t="str">
        <f>_xlfn.XLOOKUP(E1279,menu!$A$2:$A$37,menu!$C$2:$C$37,"")</f>
        <v/>
      </c>
      <c r="H1279" t="str">
        <f>_xlfn.LET(_xlpm.x,_xlfn.XLOOKUP(_xlfn.XLOOKUP(D1279,beans!$A$2:$A$300,beans!$I$2:$I$300),menu!$E$2:$E$20,menu!$F$2:$F$20),IF(_xlpm.x="","",_xlpm.x))</f>
        <v/>
      </c>
      <c r="T1279" s="68" t="str">
        <f t="shared" si="134"/>
        <v/>
      </c>
      <c r="U1279" t="str">
        <f t="shared" si="130"/>
        <v/>
      </c>
      <c r="V1279">
        <f t="shared" si="135"/>
        <v>0</v>
      </c>
      <c r="W1279" t="str">
        <f t="shared" si="131"/>
        <v/>
      </c>
      <c r="AB1279" s="28" t="str">
        <f t="shared" si="132"/>
        <v xml:space="preserve"> </v>
      </c>
      <c r="AE1279" s="61" t="str">
        <f t="shared" si="133"/>
        <v/>
      </c>
      <c r="AF1279" s="77" t="str">
        <f>_xlfn.XLOOKUP(AD1279,menu!$K$2:$K$9,menu!$J$2:$J$9,"",1)</f>
        <v/>
      </c>
      <c r="AG1279" s="80" t="str">
        <f>_xlfn.XLOOKUP(AH1279,menu!$O$2:$O$9,menu!$H$2:$H$9,"")</f>
        <v/>
      </c>
      <c r="AI1279" t="str">
        <f>_xlfn.LET(_xlpm.x,_xlfn.CONCAT(_xlfn.XLOOKUP(D1279,beans!$A$2:$A$300,beans!$J$2:$J$300,"")," / ",_xlfn.XLOOKUP(D1279,beans!$A$2:$A$300,beans!$K$2:$K$300,"")," - ",_xlfn.XLOOKUP(D1279,beans!$A$2:$A$300,beans!$L$2:$L$300,"")),IF(_xlpm.x=" /  - ","",_xlpm.x))</f>
        <v/>
      </c>
    </row>
    <row r="1280" spans="1:35" x14ac:dyDescent="0.3">
      <c r="A1280">
        <v>1263</v>
      </c>
      <c r="E1280" t="str">
        <f>_xlfn.LET(_xlpm.x,_xlfn.XLOOKUP(D1280,beans!$A$2:$A$300,beans!$H$2:$H$300,""),IF(_xlpm.x="","",_xlpm.x))</f>
        <v/>
      </c>
      <c r="F1280" s="22" t="str">
        <f>_xlfn.XLOOKUP(E1280,menu!$A$2:$A$37,menu!$B$2:$B$37,"")</f>
        <v/>
      </c>
      <c r="G1280" t="str">
        <f>_xlfn.XLOOKUP(E1280,menu!$A$2:$A$37,menu!$C$2:$C$37,"")</f>
        <v/>
      </c>
      <c r="H1280" t="str">
        <f>_xlfn.LET(_xlpm.x,_xlfn.XLOOKUP(_xlfn.XLOOKUP(D1280,beans!$A$2:$A$300,beans!$I$2:$I$300),menu!$E$2:$E$20,menu!$F$2:$F$20),IF(_xlpm.x="","",_xlpm.x))</f>
        <v/>
      </c>
      <c r="T1280" s="68" t="str">
        <f t="shared" si="134"/>
        <v/>
      </c>
      <c r="U1280" t="str">
        <f t="shared" si="130"/>
        <v/>
      </c>
      <c r="V1280">
        <f t="shared" si="135"/>
        <v>0</v>
      </c>
      <c r="W1280" t="str">
        <f t="shared" si="131"/>
        <v/>
      </c>
      <c r="AB1280" s="28" t="str">
        <f t="shared" si="132"/>
        <v xml:space="preserve"> </v>
      </c>
      <c r="AE1280" s="61" t="str">
        <f t="shared" si="133"/>
        <v/>
      </c>
      <c r="AF1280" s="77" t="str">
        <f>_xlfn.XLOOKUP(AD1280,menu!$K$2:$K$9,menu!$J$2:$J$9,"",1)</f>
        <v/>
      </c>
      <c r="AG1280" s="80" t="str">
        <f>_xlfn.XLOOKUP(AH1280,menu!$O$2:$O$9,menu!$H$2:$H$9,"")</f>
        <v/>
      </c>
      <c r="AI1280" t="str">
        <f>_xlfn.LET(_xlpm.x,_xlfn.CONCAT(_xlfn.XLOOKUP(D1280,beans!$A$2:$A$300,beans!$J$2:$J$300,"")," / ",_xlfn.XLOOKUP(D1280,beans!$A$2:$A$300,beans!$K$2:$K$300,"")," - ",_xlfn.XLOOKUP(D1280,beans!$A$2:$A$300,beans!$L$2:$L$300,"")),IF(_xlpm.x=" /  - ","",_xlpm.x))</f>
        <v/>
      </c>
    </row>
    <row r="1281" spans="1:35" x14ac:dyDescent="0.3">
      <c r="A1281">
        <v>1264</v>
      </c>
      <c r="E1281" t="str">
        <f>_xlfn.LET(_xlpm.x,_xlfn.XLOOKUP(D1281,beans!$A$2:$A$300,beans!$H$2:$H$300,""),IF(_xlpm.x="","",_xlpm.x))</f>
        <v/>
      </c>
      <c r="F1281" s="22" t="str">
        <f>_xlfn.XLOOKUP(E1281,menu!$A$2:$A$37,menu!$B$2:$B$37,"")</f>
        <v/>
      </c>
      <c r="G1281" t="str">
        <f>_xlfn.XLOOKUP(E1281,menu!$A$2:$A$37,menu!$C$2:$C$37,"")</f>
        <v/>
      </c>
      <c r="H1281" t="str">
        <f>_xlfn.LET(_xlpm.x,_xlfn.XLOOKUP(_xlfn.XLOOKUP(D1281,beans!$A$2:$A$300,beans!$I$2:$I$300),menu!$E$2:$E$20,menu!$F$2:$F$20),IF(_xlpm.x="","",_xlpm.x))</f>
        <v/>
      </c>
      <c r="T1281" s="68" t="str">
        <f t="shared" si="134"/>
        <v/>
      </c>
      <c r="U1281" t="str">
        <f t="shared" si="130"/>
        <v/>
      </c>
      <c r="V1281">
        <f t="shared" si="135"/>
        <v>0</v>
      </c>
      <c r="W1281" t="str">
        <f t="shared" si="131"/>
        <v/>
      </c>
      <c r="AB1281" s="28" t="str">
        <f t="shared" si="132"/>
        <v xml:space="preserve"> </v>
      </c>
      <c r="AE1281" s="61" t="str">
        <f t="shared" si="133"/>
        <v/>
      </c>
      <c r="AF1281" s="77" t="str">
        <f>_xlfn.XLOOKUP(AD1281,menu!$K$2:$K$9,menu!$J$2:$J$9,"",1)</f>
        <v/>
      </c>
      <c r="AG1281" s="80" t="str">
        <f>_xlfn.XLOOKUP(AH1281,menu!$O$2:$O$9,menu!$H$2:$H$9,"")</f>
        <v/>
      </c>
      <c r="AI1281" t="str">
        <f>_xlfn.LET(_xlpm.x,_xlfn.CONCAT(_xlfn.XLOOKUP(D1281,beans!$A$2:$A$300,beans!$J$2:$J$300,"")," / ",_xlfn.XLOOKUP(D1281,beans!$A$2:$A$300,beans!$K$2:$K$300,"")," - ",_xlfn.XLOOKUP(D1281,beans!$A$2:$A$300,beans!$L$2:$L$300,"")),IF(_xlpm.x=" /  - ","",_xlpm.x))</f>
        <v/>
      </c>
    </row>
    <row r="1282" spans="1:35" x14ac:dyDescent="0.3">
      <c r="A1282">
        <v>1265</v>
      </c>
      <c r="E1282" t="str">
        <f>_xlfn.LET(_xlpm.x,_xlfn.XLOOKUP(D1282,beans!$A$2:$A$300,beans!$H$2:$H$300,""),IF(_xlpm.x="","",_xlpm.x))</f>
        <v/>
      </c>
      <c r="F1282" s="22" t="str">
        <f>_xlfn.XLOOKUP(E1282,menu!$A$2:$A$37,menu!$B$2:$B$37,"")</f>
        <v/>
      </c>
      <c r="G1282" t="str">
        <f>_xlfn.XLOOKUP(E1282,menu!$A$2:$A$37,menu!$C$2:$C$37,"")</f>
        <v/>
      </c>
      <c r="H1282" t="str">
        <f>_xlfn.LET(_xlpm.x,_xlfn.XLOOKUP(_xlfn.XLOOKUP(D1282,beans!$A$2:$A$300,beans!$I$2:$I$300),menu!$E$2:$E$20,menu!$F$2:$F$20),IF(_xlpm.x="","",_xlpm.x))</f>
        <v/>
      </c>
      <c r="T1282" s="68" t="str">
        <f t="shared" si="134"/>
        <v/>
      </c>
      <c r="U1282" t="str">
        <f t="shared" ref="U1282:U1345" si="136">_xlfn.LET(_xlpm.x,(TIMEVALUE("0:"&amp;SUBSTITUTE(R1282,"'",":"))-TIMEVALUE("0:"&amp;SUBSTITUTE(P1282,"'",":")))*86400,IF(_xlpm.x=0,"",ROUND(_xlpm.x,2)))</f>
        <v/>
      </c>
      <c r="V1282">
        <f t="shared" si="135"/>
        <v>0</v>
      </c>
      <c r="W1282" t="str">
        <f t="shared" ref="W1282:W1345" si="137">_xlfn.LET(_xlpm.x,(TIMEVALUE("0:"&amp;SUBSTITUTE(R1282,"'",":"))-TIMEVALUE("0:"&amp;SUBSTITUTE(P1282,"'",":")))*86400,IF(_xlpm.x=0,"",ROUND(_xlpm.x/((TIMEVALUE("0:"&amp;SUBSTITUTE(R1282,"'",":"))-TIMEVALUE("0:0:0"))*864),2)))</f>
        <v/>
      </c>
      <c r="AB1282" s="28" t="str">
        <f t="shared" ref="AB1282:AB1345" si="138">IF(Y1282 &gt; 0,(B1282-Y1282)/B1282," ")</f>
        <v xml:space="preserve"> </v>
      </c>
      <c r="AE1282" s="61" t="str">
        <f t="shared" ref="AE1282:AE1345" si="139">_xlfn.LET(_xlpm.x,AD1282-AC1282,IF(_xlpm.x=0,"",_xlpm.x))</f>
        <v/>
      </c>
      <c r="AF1282" s="77" t="str">
        <f>_xlfn.XLOOKUP(AD1282,menu!$K$2:$K$9,menu!$J$2:$J$9,"",1)</f>
        <v/>
      </c>
      <c r="AG1282" s="80" t="str">
        <f>_xlfn.XLOOKUP(AH1282,menu!$O$2:$O$9,menu!$H$2:$H$9,"")</f>
        <v/>
      </c>
      <c r="AI1282" t="str">
        <f>_xlfn.LET(_xlpm.x,_xlfn.CONCAT(_xlfn.XLOOKUP(D1282,beans!$A$2:$A$300,beans!$J$2:$J$300,"")," / ",_xlfn.XLOOKUP(D1282,beans!$A$2:$A$300,beans!$K$2:$K$300,"")," - ",_xlfn.XLOOKUP(D1282,beans!$A$2:$A$300,beans!$L$2:$L$300,"")),IF(_xlpm.x=" /  - ","",_xlpm.x))</f>
        <v/>
      </c>
    </row>
    <row r="1283" spans="1:35" x14ac:dyDescent="0.3">
      <c r="A1283">
        <v>1266</v>
      </c>
      <c r="E1283" t="str">
        <f>_xlfn.LET(_xlpm.x,_xlfn.XLOOKUP(D1283,beans!$A$2:$A$300,beans!$H$2:$H$300,""),IF(_xlpm.x="","",_xlpm.x))</f>
        <v/>
      </c>
      <c r="F1283" s="22" t="str">
        <f>_xlfn.XLOOKUP(E1283,menu!$A$2:$A$37,menu!$B$2:$B$37,"")</f>
        <v/>
      </c>
      <c r="G1283" t="str">
        <f>_xlfn.XLOOKUP(E1283,menu!$A$2:$A$37,menu!$C$2:$C$37,"")</f>
        <v/>
      </c>
      <c r="H1283" t="str">
        <f>_xlfn.LET(_xlpm.x,_xlfn.XLOOKUP(_xlfn.XLOOKUP(D1283,beans!$A$2:$A$300,beans!$I$2:$I$300),menu!$E$2:$E$20,menu!$F$2:$F$20),IF(_xlpm.x="","",_xlpm.x))</f>
        <v/>
      </c>
      <c r="T1283" s="68" t="str">
        <f t="shared" ref="T1283:T1346" si="140">_xlfn.LET(_xlpm.x,S1283-Q1283,IF(_xlpm.x=0,"",_xlpm.x))</f>
        <v/>
      </c>
      <c r="U1283" t="str">
        <f t="shared" si="136"/>
        <v/>
      </c>
      <c r="V1283">
        <f t="shared" ref="V1283:V1346" si="141">IFERROR(ROUND(T1283*60/U1283,1), )</f>
        <v>0</v>
      </c>
      <c r="W1283" t="str">
        <f t="shared" si="137"/>
        <v/>
      </c>
      <c r="AB1283" s="28" t="str">
        <f t="shared" si="138"/>
        <v xml:space="preserve"> </v>
      </c>
      <c r="AE1283" s="61" t="str">
        <f t="shared" si="139"/>
        <v/>
      </c>
      <c r="AF1283" s="77" t="str">
        <f>_xlfn.XLOOKUP(AD1283,menu!$K$2:$K$9,menu!$J$2:$J$9,"",1)</f>
        <v/>
      </c>
      <c r="AG1283" s="80" t="str">
        <f>_xlfn.XLOOKUP(AH1283,menu!$O$2:$O$9,menu!$H$2:$H$9,"")</f>
        <v/>
      </c>
      <c r="AI1283" t="str">
        <f>_xlfn.LET(_xlpm.x,_xlfn.CONCAT(_xlfn.XLOOKUP(D1283,beans!$A$2:$A$300,beans!$J$2:$J$300,"")," / ",_xlfn.XLOOKUP(D1283,beans!$A$2:$A$300,beans!$K$2:$K$300,"")," - ",_xlfn.XLOOKUP(D1283,beans!$A$2:$A$300,beans!$L$2:$L$300,"")),IF(_xlpm.x=" /  - ","",_xlpm.x))</f>
        <v/>
      </c>
    </row>
    <row r="1284" spans="1:35" x14ac:dyDescent="0.3">
      <c r="A1284">
        <v>1267</v>
      </c>
      <c r="E1284" t="str">
        <f>_xlfn.LET(_xlpm.x,_xlfn.XLOOKUP(D1284,beans!$A$2:$A$300,beans!$H$2:$H$300,""),IF(_xlpm.x="","",_xlpm.x))</f>
        <v/>
      </c>
      <c r="F1284" s="22" t="str">
        <f>_xlfn.XLOOKUP(E1284,menu!$A$2:$A$37,menu!$B$2:$B$37,"")</f>
        <v/>
      </c>
      <c r="G1284" t="str">
        <f>_xlfn.XLOOKUP(E1284,menu!$A$2:$A$37,menu!$C$2:$C$37,"")</f>
        <v/>
      </c>
      <c r="H1284" t="str">
        <f>_xlfn.LET(_xlpm.x,_xlfn.XLOOKUP(_xlfn.XLOOKUP(D1284,beans!$A$2:$A$300,beans!$I$2:$I$300),menu!$E$2:$E$20,menu!$F$2:$F$20),IF(_xlpm.x="","",_xlpm.x))</f>
        <v/>
      </c>
      <c r="T1284" s="68" t="str">
        <f t="shared" si="140"/>
        <v/>
      </c>
      <c r="U1284" t="str">
        <f t="shared" si="136"/>
        <v/>
      </c>
      <c r="V1284">
        <f t="shared" si="141"/>
        <v>0</v>
      </c>
      <c r="W1284" t="str">
        <f t="shared" si="137"/>
        <v/>
      </c>
      <c r="AB1284" s="28" t="str">
        <f t="shared" si="138"/>
        <v xml:space="preserve"> </v>
      </c>
      <c r="AE1284" s="61" t="str">
        <f t="shared" si="139"/>
        <v/>
      </c>
      <c r="AF1284" s="77" t="str">
        <f>_xlfn.XLOOKUP(AD1284,menu!$K$2:$K$9,menu!$J$2:$J$9,"",1)</f>
        <v/>
      </c>
      <c r="AG1284" s="80" t="str">
        <f>_xlfn.XLOOKUP(AH1284,menu!$O$2:$O$9,menu!$H$2:$H$9,"")</f>
        <v/>
      </c>
      <c r="AI1284" t="str">
        <f>_xlfn.LET(_xlpm.x,_xlfn.CONCAT(_xlfn.XLOOKUP(D1284,beans!$A$2:$A$300,beans!$J$2:$J$300,"")," / ",_xlfn.XLOOKUP(D1284,beans!$A$2:$A$300,beans!$K$2:$K$300,"")," - ",_xlfn.XLOOKUP(D1284,beans!$A$2:$A$300,beans!$L$2:$L$300,"")),IF(_xlpm.x=" /  - ","",_xlpm.x))</f>
        <v/>
      </c>
    </row>
    <row r="1285" spans="1:35" x14ac:dyDescent="0.3">
      <c r="A1285">
        <v>1268</v>
      </c>
      <c r="E1285" t="str">
        <f>_xlfn.LET(_xlpm.x,_xlfn.XLOOKUP(D1285,beans!$A$2:$A$300,beans!$H$2:$H$300,""),IF(_xlpm.x="","",_xlpm.x))</f>
        <v/>
      </c>
      <c r="F1285" s="22" t="str">
        <f>_xlfn.XLOOKUP(E1285,menu!$A$2:$A$37,menu!$B$2:$B$37,"")</f>
        <v/>
      </c>
      <c r="G1285" t="str">
        <f>_xlfn.XLOOKUP(E1285,menu!$A$2:$A$37,menu!$C$2:$C$37,"")</f>
        <v/>
      </c>
      <c r="H1285" t="str">
        <f>_xlfn.LET(_xlpm.x,_xlfn.XLOOKUP(_xlfn.XLOOKUP(D1285,beans!$A$2:$A$300,beans!$I$2:$I$300),menu!$E$2:$E$20,menu!$F$2:$F$20),IF(_xlpm.x="","",_xlpm.x))</f>
        <v/>
      </c>
      <c r="T1285" s="68" t="str">
        <f t="shared" si="140"/>
        <v/>
      </c>
      <c r="U1285" t="str">
        <f t="shared" si="136"/>
        <v/>
      </c>
      <c r="V1285">
        <f t="shared" si="141"/>
        <v>0</v>
      </c>
      <c r="W1285" t="str">
        <f t="shared" si="137"/>
        <v/>
      </c>
      <c r="AB1285" s="28" t="str">
        <f t="shared" si="138"/>
        <v xml:space="preserve"> </v>
      </c>
      <c r="AE1285" s="61" t="str">
        <f t="shared" si="139"/>
        <v/>
      </c>
      <c r="AF1285" s="77" t="str">
        <f>_xlfn.XLOOKUP(AD1285,menu!$K$2:$K$9,menu!$J$2:$J$9,"",1)</f>
        <v/>
      </c>
      <c r="AG1285" s="80" t="str">
        <f>_xlfn.XLOOKUP(AH1285,menu!$O$2:$O$9,menu!$H$2:$H$9,"")</f>
        <v/>
      </c>
      <c r="AI1285" t="str">
        <f>_xlfn.LET(_xlpm.x,_xlfn.CONCAT(_xlfn.XLOOKUP(D1285,beans!$A$2:$A$300,beans!$J$2:$J$300,"")," / ",_xlfn.XLOOKUP(D1285,beans!$A$2:$A$300,beans!$K$2:$K$300,"")," - ",_xlfn.XLOOKUP(D1285,beans!$A$2:$A$300,beans!$L$2:$L$300,"")),IF(_xlpm.x=" /  - ","",_xlpm.x))</f>
        <v/>
      </c>
    </row>
    <row r="1286" spans="1:35" x14ac:dyDescent="0.3">
      <c r="A1286">
        <v>1269</v>
      </c>
      <c r="E1286" t="str">
        <f>_xlfn.LET(_xlpm.x,_xlfn.XLOOKUP(D1286,beans!$A$2:$A$300,beans!$H$2:$H$300,""),IF(_xlpm.x="","",_xlpm.x))</f>
        <v/>
      </c>
      <c r="F1286" s="22" t="str">
        <f>_xlfn.XLOOKUP(E1286,menu!$A$2:$A$37,menu!$B$2:$B$37,"")</f>
        <v/>
      </c>
      <c r="G1286" t="str">
        <f>_xlfn.XLOOKUP(E1286,menu!$A$2:$A$37,menu!$C$2:$C$37,"")</f>
        <v/>
      </c>
      <c r="H1286" t="str">
        <f>_xlfn.LET(_xlpm.x,_xlfn.XLOOKUP(_xlfn.XLOOKUP(D1286,beans!$A$2:$A$300,beans!$I$2:$I$300),menu!$E$2:$E$20,menu!$F$2:$F$20),IF(_xlpm.x="","",_xlpm.x))</f>
        <v/>
      </c>
      <c r="T1286" s="68" t="str">
        <f t="shared" si="140"/>
        <v/>
      </c>
      <c r="U1286" t="str">
        <f t="shared" si="136"/>
        <v/>
      </c>
      <c r="V1286">
        <f t="shared" si="141"/>
        <v>0</v>
      </c>
      <c r="W1286" t="str">
        <f t="shared" si="137"/>
        <v/>
      </c>
      <c r="AB1286" s="28" t="str">
        <f t="shared" si="138"/>
        <v xml:space="preserve"> </v>
      </c>
      <c r="AE1286" s="61" t="str">
        <f t="shared" si="139"/>
        <v/>
      </c>
      <c r="AF1286" s="77" t="str">
        <f>_xlfn.XLOOKUP(AD1286,menu!$K$2:$K$9,menu!$J$2:$J$9,"",1)</f>
        <v/>
      </c>
      <c r="AG1286" s="80" t="str">
        <f>_xlfn.XLOOKUP(AH1286,menu!$O$2:$O$9,menu!$H$2:$H$9,"")</f>
        <v/>
      </c>
      <c r="AI1286" t="str">
        <f>_xlfn.LET(_xlpm.x,_xlfn.CONCAT(_xlfn.XLOOKUP(D1286,beans!$A$2:$A$300,beans!$J$2:$J$300,"")," / ",_xlfn.XLOOKUP(D1286,beans!$A$2:$A$300,beans!$K$2:$K$300,"")," - ",_xlfn.XLOOKUP(D1286,beans!$A$2:$A$300,beans!$L$2:$L$300,"")),IF(_xlpm.x=" /  - ","",_xlpm.x))</f>
        <v/>
      </c>
    </row>
    <row r="1287" spans="1:35" x14ac:dyDescent="0.3">
      <c r="A1287">
        <v>1270</v>
      </c>
      <c r="E1287" t="str">
        <f>_xlfn.LET(_xlpm.x,_xlfn.XLOOKUP(D1287,beans!$A$2:$A$300,beans!$H$2:$H$300,""),IF(_xlpm.x="","",_xlpm.x))</f>
        <v/>
      </c>
      <c r="F1287" s="22" t="str">
        <f>_xlfn.XLOOKUP(E1287,menu!$A$2:$A$37,menu!$B$2:$B$37,"")</f>
        <v/>
      </c>
      <c r="G1287" t="str">
        <f>_xlfn.XLOOKUP(E1287,menu!$A$2:$A$37,menu!$C$2:$C$37,"")</f>
        <v/>
      </c>
      <c r="H1287" t="str">
        <f>_xlfn.LET(_xlpm.x,_xlfn.XLOOKUP(_xlfn.XLOOKUP(D1287,beans!$A$2:$A$300,beans!$I$2:$I$300),menu!$E$2:$E$20,menu!$F$2:$F$20),IF(_xlpm.x="","",_xlpm.x))</f>
        <v/>
      </c>
      <c r="T1287" s="68" t="str">
        <f t="shared" si="140"/>
        <v/>
      </c>
      <c r="U1287" t="str">
        <f t="shared" si="136"/>
        <v/>
      </c>
      <c r="V1287">
        <f t="shared" si="141"/>
        <v>0</v>
      </c>
      <c r="W1287" t="str">
        <f t="shared" si="137"/>
        <v/>
      </c>
      <c r="AB1287" s="28" t="str">
        <f t="shared" si="138"/>
        <v xml:space="preserve"> </v>
      </c>
      <c r="AE1287" s="61" t="str">
        <f t="shared" si="139"/>
        <v/>
      </c>
      <c r="AF1287" s="77" t="str">
        <f>_xlfn.XLOOKUP(AD1287,menu!$K$2:$K$9,menu!$J$2:$J$9,"",1)</f>
        <v/>
      </c>
      <c r="AG1287" s="80" t="str">
        <f>_xlfn.XLOOKUP(AH1287,menu!$O$2:$O$9,menu!$H$2:$H$9,"")</f>
        <v/>
      </c>
      <c r="AI1287" t="str">
        <f>_xlfn.LET(_xlpm.x,_xlfn.CONCAT(_xlfn.XLOOKUP(D1287,beans!$A$2:$A$300,beans!$J$2:$J$300,"")," / ",_xlfn.XLOOKUP(D1287,beans!$A$2:$A$300,beans!$K$2:$K$300,"")," - ",_xlfn.XLOOKUP(D1287,beans!$A$2:$A$300,beans!$L$2:$L$300,"")),IF(_xlpm.x=" /  - ","",_xlpm.x))</f>
        <v/>
      </c>
    </row>
    <row r="1288" spans="1:35" x14ac:dyDescent="0.3">
      <c r="A1288">
        <v>1271</v>
      </c>
      <c r="E1288" t="str">
        <f>_xlfn.LET(_xlpm.x,_xlfn.XLOOKUP(D1288,beans!$A$2:$A$300,beans!$H$2:$H$300,""),IF(_xlpm.x="","",_xlpm.x))</f>
        <v/>
      </c>
      <c r="F1288" s="22" t="str">
        <f>_xlfn.XLOOKUP(E1288,menu!$A$2:$A$37,menu!$B$2:$B$37,"")</f>
        <v/>
      </c>
      <c r="G1288" t="str">
        <f>_xlfn.XLOOKUP(E1288,menu!$A$2:$A$37,menu!$C$2:$C$37,"")</f>
        <v/>
      </c>
      <c r="H1288" t="str">
        <f>_xlfn.LET(_xlpm.x,_xlfn.XLOOKUP(_xlfn.XLOOKUP(D1288,beans!$A$2:$A$300,beans!$I$2:$I$300),menu!$E$2:$E$20,menu!$F$2:$F$20),IF(_xlpm.x="","",_xlpm.x))</f>
        <v/>
      </c>
      <c r="T1288" s="68" t="str">
        <f t="shared" si="140"/>
        <v/>
      </c>
      <c r="U1288" t="str">
        <f t="shared" si="136"/>
        <v/>
      </c>
      <c r="V1288">
        <f t="shared" si="141"/>
        <v>0</v>
      </c>
      <c r="W1288" t="str">
        <f t="shared" si="137"/>
        <v/>
      </c>
      <c r="AB1288" s="28" t="str">
        <f t="shared" si="138"/>
        <v xml:space="preserve"> </v>
      </c>
      <c r="AE1288" s="61" t="str">
        <f t="shared" si="139"/>
        <v/>
      </c>
      <c r="AF1288" s="77" t="str">
        <f>_xlfn.XLOOKUP(AD1288,menu!$K$2:$K$9,menu!$J$2:$J$9,"",1)</f>
        <v/>
      </c>
      <c r="AG1288" s="80" t="str">
        <f>_xlfn.XLOOKUP(AH1288,menu!$O$2:$O$9,menu!$H$2:$H$9,"")</f>
        <v/>
      </c>
      <c r="AI1288" t="str">
        <f>_xlfn.LET(_xlpm.x,_xlfn.CONCAT(_xlfn.XLOOKUP(D1288,beans!$A$2:$A$300,beans!$J$2:$J$300,"")," / ",_xlfn.XLOOKUP(D1288,beans!$A$2:$A$300,beans!$K$2:$K$300,"")," - ",_xlfn.XLOOKUP(D1288,beans!$A$2:$A$300,beans!$L$2:$L$300,"")),IF(_xlpm.x=" /  - ","",_xlpm.x))</f>
        <v/>
      </c>
    </row>
    <row r="1289" spans="1:35" x14ac:dyDescent="0.3">
      <c r="A1289">
        <v>1272</v>
      </c>
      <c r="E1289" t="str">
        <f>_xlfn.LET(_xlpm.x,_xlfn.XLOOKUP(D1289,beans!$A$2:$A$300,beans!$H$2:$H$300,""),IF(_xlpm.x="","",_xlpm.x))</f>
        <v/>
      </c>
      <c r="F1289" s="22" t="str">
        <f>_xlfn.XLOOKUP(E1289,menu!$A$2:$A$37,menu!$B$2:$B$37,"")</f>
        <v/>
      </c>
      <c r="G1289" t="str">
        <f>_xlfn.XLOOKUP(E1289,menu!$A$2:$A$37,menu!$C$2:$C$37,"")</f>
        <v/>
      </c>
      <c r="H1289" t="str">
        <f>_xlfn.LET(_xlpm.x,_xlfn.XLOOKUP(_xlfn.XLOOKUP(D1289,beans!$A$2:$A$300,beans!$I$2:$I$300),menu!$E$2:$E$20,menu!$F$2:$F$20),IF(_xlpm.x="","",_xlpm.x))</f>
        <v/>
      </c>
      <c r="T1289" s="68" t="str">
        <f t="shared" si="140"/>
        <v/>
      </c>
      <c r="U1289" t="str">
        <f t="shared" si="136"/>
        <v/>
      </c>
      <c r="V1289">
        <f t="shared" si="141"/>
        <v>0</v>
      </c>
      <c r="W1289" t="str">
        <f t="shared" si="137"/>
        <v/>
      </c>
      <c r="AB1289" s="28" t="str">
        <f t="shared" si="138"/>
        <v xml:space="preserve"> </v>
      </c>
      <c r="AE1289" s="61" t="str">
        <f t="shared" si="139"/>
        <v/>
      </c>
      <c r="AF1289" s="77" t="str">
        <f>_xlfn.XLOOKUP(AD1289,menu!$K$2:$K$9,menu!$J$2:$J$9,"",1)</f>
        <v/>
      </c>
      <c r="AG1289" s="80" t="str">
        <f>_xlfn.XLOOKUP(AH1289,menu!$O$2:$O$9,menu!$H$2:$H$9,"")</f>
        <v/>
      </c>
      <c r="AI1289" t="str">
        <f>_xlfn.LET(_xlpm.x,_xlfn.CONCAT(_xlfn.XLOOKUP(D1289,beans!$A$2:$A$300,beans!$J$2:$J$300,"")," / ",_xlfn.XLOOKUP(D1289,beans!$A$2:$A$300,beans!$K$2:$K$300,"")," - ",_xlfn.XLOOKUP(D1289,beans!$A$2:$A$300,beans!$L$2:$L$300,"")),IF(_xlpm.x=" /  - ","",_xlpm.x))</f>
        <v/>
      </c>
    </row>
    <row r="1290" spans="1:35" x14ac:dyDescent="0.3">
      <c r="A1290">
        <v>1273</v>
      </c>
      <c r="E1290" t="str">
        <f>_xlfn.LET(_xlpm.x,_xlfn.XLOOKUP(D1290,beans!$A$2:$A$300,beans!$H$2:$H$300,""),IF(_xlpm.x="","",_xlpm.x))</f>
        <v/>
      </c>
      <c r="F1290" s="22" t="str">
        <f>_xlfn.XLOOKUP(E1290,menu!$A$2:$A$37,menu!$B$2:$B$37,"")</f>
        <v/>
      </c>
      <c r="G1290" t="str">
        <f>_xlfn.XLOOKUP(E1290,menu!$A$2:$A$37,menu!$C$2:$C$37,"")</f>
        <v/>
      </c>
      <c r="H1290" t="str">
        <f>_xlfn.LET(_xlpm.x,_xlfn.XLOOKUP(_xlfn.XLOOKUP(D1290,beans!$A$2:$A$300,beans!$I$2:$I$300),menu!$E$2:$E$20,menu!$F$2:$F$20),IF(_xlpm.x="","",_xlpm.x))</f>
        <v/>
      </c>
      <c r="T1290" s="68" t="str">
        <f t="shared" si="140"/>
        <v/>
      </c>
      <c r="U1290" t="str">
        <f t="shared" si="136"/>
        <v/>
      </c>
      <c r="V1290">
        <f t="shared" si="141"/>
        <v>0</v>
      </c>
      <c r="W1290" t="str">
        <f t="shared" si="137"/>
        <v/>
      </c>
      <c r="AB1290" s="28" t="str">
        <f t="shared" si="138"/>
        <v xml:space="preserve"> </v>
      </c>
      <c r="AE1290" s="61" t="str">
        <f t="shared" si="139"/>
        <v/>
      </c>
      <c r="AF1290" s="77" t="str">
        <f>_xlfn.XLOOKUP(AD1290,menu!$K$2:$K$9,menu!$J$2:$J$9,"",1)</f>
        <v/>
      </c>
      <c r="AG1290" s="80" t="str">
        <f>_xlfn.XLOOKUP(AH1290,menu!$O$2:$O$9,menu!$H$2:$H$9,"")</f>
        <v/>
      </c>
      <c r="AI1290" t="str">
        <f>_xlfn.LET(_xlpm.x,_xlfn.CONCAT(_xlfn.XLOOKUP(D1290,beans!$A$2:$A$300,beans!$J$2:$J$300,"")," / ",_xlfn.XLOOKUP(D1290,beans!$A$2:$A$300,beans!$K$2:$K$300,"")," - ",_xlfn.XLOOKUP(D1290,beans!$A$2:$A$300,beans!$L$2:$L$300,"")),IF(_xlpm.x=" /  - ","",_xlpm.x))</f>
        <v/>
      </c>
    </row>
    <row r="1291" spans="1:35" x14ac:dyDescent="0.3">
      <c r="A1291">
        <v>1274</v>
      </c>
      <c r="E1291" t="str">
        <f>_xlfn.LET(_xlpm.x,_xlfn.XLOOKUP(D1291,beans!$A$2:$A$300,beans!$H$2:$H$300,""),IF(_xlpm.x="","",_xlpm.x))</f>
        <v/>
      </c>
      <c r="F1291" s="22" t="str">
        <f>_xlfn.XLOOKUP(E1291,menu!$A$2:$A$37,menu!$B$2:$B$37,"")</f>
        <v/>
      </c>
      <c r="G1291" t="str">
        <f>_xlfn.XLOOKUP(E1291,menu!$A$2:$A$37,menu!$C$2:$C$37,"")</f>
        <v/>
      </c>
      <c r="H1291" t="str">
        <f>_xlfn.LET(_xlpm.x,_xlfn.XLOOKUP(_xlfn.XLOOKUP(D1291,beans!$A$2:$A$300,beans!$I$2:$I$300),menu!$E$2:$E$20,menu!$F$2:$F$20),IF(_xlpm.x="","",_xlpm.x))</f>
        <v/>
      </c>
      <c r="T1291" s="68" t="str">
        <f t="shared" si="140"/>
        <v/>
      </c>
      <c r="U1291" t="str">
        <f t="shared" si="136"/>
        <v/>
      </c>
      <c r="V1291">
        <f t="shared" si="141"/>
        <v>0</v>
      </c>
      <c r="W1291" t="str">
        <f t="shared" si="137"/>
        <v/>
      </c>
      <c r="AB1291" s="28" t="str">
        <f t="shared" si="138"/>
        <v xml:space="preserve"> </v>
      </c>
      <c r="AE1291" s="61" t="str">
        <f t="shared" si="139"/>
        <v/>
      </c>
      <c r="AF1291" s="77" t="str">
        <f>_xlfn.XLOOKUP(AD1291,menu!$K$2:$K$9,menu!$J$2:$J$9,"",1)</f>
        <v/>
      </c>
      <c r="AG1291" s="80" t="str">
        <f>_xlfn.XLOOKUP(AH1291,menu!$O$2:$O$9,menu!$H$2:$H$9,"")</f>
        <v/>
      </c>
      <c r="AI1291" t="str">
        <f>_xlfn.LET(_xlpm.x,_xlfn.CONCAT(_xlfn.XLOOKUP(D1291,beans!$A$2:$A$300,beans!$J$2:$J$300,"")," / ",_xlfn.XLOOKUP(D1291,beans!$A$2:$A$300,beans!$K$2:$K$300,"")," - ",_xlfn.XLOOKUP(D1291,beans!$A$2:$A$300,beans!$L$2:$L$300,"")),IF(_xlpm.x=" /  - ","",_xlpm.x))</f>
        <v/>
      </c>
    </row>
    <row r="1292" spans="1:35" x14ac:dyDescent="0.3">
      <c r="A1292">
        <v>1275</v>
      </c>
      <c r="E1292" t="str">
        <f>_xlfn.LET(_xlpm.x,_xlfn.XLOOKUP(D1292,beans!$A$2:$A$300,beans!$H$2:$H$300,""),IF(_xlpm.x="","",_xlpm.x))</f>
        <v/>
      </c>
      <c r="F1292" s="22" t="str">
        <f>_xlfn.XLOOKUP(E1292,menu!$A$2:$A$37,menu!$B$2:$B$37,"")</f>
        <v/>
      </c>
      <c r="G1292" t="str">
        <f>_xlfn.XLOOKUP(E1292,menu!$A$2:$A$37,menu!$C$2:$C$37,"")</f>
        <v/>
      </c>
      <c r="H1292" t="str">
        <f>_xlfn.LET(_xlpm.x,_xlfn.XLOOKUP(_xlfn.XLOOKUP(D1292,beans!$A$2:$A$300,beans!$I$2:$I$300),menu!$E$2:$E$20,menu!$F$2:$F$20),IF(_xlpm.x="","",_xlpm.x))</f>
        <v/>
      </c>
      <c r="T1292" s="68" t="str">
        <f t="shared" si="140"/>
        <v/>
      </c>
      <c r="U1292" t="str">
        <f t="shared" si="136"/>
        <v/>
      </c>
      <c r="V1292">
        <f t="shared" si="141"/>
        <v>0</v>
      </c>
      <c r="W1292" t="str">
        <f t="shared" si="137"/>
        <v/>
      </c>
      <c r="AB1292" s="28" t="str">
        <f t="shared" si="138"/>
        <v xml:space="preserve"> </v>
      </c>
      <c r="AE1292" s="61" t="str">
        <f t="shared" si="139"/>
        <v/>
      </c>
      <c r="AF1292" s="77" t="str">
        <f>_xlfn.XLOOKUP(AD1292,menu!$K$2:$K$9,menu!$J$2:$J$9,"",1)</f>
        <v/>
      </c>
      <c r="AG1292" s="80" t="str">
        <f>_xlfn.XLOOKUP(AH1292,menu!$O$2:$O$9,menu!$H$2:$H$9,"")</f>
        <v/>
      </c>
      <c r="AI1292" t="str">
        <f>_xlfn.LET(_xlpm.x,_xlfn.CONCAT(_xlfn.XLOOKUP(D1292,beans!$A$2:$A$300,beans!$J$2:$J$300,"")," / ",_xlfn.XLOOKUP(D1292,beans!$A$2:$A$300,beans!$K$2:$K$300,"")," - ",_xlfn.XLOOKUP(D1292,beans!$A$2:$A$300,beans!$L$2:$L$300,"")),IF(_xlpm.x=" /  - ","",_xlpm.x))</f>
        <v/>
      </c>
    </row>
    <row r="1293" spans="1:35" x14ac:dyDescent="0.3">
      <c r="A1293">
        <v>1276</v>
      </c>
      <c r="E1293" t="str">
        <f>_xlfn.LET(_xlpm.x,_xlfn.XLOOKUP(D1293,beans!$A$2:$A$300,beans!$H$2:$H$300,""),IF(_xlpm.x="","",_xlpm.x))</f>
        <v/>
      </c>
      <c r="F1293" s="22" t="str">
        <f>_xlfn.XLOOKUP(E1293,menu!$A$2:$A$37,menu!$B$2:$B$37,"")</f>
        <v/>
      </c>
      <c r="G1293" t="str">
        <f>_xlfn.XLOOKUP(E1293,menu!$A$2:$A$37,menu!$C$2:$C$37,"")</f>
        <v/>
      </c>
      <c r="H1293" t="str">
        <f>_xlfn.LET(_xlpm.x,_xlfn.XLOOKUP(_xlfn.XLOOKUP(D1293,beans!$A$2:$A$300,beans!$I$2:$I$300),menu!$E$2:$E$20,menu!$F$2:$F$20),IF(_xlpm.x="","",_xlpm.x))</f>
        <v/>
      </c>
      <c r="T1293" s="68" t="str">
        <f t="shared" si="140"/>
        <v/>
      </c>
      <c r="U1293" t="str">
        <f t="shared" si="136"/>
        <v/>
      </c>
      <c r="V1293">
        <f t="shared" si="141"/>
        <v>0</v>
      </c>
      <c r="W1293" t="str">
        <f t="shared" si="137"/>
        <v/>
      </c>
      <c r="AB1293" s="28" t="str">
        <f t="shared" si="138"/>
        <v xml:space="preserve"> </v>
      </c>
      <c r="AE1293" s="61" t="str">
        <f t="shared" si="139"/>
        <v/>
      </c>
      <c r="AF1293" s="77" t="str">
        <f>_xlfn.XLOOKUP(AD1293,menu!$K$2:$K$9,menu!$J$2:$J$9,"",1)</f>
        <v/>
      </c>
      <c r="AG1293" s="80" t="str">
        <f>_xlfn.XLOOKUP(AH1293,menu!$O$2:$O$9,menu!$H$2:$H$9,"")</f>
        <v/>
      </c>
      <c r="AI1293" t="str">
        <f>_xlfn.LET(_xlpm.x,_xlfn.CONCAT(_xlfn.XLOOKUP(D1293,beans!$A$2:$A$300,beans!$J$2:$J$300,"")," / ",_xlfn.XLOOKUP(D1293,beans!$A$2:$A$300,beans!$K$2:$K$300,"")," - ",_xlfn.XLOOKUP(D1293,beans!$A$2:$A$300,beans!$L$2:$L$300,"")),IF(_xlpm.x=" /  - ","",_xlpm.x))</f>
        <v/>
      </c>
    </row>
    <row r="1294" spans="1:35" x14ac:dyDescent="0.3">
      <c r="A1294">
        <v>1277</v>
      </c>
      <c r="E1294" t="str">
        <f>_xlfn.LET(_xlpm.x,_xlfn.XLOOKUP(D1294,beans!$A$2:$A$300,beans!$H$2:$H$300,""),IF(_xlpm.x="","",_xlpm.x))</f>
        <v/>
      </c>
      <c r="F1294" s="22" t="str">
        <f>_xlfn.XLOOKUP(E1294,menu!$A$2:$A$37,menu!$B$2:$B$37,"")</f>
        <v/>
      </c>
      <c r="G1294" t="str">
        <f>_xlfn.XLOOKUP(E1294,menu!$A$2:$A$37,menu!$C$2:$C$37,"")</f>
        <v/>
      </c>
      <c r="H1294" t="str">
        <f>_xlfn.LET(_xlpm.x,_xlfn.XLOOKUP(_xlfn.XLOOKUP(D1294,beans!$A$2:$A$300,beans!$I$2:$I$300),menu!$E$2:$E$20,menu!$F$2:$F$20),IF(_xlpm.x="","",_xlpm.x))</f>
        <v/>
      </c>
      <c r="T1294" s="68" t="str">
        <f t="shared" si="140"/>
        <v/>
      </c>
      <c r="U1294" t="str">
        <f t="shared" si="136"/>
        <v/>
      </c>
      <c r="V1294">
        <f t="shared" si="141"/>
        <v>0</v>
      </c>
      <c r="W1294" t="str">
        <f t="shared" si="137"/>
        <v/>
      </c>
      <c r="AB1294" s="28" t="str">
        <f t="shared" si="138"/>
        <v xml:space="preserve"> </v>
      </c>
      <c r="AE1294" s="61" t="str">
        <f t="shared" si="139"/>
        <v/>
      </c>
      <c r="AF1294" s="77" t="str">
        <f>_xlfn.XLOOKUP(AD1294,menu!$K$2:$K$9,menu!$J$2:$J$9,"",1)</f>
        <v/>
      </c>
      <c r="AG1294" s="80" t="str">
        <f>_xlfn.XLOOKUP(AH1294,menu!$O$2:$O$9,menu!$H$2:$H$9,"")</f>
        <v/>
      </c>
      <c r="AI1294" t="str">
        <f>_xlfn.LET(_xlpm.x,_xlfn.CONCAT(_xlfn.XLOOKUP(D1294,beans!$A$2:$A$300,beans!$J$2:$J$300,"")," / ",_xlfn.XLOOKUP(D1294,beans!$A$2:$A$300,beans!$K$2:$K$300,"")," - ",_xlfn.XLOOKUP(D1294,beans!$A$2:$A$300,beans!$L$2:$L$300,"")),IF(_xlpm.x=" /  - ","",_xlpm.x))</f>
        <v/>
      </c>
    </row>
    <row r="1295" spans="1:35" x14ac:dyDescent="0.3">
      <c r="A1295">
        <v>1278</v>
      </c>
      <c r="E1295" t="str">
        <f>_xlfn.LET(_xlpm.x,_xlfn.XLOOKUP(D1295,beans!$A$2:$A$300,beans!$H$2:$H$300,""),IF(_xlpm.x="","",_xlpm.x))</f>
        <v/>
      </c>
      <c r="F1295" s="22" t="str">
        <f>_xlfn.XLOOKUP(E1295,menu!$A$2:$A$37,menu!$B$2:$B$37,"")</f>
        <v/>
      </c>
      <c r="G1295" t="str">
        <f>_xlfn.XLOOKUP(E1295,menu!$A$2:$A$37,menu!$C$2:$C$37,"")</f>
        <v/>
      </c>
      <c r="H1295" t="str">
        <f>_xlfn.LET(_xlpm.x,_xlfn.XLOOKUP(_xlfn.XLOOKUP(D1295,beans!$A$2:$A$300,beans!$I$2:$I$300),menu!$E$2:$E$20,menu!$F$2:$F$20),IF(_xlpm.x="","",_xlpm.x))</f>
        <v/>
      </c>
      <c r="T1295" s="68" t="str">
        <f t="shared" si="140"/>
        <v/>
      </c>
      <c r="U1295" t="str">
        <f t="shared" si="136"/>
        <v/>
      </c>
      <c r="V1295">
        <f t="shared" si="141"/>
        <v>0</v>
      </c>
      <c r="W1295" t="str">
        <f t="shared" si="137"/>
        <v/>
      </c>
      <c r="AB1295" s="28" t="str">
        <f t="shared" si="138"/>
        <v xml:space="preserve"> </v>
      </c>
      <c r="AE1295" s="61" t="str">
        <f t="shared" si="139"/>
        <v/>
      </c>
      <c r="AF1295" s="77" t="str">
        <f>_xlfn.XLOOKUP(AD1295,menu!$K$2:$K$9,menu!$J$2:$J$9,"",1)</f>
        <v/>
      </c>
      <c r="AG1295" s="80" t="str">
        <f>_xlfn.XLOOKUP(AH1295,menu!$O$2:$O$9,menu!$H$2:$H$9,"")</f>
        <v/>
      </c>
      <c r="AI1295" t="str">
        <f>_xlfn.LET(_xlpm.x,_xlfn.CONCAT(_xlfn.XLOOKUP(D1295,beans!$A$2:$A$300,beans!$J$2:$J$300,"")," / ",_xlfn.XLOOKUP(D1295,beans!$A$2:$A$300,beans!$K$2:$K$300,"")," - ",_xlfn.XLOOKUP(D1295,beans!$A$2:$A$300,beans!$L$2:$L$300,"")),IF(_xlpm.x=" /  - ","",_xlpm.x))</f>
        <v/>
      </c>
    </row>
    <row r="1296" spans="1:35" x14ac:dyDescent="0.3">
      <c r="A1296">
        <v>1279</v>
      </c>
      <c r="E1296" t="str">
        <f>_xlfn.LET(_xlpm.x,_xlfn.XLOOKUP(D1296,beans!$A$2:$A$300,beans!$H$2:$H$300,""),IF(_xlpm.x="","",_xlpm.x))</f>
        <v/>
      </c>
      <c r="F1296" s="22" t="str">
        <f>_xlfn.XLOOKUP(E1296,menu!$A$2:$A$37,menu!$B$2:$B$37,"")</f>
        <v/>
      </c>
      <c r="G1296" t="str">
        <f>_xlfn.XLOOKUP(E1296,menu!$A$2:$A$37,menu!$C$2:$C$37,"")</f>
        <v/>
      </c>
      <c r="H1296" t="str">
        <f>_xlfn.LET(_xlpm.x,_xlfn.XLOOKUP(_xlfn.XLOOKUP(D1296,beans!$A$2:$A$300,beans!$I$2:$I$300),menu!$E$2:$E$20,menu!$F$2:$F$20),IF(_xlpm.x="","",_xlpm.x))</f>
        <v/>
      </c>
      <c r="T1296" s="68" t="str">
        <f t="shared" si="140"/>
        <v/>
      </c>
      <c r="U1296" t="str">
        <f t="shared" si="136"/>
        <v/>
      </c>
      <c r="V1296">
        <f t="shared" si="141"/>
        <v>0</v>
      </c>
      <c r="W1296" t="str">
        <f t="shared" si="137"/>
        <v/>
      </c>
      <c r="AB1296" s="28" t="str">
        <f t="shared" si="138"/>
        <v xml:space="preserve"> </v>
      </c>
      <c r="AE1296" s="61" t="str">
        <f t="shared" si="139"/>
        <v/>
      </c>
      <c r="AF1296" s="77" t="str">
        <f>_xlfn.XLOOKUP(AD1296,menu!$K$2:$K$9,menu!$J$2:$J$9,"",1)</f>
        <v/>
      </c>
      <c r="AG1296" s="80" t="str">
        <f>_xlfn.XLOOKUP(AH1296,menu!$O$2:$O$9,menu!$H$2:$H$9,"")</f>
        <v/>
      </c>
      <c r="AI1296" t="str">
        <f>_xlfn.LET(_xlpm.x,_xlfn.CONCAT(_xlfn.XLOOKUP(D1296,beans!$A$2:$A$300,beans!$J$2:$J$300,"")," / ",_xlfn.XLOOKUP(D1296,beans!$A$2:$A$300,beans!$K$2:$K$300,"")," - ",_xlfn.XLOOKUP(D1296,beans!$A$2:$A$300,beans!$L$2:$L$300,"")),IF(_xlpm.x=" /  - ","",_xlpm.x))</f>
        <v/>
      </c>
    </row>
    <row r="1297" spans="1:35" x14ac:dyDescent="0.3">
      <c r="A1297">
        <v>1280</v>
      </c>
      <c r="E1297" t="str">
        <f>_xlfn.LET(_xlpm.x,_xlfn.XLOOKUP(D1297,beans!$A$2:$A$300,beans!$H$2:$H$300,""),IF(_xlpm.x="","",_xlpm.x))</f>
        <v/>
      </c>
      <c r="F1297" s="22" t="str">
        <f>_xlfn.XLOOKUP(E1297,menu!$A$2:$A$37,menu!$B$2:$B$37,"")</f>
        <v/>
      </c>
      <c r="G1297" t="str">
        <f>_xlfn.XLOOKUP(E1297,menu!$A$2:$A$37,menu!$C$2:$C$37,"")</f>
        <v/>
      </c>
      <c r="H1297" t="str">
        <f>_xlfn.LET(_xlpm.x,_xlfn.XLOOKUP(_xlfn.XLOOKUP(D1297,beans!$A$2:$A$300,beans!$I$2:$I$300),menu!$E$2:$E$20,menu!$F$2:$F$20),IF(_xlpm.x="","",_xlpm.x))</f>
        <v/>
      </c>
      <c r="T1297" s="68" t="str">
        <f t="shared" si="140"/>
        <v/>
      </c>
      <c r="U1297" t="str">
        <f t="shared" si="136"/>
        <v/>
      </c>
      <c r="V1297">
        <f t="shared" si="141"/>
        <v>0</v>
      </c>
      <c r="W1297" t="str">
        <f t="shared" si="137"/>
        <v/>
      </c>
      <c r="AB1297" s="28" t="str">
        <f t="shared" si="138"/>
        <v xml:space="preserve"> </v>
      </c>
      <c r="AE1297" s="61" t="str">
        <f t="shared" si="139"/>
        <v/>
      </c>
      <c r="AF1297" s="77" t="str">
        <f>_xlfn.XLOOKUP(AD1297,menu!$K$2:$K$9,menu!$J$2:$J$9,"",1)</f>
        <v/>
      </c>
      <c r="AG1297" s="80" t="str">
        <f>_xlfn.XLOOKUP(AH1297,menu!$O$2:$O$9,menu!$H$2:$H$9,"")</f>
        <v/>
      </c>
      <c r="AI1297" t="str">
        <f>_xlfn.LET(_xlpm.x,_xlfn.CONCAT(_xlfn.XLOOKUP(D1297,beans!$A$2:$A$300,beans!$J$2:$J$300,"")," / ",_xlfn.XLOOKUP(D1297,beans!$A$2:$A$300,beans!$K$2:$K$300,"")," - ",_xlfn.XLOOKUP(D1297,beans!$A$2:$A$300,beans!$L$2:$L$300,"")),IF(_xlpm.x=" /  - ","",_xlpm.x))</f>
        <v/>
      </c>
    </row>
    <row r="1298" spans="1:35" x14ac:dyDescent="0.3">
      <c r="A1298">
        <v>1281</v>
      </c>
      <c r="E1298" t="str">
        <f>_xlfn.LET(_xlpm.x,_xlfn.XLOOKUP(D1298,beans!$A$2:$A$300,beans!$H$2:$H$300,""),IF(_xlpm.x="","",_xlpm.x))</f>
        <v/>
      </c>
      <c r="F1298" s="22" t="str">
        <f>_xlfn.XLOOKUP(E1298,menu!$A$2:$A$37,menu!$B$2:$B$37,"")</f>
        <v/>
      </c>
      <c r="G1298" t="str">
        <f>_xlfn.XLOOKUP(E1298,menu!$A$2:$A$37,menu!$C$2:$C$37,"")</f>
        <v/>
      </c>
      <c r="H1298" t="str">
        <f>_xlfn.LET(_xlpm.x,_xlfn.XLOOKUP(_xlfn.XLOOKUP(D1298,beans!$A$2:$A$300,beans!$I$2:$I$300),menu!$E$2:$E$20,menu!$F$2:$F$20),IF(_xlpm.x="","",_xlpm.x))</f>
        <v/>
      </c>
      <c r="T1298" s="68" t="str">
        <f t="shared" si="140"/>
        <v/>
      </c>
      <c r="U1298" t="str">
        <f t="shared" si="136"/>
        <v/>
      </c>
      <c r="V1298">
        <f t="shared" si="141"/>
        <v>0</v>
      </c>
      <c r="W1298" t="str">
        <f t="shared" si="137"/>
        <v/>
      </c>
      <c r="AB1298" s="28" t="str">
        <f t="shared" si="138"/>
        <v xml:space="preserve"> </v>
      </c>
      <c r="AE1298" s="61" t="str">
        <f t="shared" si="139"/>
        <v/>
      </c>
      <c r="AF1298" s="77" t="str">
        <f>_xlfn.XLOOKUP(AD1298,menu!$K$2:$K$9,menu!$J$2:$J$9,"",1)</f>
        <v/>
      </c>
      <c r="AG1298" s="80" t="str">
        <f>_xlfn.XLOOKUP(AH1298,menu!$O$2:$O$9,menu!$H$2:$H$9,"")</f>
        <v/>
      </c>
      <c r="AI1298" t="str">
        <f>_xlfn.LET(_xlpm.x,_xlfn.CONCAT(_xlfn.XLOOKUP(D1298,beans!$A$2:$A$300,beans!$J$2:$J$300,"")," / ",_xlfn.XLOOKUP(D1298,beans!$A$2:$A$300,beans!$K$2:$K$300,"")," - ",_xlfn.XLOOKUP(D1298,beans!$A$2:$A$300,beans!$L$2:$L$300,"")),IF(_xlpm.x=" /  - ","",_xlpm.x))</f>
        <v/>
      </c>
    </row>
    <row r="1299" spans="1:35" x14ac:dyDescent="0.3">
      <c r="A1299">
        <v>1282</v>
      </c>
      <c r="E1299" t="str">
        <f>_xlfn.LET(_xlpm.x,_xlfn.XLOOKUP(D1299,beans!$A$2:$A$300,beans!$H$2:$H$300,""),IF(_xlpm.x="","",_xlpm.x))</f>
        <v/>
      </c>
      <c r="F1299" s="22" t="str">
        <f>_xlfn.XLOOKUP(E1299,menu!$A$2:$A$37,menu!$B$2:$B$37,"")</f>
        <v/>
      </c>
      <c r="G1299" t="str">
        <f>_xlfn.XLOOKUP(E1299,menu!$A$2:$A$37,menu!$C$2:$C$37,"")</f>
        <v/>
      </c>
      <c r="H1299" t="str">
        <f>_xlfn.LET(_xlpm.x,_xlfn.XLOOKUP(_xlfn.XLOOKUP(D1299,beans!$A$2:$A$300,beans!$I$2:$I$300),menu!$E$2:$E$20,menu!$F$2:$F$20),IF(_xlpm.x="","",_xlpm.x))</f>
        <v/>
      </c>
      <c r="T1299" s="68" t="str">
        <f t="shared" si="140"/>
        <v/>
      </c>
      <c r="U1299" t="str">
        <f t="shared" si="136"/>
        <v/>
      </c>
      <c r="V1299">
        <f t="shared" si="141"/>
        <v>0</v>
      </c>
      <c r="W1299" t="str">
        <f t="shared" si="137"/>
        <v/>
      </c>
      <c r="AB1299" s="28" t="str">
        <f t="shared" si="138"/>
        <v xml:space="preserve"> </v>
      </c>
      <c r="AE1299" s="61" t="str">
        <f t="shared" si="139"/>
        <v/>
      </c>
      <c r="AF1299" s="77" t="str">
        <f>_xlfn.XLOOKUP(AD1299,menu!$K$2:$K$9,menu!$J$2:$J$9,"",1)</f>
        <v/>
      </c>
      <c r="AG1299" s="80" t="str">
        <f>_xlfn.XLOOKUP(AH1299,menu!$O$2:$O$9,menu!$H$2:$H$9,"")</f>
        <v/>
      </c>
      <c r="AI1299" t="str">
        <f>_xlfn.LET(_xlpm.x,_xlfn.CONCAT(_xlfn.XLOOKUP(D1299,beans!$A$2:$A$300,beans!$J$2:$J$300,"")," / ",_xlfn.XLOOKUP(D1299,beans!$A$2:$A$300,beans!$K$2:$K$300,"")," - ",_xlfn.XLOOKUP(D1299,beans!$A$2:$A$300,beans!$L$2:$L$300,"")),IF(_xlpm.x=" /  - ","",_xlpm.x))</f>
        <v/>
      </c>
    </row>
    <row r="1300" spans="1:35" x14ac:dyDescent="0.3">
      <c r="A1300">
        <v>1283</v>
      </c>
      <c r="E1300" t="str">
        <f>_xlfn.LET(_xlpm.x,_xlfn.XLOOKUP(D1300,beans!$A$2:$A$300,beans!$H$2:$H$300,""),IF(_xlpm.x="","",_xlpm.x))</f>
        <v/>
      </c>
      <c r="F1300" s="22" t="str">
        <f>_xlfn.XLOOKUP(E1300,menu!$A$2:$A$37,menu!$B$2:$B$37,"")</f>
        <v/>
      </c>
      <c r="G1300" t="str">
        <f>_xlfn.XLOOKUP(E1300,menu!$A$2:$A$37,menu!$C$2:$C$37,"")</f>
        <v/>
      </c>
      <c r="H1300" t="str">
        <f>_xlfn.LET(_xlpm.x,_xlfn.XLOOKUP(_xlfn.XLOOKUP(D1300,beans!$A$2:$A$300,beans!$I$2:$I$300),menu!$E$2:$E$20,menu!$F$2:$F$20),IF(_xlpm.x="","",_xlpm.x))</f>
        <v/>
      </c>
      <c r="T1300" s="68" t="str">
        <f t="shared" si="140"/>
        <v/>
      </c>
      <c r="U1300" t="str">
        <f t="shared" si="136"/>
        <v/>
      </c>
      <c r="V1300">
        <f t="shared" si="141"/>
        <v>0</v>
      </c>
      <c r="W1300" t="str">
        <f t="shared" si="137"/>
        <v/>
      </c>
      <c r="AB1300" s="28" t="str">
        <f t="shared" si="138"/>
        <v xml:space="preserve"> </v>
      </c>
      <c r="AE1300" s="61" t="str">
        <f t="shared" si="139"/>
        <v/>
      </c>
      <c r="AF1300" s="77" t="str">
        <f>_xlfn.XLOOKUP(AD1300,menu!$K$2:$K$9,menu!$J$2:$J$9,"",1)</f>
        <v/>
      </c>
      <c r="AG1300" s="80" t="str">
        <f>_xlfn.XLOOKUP(AH1300,menu!$O$2:$O$9,menu!$H$2:$H$9,"")</f>
        <v/>
      </c>
      <c r="AI1300" t="str">
        <f>_xlfn.LET(_xlpm.x,_xlfn.CONCAT(_xlfn.XLOOKUP(D1300,beans!$A$2:$A$300,beans!$J$2:$J$300,"")," / ",_xlfn.XLOOKUP(D1300,beans!$A$2:$A$300,beans!$K$2:$K$300,"")," - ",_xlfn.XLOOKUP(D1300,beans!$A$2:$A$300,beans!$L$2:$L$300,"")),IF(_xlpm.x=" /  - ","",_xlpm.x))</f>
        <v/>
      </c>
    </row>
    <row r="1301" spans="1:35" x14ac:dyDescent="0.3">
      <c r="A1301">
        <v>1284</v>
      </c>
      <c r="E1301" t="str">
        <f>_xlfn.LET(_xlpm.x,_xlfn.XLOOKUP(D1301,beans!$A$2:$A$300,beans!$H$2:$H$300,""),IF(_xlpm.x="","",_xlpm.x))</f>
        <v/>
      </c>
      <c r="F1301" s="22" t="str">
        <f>_xlfn.XLOOKUP(E1301,menu!$A$2:$A$37,menu!$B$2:$B$37,"")</f>
        <v/>
      </c>
      <c r="G1301" t="str">
        <f>_xlfn.XLOOKUP(E1301,menu!$A$2:$A$37,menu!$C$2:$C$37,"")</f>
        <v/>
      </c>
      <c r="H1301" t="str">
        <f>_xlfn.LET(_xlpm.x,_xlfn.XLOOKUP(_xlfn.XLOOKUP(D1301,beans!$A$2:$A$300,beans!$I$2:$I$300),menu!$E$2:$E$20,menu!$F$2:$F$20),IF(_xlpm.x="","",_xlpm.x))</f>
        <v/>
      </c>
      <c r="T1301" s="68" t="str">
        <f t="shared" si="140"/>
        <v/>
      </c>
      <c r="U1301" t="str">
        <f t="shared" si="136"/>
        <v/>
      </c>
      <c r="V1301">
        <f t="shared" si="141"/>
        <v>0</v>
      </c>
      <c r="W1301" t="str">
        <f t="shared" si="137"/>
        <v/>
      </c>
      <c r="AB1301" s="28" t="str">
        <f t="shared" si="138"/>
        <v xml:space="preserve"> </v>
      </c>
      <c r="AE1301" s="61" t="str">
        <f t="shared" si="139"/>
        <v/>
      </c>
      <c r="AF1301" s="77" t="str">
        <f>_xlfn.XLOOKUP(AD1301,menu!$K$2:$K$9,menu!$J$2:$J$9,"",1)</f>
        <v/>
      </c>
      <c r="AG1301" s="80" t="str">
        <f>_xlfn.XLOOKUP(AH1301,menu!$O$2:$O$9,menu!$H$2:$H$9,"")</f>
        <v/>
      </c>
      <c r="AI1301" t="str">
        <f>_xlfn.LET(_xlpm.x,_xlfn.CONCAT(_xlfn.XLOOKUP(D1301,beans!$A$2:$A$300,beans!$J$2:$J$300,"")," / ",_xlfn.XLOOKUP(D1301,beans!$A$2:$A$300,beans!$K$2:$K$300,"")," - ",_xlfn.XLOOKUP(D1301,beans!$A$2:$A$300,beans!$L$2:$L$300,"")),IF(_xlpm.x=" /  - ","",_xlpm.x))</f>
        <v/>
      </c>
    </row>
    <row r="1302" spans="1:35" x14ac:dyDescent="0.3">
      <c r="A1302">
        <v>1285</v>
      </c>
      <c r="E1302" t="str">
        <f>_xlfn.LET(_xlpm.x,_xlfn.XLOOKUP(D1302,beans!$A$2:$A$300,beans!$H$2:$H$300,""),IF(_xlpm.x="","",_xlpm.x))</f>
        <v/>
      </c>
      <c r="F1302" s="22" t="str">
        <f>_xlfn.XLOOKUP(E1302,menu!$A$2:$A$37,menu!$B$2:$B$37,"")</f>
        <v/>
      </c>
      <c r="G1302" t="str">
        <f>_xlfn.XLOOKUP(E1302,menu!$A$2:$A$37,menu!$C$2:$C$37,"")</f>
        <v/>
      </c>
      <c r="H1302" t="str">
        <f>_xlfn.LET(_xlpm.x,_xlfn.XLOOKUP(_xlfn.XLOOKUP(D1302,beans!$A$2:$A$300,beans!$I$2:$I$300),menu!$E$2:$E$20,menu!$F$2:$F$20),IF(_xlpm.x="","",_xlpm.x))</f>
        <v/>
      </c>
      <c r="T1302" s="68" t="str">
        <f t="shared" si="140"/>
        <v/>
      </c>
      <c r="U1302" t="str">
        <f t="shared" si="136"/>
        <v/>
      </c>
      <c r="V1302">
        <f t="shared" si="141"/>
        <v>0</v>
      </c>
      <c r="W1302" t="str">
        <f t="shared" si="137"/>
        <v/>
      </c>
      <c r="AB1302" s="28" t="str">
        <f t="shared" si="138"/>
        <v xml:space="preserve"> </v>
      </c>
      <c r="AE1302" s="61" t="str">
        <f t="shared" si="139"/>
        <v/>
      </c>
      <c r="AF1302" s="77" t="str">
        <f>_xlfn.XLOOKUP(AD1302,menu!$K$2:$K$9,menu!$J$2:$J$9,"",1)</f>
        <v/>
      </c>
      <c r="AG1302" s="80" t="str">
        <f>_xlfn.XLOOKUP(AH1302,menu!$O$2:$O$9,menu!$H$2:$H$9,"")</f>
        <v/>
      </c>
      <c r="AI1302" t="str">
        <f>_xlfn.LET(_xlpm.x,_xlfn.CONCAT(_xlfn.XLOOKUP(D1302,beans!$A$2:$A$300,beans!$J$2:$J$300,"")," / ",_xlfn.XLOOKUP(D1302,beans!$A$2:$A$300,beans!$K$2:$K$300,"")," - ",_xlfn.XLOOKUP(D1302,beans!$A$2:$A$300,beans!$L$2:$L$300,"")),IF(_xlpm.x=" /  - ","",_xlpm.x))</f>
        <v/>
      </c>
    </row>
    <row r="1303" spans="1:35" x14ac:dyDescent="0.3">
      <c r="A1303">
        <v>1286</v>
      </c>
      <c r="E1303" t="str">
        <f>_xlfn.LET(_xlpm.x,_xlfn.XLOOKUP(D1303,beans!$A$2:$A$300,beans!$H$2:$H$300,""),IF(_xlpm.x="","",_xlpm.x))</f>
        <v/>
      </c>
      <c r="F1303" s="22" t="str">
        <f>_xlfn.XLOOKUP(E1303,menu!$A$2:$A$37,menu!$B$2:$B$37,"")</f>
        <v/>
      </c>
      <c r="G1303" t="str">
        <f>_xlfn.XLOOKUP(E1303,menu!$A$2:$A$37,menu!$C$2:$C$37,"")</f>
        <v/>
      </c>
      <c r="H1303" t="str">
        <f>_xlfn.LET(_xlpm.x,_xlfn.XLOOKUP(_xlfn.XLOOKUP(D1303,beans!$A$2:$A$300,beans!$I$2:$I$300),menu!$E$2:$E$20,menu!$F$2:$F$20),IF(_xlpm.x="","",_xlpm.x))</f>
        <v/>
      </c>
      <c r="T1303" s="68" t="str">
        <f t="shared" si="140"/>
        <v/>
      </c>
      <c r="U1303" t="str">
        <f t="shared" si="136"/>
        <v/>
      </c>
      <c r="V1303">
        <f t="shared" si="141"/>
        <v>0</v>
      </c>
      <c r="W1303" t="str">
        <f t="shared" si="137"/>
        <v/>
      </c>
      <c r="AB1303" s="28" t="str">
        <f t="shared" si="138"/>
        <v xml:space="preserve"> </v>
      </c>
      <c r="AE1303" s="61" t="str">
        <f t="shared" si="139"/>
        <v/>
      </c>
      <c r="AF1303" s="77" t="str">
        <f>_xlfn.XLOOKUP(AD1303,menu!$K$2:$K$9,menu!$J$2:$J$9,"",1)</f>
        <v/>
      </c>
      <c r="AG1303" s="80" t="str">
        <f>_xlfn.XLOOKUP(AH1303,menu!$O$2:$O$9,menu!$H$2:$H$9,"")</f>
        <v/>
      </c>
      <c r="AI1303" t="str">
        <f>_xlfn.LET(_xlpm.x,_xlfn.CONCAT(_xlfn.XLOOKUP(D1303,beans!$A$2:$A$300,beans!$J$2:$J$300,"")," / ",_xlfn.XLOOKUP(D1303,beans!$A$2:$A$300,beans!$K$2:$K$300,"")," - ",_xlfn.XLOOKUP(D1303,beans!$A$2:$A$300,beans!$L$2:$L$300,"")),IF(_xlpm.x=" /  - ","",_xlpm.x))</f>
        <v/>
      </c>
    </row>
    <row r="1304" spans="1:35" x14ac:dyDescent="0.3">
      <c r="A1304">
        <v>1287</v>
      </c>
      <c r="E1304" t="str">
        <f>_xlfn.LET(_xlpm.x,_xlfn.XLOOKUP(D1304,beans!$A$2:$A$300,beans!$H$2:$H$300,""),IF(_xlpm.x="","",_xlpm.x))</f>
        <v/>
      </c>
      <c r="F1304" s="22" t="str">
        <f>_xlfn.XLOOKUP(E1304,menu!$A$2:$A$37,menu!$B$2:$B$37,"")</f>
        <v/>
      </c>
      <c r="G1304" t="str">
        <f>_xlfn.XLOOKUP(E1304,menu!$A$2:$A$37,menu!$C$2:$C$37,"")</f>
        <v/>
      </c>
      <c r="H1304" t="str">
        <f>_xlfn.LET(_xlpm.x,_xlfn.XLOOKUP(_xlfn.XLOOKUP(D1304,beans!$A$2:$A$300,beans!$I$2:$I$300),menu!$E$2:$E$20,menu!$F$2:$F$20),IF(_xlpm.x="","",_xlpm.x))</f>
        <v/>
      </c>
      <c r="T1304" s="68" t="str">
        <f t="shared" si="140"/>
        <v/>
      </c>
      <c r="U1304" t="str">
        <f t="shared" si="136"/>
        <v/>
      </c>
      <c r="V1304">
        <f t="shared" si="141"/>
        <v>0</v>
      </c>
      <c r="W1304" t="str">
        <f t="shared" si="137"/>
        <v/>
      </c>
      <c r="AB1304" s="28" t="str">
        <f t="shared" si="138"/>
        <v xml:space="preserve"> </v>
      </c>
      <c r="AE1304" s="61" t="str">
        <f t="shared" si="139"/>
        <v/>
      </c>
      <c r="AF1304" s="77" t="str">
        <f>_xlfn.XLOOKUP(AD1304,menu!$K$2:$K$9,menu!$J$2:$J$9,"",1)</f>
        <v/>
      </c>
      <c r="AG1304" s="80" t="str">
        <f>_xlfn.XLOOKUP(AH1304,menu!$O$2:$O$9,menu!$H$2:$H$9,"")</f>
        <v/>
      </c>
      <c r="AI1304" t="str">
        <f>_xlfn.LET(_xlpm.x,_xlfn.CONCAT(_xlfn.XLOOKUP(D1304,beans!$A$2:$A$300,beans!$J$2:$J$300,"")," / ",_xlfn.XLOOKUP(D1304,beans!$A$2:$A$300,beans!$K$2:$K$300,"")," - ",_xlfn.XLOOKUP(D1304,beans!$A$2:$A$300,beans!$L$2:$L$300,"")),IF(_xlpm.x=" /  - ","",_xlpm.x))</f>
        <v/>
      </c>
    </row>
    <row r="1305" spans="1:35" x14ac:dyDescent="0.3">
      <c r="A1305">
        <v>1288</v>
      </c>
      <c r="E1305" t="str">
        <f>_xlfn.LET(_xlpm.x,_xlfn.XLOOKUP(D1305,beans!$A$2:$A$300,beans!$H$2:$H$300,""),IF(_xlpm.x="","",_xlpm.x))</f>
        <v/>
      </c>
      <c r="F1305" s="22" t="str">
        <f>_xlfn.XLOOKUP(E1305,menu!$A$2:$A$37,menu!$B$2:$B$37,"")</f>
        <v/>
      </c>
      <c r="G1305" t="str">
        <f>_xlfn.XLOOKUP(E1305,menu!$A$2:$A$37,menu!$C$2:$C$37,"")</f>
        <v/>
      </c>
      <c r="H1305" t="str">
        <f>_xlfn.LET(_xlpm.x,_xlfn.XLOOKUP(_xlfn.XLOOKUP(D1305,beans!$A$2:$A$300,beans!$I$2:$I$300),menu!$E$2:$E$20,menu!$F$2:$F$20),IF(_xlpm.x="","",_xlpm.x))</f>
        <v/>
      </c>
      <c r="T1305" s="68" t="str">
        <f t="shared" si="140"/>
        <v/>
      </c>
      <c r="U1305" t="str">
        <f t="shared" si="136"/>
        <v/>
      </c>
      <c r="V1305">
        <f t="shared" si="141"/>
        <v>0</v>
      </c>
      <c r="W1305" t="str">
        <f t="shared" si="137"/>
        <v/>
      </c>
      <c r="AB1305" s="28" t="str">
        <f t="shared" si="138"/>
        <v xml:space="preserve"> </v>
      </c>
      <c r="AE1305" s="61" t="str">
        <f t="shared" si="139"/>
        <v/>
      </c>
      <c r="AF1305" s="77" t="str">
        <f>_xlfn.XLOOKUP(AD1305,menu!$K$2:$K$9,menu!$J$2:$J$9,"",1)</f>
        <v/>
      </c>
      <c r="AG1305" s="80" t="str">
        <f>_xlfn.XLOOKUP(AH1305,menu!$O$2:$O$9,menu!$H$2:$H$9,"")</f>
        <v/>
      </c>
      <c r="AI1305" t="str">
        <f>_xlfn.LET(_xlpm.x,_xlfn.CONCAT(_xlfn.XLOOKUP(D1305,beans!$A$2:$A$300,beans!$J$2:$J$300,"")," / ",_xlfn.XLOOKUP(D1305,beans!$A$2:$A$300,beans!$K$2:$K$300,"")," - ",_xlfn.XLOOKUP(D1305,beans!$A$2:$A$300,beans!$L$2:$L$300,"")),IF(_xlpm.x=" /  - ","",_xlpm.x))</f>
        <v/>
      </c>
    </row>
    <row r="1306" spans="1:35" x14ac:dyDescent="0.3">
      <c r="A1306">
        <v>1289</v>
      </c>
      <c r="E1306" t="str">
        <f>_xlfn.LET(_xlpm.x,_xlfn.XLOOKUP(D1306,beans!$A$2:$A$300,beans!$H$2:$H$300,""),IF(_xlpm.x="","",_xlpm.x))</f>
        <v/>
      </c>
      <c r="F1306" s="22" t="str">
        <f>_xlfn.XLOOKUP(E1306,menu!$A$2:$A$37,menu!$B$2:$B$37,"")</f>
        <v/>
      </c>
      <c r="G1306" t="str">
        <f>_xlfn.XLOOKUP(E1306,menu!$A$2:$A$37,menu!$C$2:$C$37,"")</f>
        <v/>
      </c>
      <c r="H1306" t="str">
        <f>_xlfn.LET(_xlpm.x,_xlfn.XLOOKUP(_xlfn.XLOOKUP(D1306,beans!$A$2:$A$300,beans!$I$2:$I$300),menu!$E$2:$E$20,menu!$F$2:$F$20),IF(_xlpm.x="","",_xlpm.x))</f>
        <v/>
      </c>
      <c r="T1306" s="68" t="str">
        <f t="shared" si="140"/>
        <v/>
      </c>
      <c r="U1306" t="str">
        <f t="shared" si="136"/>
        <v/>
      </c>
      <c r="V1306">
        <f t="shared" si="141"/>
        <v>0</v>
      </c>
      <c r="W1306" t="str">
        <f t="shared" si="137"/>
        <v/>
      </c>
      <c r="AB1306" s="28" t="str">
        <f t="shared" si="138"/>
        <v xml:space="preserve"> </v>
      </c>
      <c r="AE1306" s="61" t="str">
        <f t="shared" si="139"/>
        <v/>
      </c>
      <c r="AF1306" s="77" t="str">
        <f>_xlfn.XLOOKUP(AD1306,menu!$K$2:$K$9,menu!$J$2:$J$9,"",1)</f>
        <v/>
      </c>
      <c r="AG1306" s="80" t="str">
        <f>_xlfn.XLOOKUP(AH1306,menu!$O$2:$O$9,menu!$H$2:$H$9,"")</f>
        <v/>
      </c>
      <c r="AI1306" t="str">
        <f>_xlfn.LET(_xlpm.x,_xlfn.CONCAT(_xlfn.XLOOKUP(D1306,beans!$A$2:$A$300,beans!$J$2:$J$300,"")," / ",_xlfn.XLOOKUP(D1306,beans!$A$2:$A$300,beans!$K$2:$K$300,"")," - ",_xlfn.XLOOKUP(D1306,beans!$A$2:$A$300,beans!$L$2:$L$300,"")),IF(_xlpm.x=" /  - ","",_xlpm.x))</f>
        <v/>
      </c>
    </row>
    <row r="1307" spans="1:35" x14ac:dyDescent="0.3">
      <c r="A1307">
        <v>1290</v>
      </c>
      <c r="E1307" t="str">
        <f>_xlfn.LET(_xlpm.x,_xlfn.XLOOKUP(D1307,beans!$A$2:$A$300,beans!$H$2:$H$300,""),IF(_xlpm.x="","",_xlpm.x))</f>
        <v/>
      </c>
      <c r="F1307" s="22" t="str">
        <f>_xlfn.XLOOKUP(E1307,menu!$A$2:$A$37,menu!$B$2:$B$37,"")</f>
        <v/>
      </c>
      <c r="G1307" t="str">
        <f>_xlfn.XLOOKUP(E1307,menu!$A$2:$A$37,menu!$C$2:$C$37,"")</f>
        <v/>
      </c>
      <c r="H1307" t="str">
        <f>_xlfn.LET(_xlpm.x,_xlfn.XLOOKUP(_xlfn.XLOOKUP(D1307,beans!$A$2:$A$300,beans!$I$2:$I$300),menu!$E$2:$E$20,menu!$F$2:$F$20),IF(_xlpm.x="","",_xlpm.x))</f>
        <v/>
      </c>
      <c r="T1307" s="68" t="str">
        <f t="shared" si="140"/>
        <v/>
      </c>
      <c r="U1307" t="str">
        <f t="shared" si="136"/>
        <v/>
      </c>
      <c r="V1307">
        <f t="shared" si="141"/>
        <v>0</v>
      </c>
      <c r="W1307" t="str">
        <f t="shared" si="137"/>
        <v/>
      </c>
      <c r="AB1307" s="28" t="str">
        <f t="shared" si="138"/>
        <v xml:space="preserve"> </v>
      </c>
      <c r="AE1307" s="61" t="str">
        <f t="shared" si="139"/>
        <v/>
      </c>
      <c r="AF1307" s="77" t="str">
        <f>_xlfn.XLOOKUP(AD1307,menu!$K$2:$K$9,menu!$J$2:$J$9,"",1)</f>
        <v/>
      </c>
      <c r="AG1307" s="80" t="str">
        <f>_xlfn.XLOOKUP(AH1307,menu!$O$2:$O$9,menu!$H$2:$H$9,"")</f>
        <v/>
      </c>
      <c r="AI1307" t="str">
        <f>_xlfn.LET(_xlpm.x,_xlfn.CONCAT(_xlfn.XLOOKUP(D1307,beans!$A$2:$A$300,beans!$J$2:$J$300,"")," / ",_xlfn.XLOOKUP(D1307,beans!$A$2:$A$300,beans!$K$2:$K$300,"")," - ",_xlfn.XLOOKUP(D1307,beans!$A$2:$A$300,beans!$L$2:$L$300,"")),IF(_xlpm.x=" /  - ","",_xlpm.x))</f>
        <v/>
      </c>
    </row>
    <row r="1308" spans="1:35" x14ac:dyDescent="0.3">
      <c r="A1308">
        <v>1291</v>
      </c>
      <c r="E1308" t="str">
        <f>_xlfn.LET(_xlpm.x,_xlfn.XLOOKUP(D1308,beans!$A$2:$A$300,beans!$H$2:$H$300,""),IF(_xlpm.x="","",_xlpm.x))</f>
        <v/>
      </c>
      <c r="F1308" s="22" t="str">
        <f>_xlfn.XLOOKUP(E1308,menu!$A$2:$A$37,menu!$B$2:$B$37,"")</f>
        <v/>
      </c>
      <c r="G1308" t="str">
        <f>_xlfn.XLOOKUP(E1308,menu!$A$2:$A$37,menu!$C$2:$C$37,"")</f>
        <v/>
      </c>
      <c r="H1308" t="str">
        <f>_xlfn.LET(_xlpm.x,_xlfn.XLOOKUP(_xlfn.XLOOKUP(D1308,beans!$A$2:$A$300,beans!$I$2:$I$300),menu!$E$2:$E$20,menu!$F$2:$F$20),IF(_xlpm.x="","",_xlpm.x))</f>
        <v/>
      </c>
      <c r="T1308" s="68" t="str">
        <f t="shared" si="140"/>
        <v/>
      </c>
      <c r="U1308" t="str">
        <f t="shared" si="136"/>
        <v/>
      </c>
      <c r="V1308">
        <f t="shared" si="141"/>
        <v>0</v>
      </c>
      <c r="W1308" t="str">
        <f t="shared" si="137"/>
        <v/>
      </c>
      <c r="AB1308" s="28" t="str">
        <f t="shared" si="138"/>
        <v xml:space="preserve"> </v>
      </c>
      <c r="AE1308" s="61" t="str">
        <f t="shared" si="139"/>
        <v/>
      </c>
      <c r="AF1308" s="77" t="str">
        <f>_xlfn.XLOOKUP(AD1308,menu!$K$2:$K$9,menu!$J$2:$J$9,"",1)</f>
        <v/>
      </c>
      <c r="AG1308" s="80" t="str">
        <f>_xlfn.XLOOKUP(AH1308,menu!$O$2:$O$9,menu!$H$2:$H$9,"")</f>
        <v/>
      </c>
      <c r="AI1308" t="str">
        <f>_xlfn.LET(_xlpm.x,_xlfn.CONCAT(_xlfn.XLOOKUP(D1308,beans!$A$2:$A$300,beans!$J$2:$J$300,"")," / ",_xlfn.XLOOKUP(D1308,beans!$A$2:$A$300,beans!$K$2:$K$300,"")," - ",_xlfn.XLOOKUP(D1308,beans!$A$2:$A$300,beans!$L$2:$L$300,"")),IF(_xlpm.x=" /  - ","",_xlpm.x))</f>
        <v/>
      </c>
    </row>
    <row r="1309" spans="1:35" x14ac:dyDescent="0.3">
      <c r="A1309">
        <v>1292</v>
      </c>
      <c r="E1309" t="str">
        <f>_xlfn.LET(_xlpm.x,_xlfn.XLOOKUP(D1309,beans!$A$2:$A$300,beans!$H$2:$H$300,""),IF(_xlpm.x="","",_xlpm.x))</f>
        <v/>
      </c>
      <c r="F1309" s="22" t="str">
        <f>_xlfn.XLOOKUP(E1309,menu!$A$2:$A$37,menu!$B$2:$B$37,"")</f>
        <v/>
      </c>
      <c r="G1309" t="str">
        <f>_xlfn.XLOOKUP(E1309,menu!$A$2:$A$37,menu!$C$2:$C$37,"")</f>
        <v/>
      </c>
      <c r="H1309" t="str">
        <f>_xlfn.LET(_xlpm.x,_xlfn.XLOOKUP(_xlfn.XLOOKUP(D1309,beans!$A$2:$A$300,beans!$I$2:$I$300),menu!$E$2:$E$20,menu!$F$2:$F$20),IF(_xlpm.x="","",_xlpm.x))</f>
        <v/>
      </c>
      <c r="T1309" s="68" t="str">
        <f t="shared" si="140"/>
        <v/>
      </c>
      <c r="U1309" t="str">
        <f t="shared" si="136"/>
        <v/>
      </c>
      <c r="V1309">
        <f t="shared" si="141"/>
        <v>0</v>
      </c>
      <c r="W1309" t="str">
        <f t="shared" si="137"/>
        <v/>
      </c>
      <c r="AB1309" s="28" t="str">
        <f t="shared" si="138"/>
        <v xml:space="preserve"> </v>
      </c>
      <c r="AE1309" s="61" t="str">
        <f t="shared" si="139"/>
        <v/>
      </c>
      <c r="AF1309" s="77" t="str">
        <f>_xlfn.XLOOKUP(AD1309,menu!$K$2:$K$9,menu!$J$2:$J$9,"",1)</f>
        <v/>
      </c>
      <c r="AG1309" s="80" t="str">
        <f>_xlfn.XLOOKUP(AH1309,menu!$O$2:$O$9,menu!$H$2:$H$9,"")</f>
        <v/>
      </c>
      <c r="AI1309" t="str">
        <f>_xlfn.LET(_xlpm.x,_xlfn.CONCAT(_xlfn.XLOOKUP(D1309,beans!$A$2:$A$300,beans!$J$2:$J$300,"")," / ",_xlfn.XLOOKUP(D1309,beans!$A$2:$A$300,beans!$K$2:$K$300,"")," - ",_xlfn.XLOOKUP(D1309,beans!$A$2:$A$300,beans!$L$2:$L$300,"")),IF(_xlpm.x=" /  - ","",_xlpm.x))</f>
        <v/>
      </c>
    </row>
    <row r="1310" spans="1:35" x14ac:dyDescent="0.3">
      <c r="A1310">
        <v>1293</v>
      </c>
      <c r="E1310" t="str">
        <f>_xlfn.LET(_xlpm.x,_xlfn.XLOOKUP(D1310,beans!$A$2:$A$300,beans!$H$2:$H$300,""),IF(_xlpm.x="","",_xlpm.x))</f>
        <v/>
      </c>
      <c r="F1310" s="22" t="str">
        <f>_xlfn.XLOOKUP(E1310,menu!$A$2:$A$37,menu!$B$2:$B$37,"")</f>
        <v/>
      </c>
      <c r="G1310" t="str">
        <f>_xlfn.XLOOKUP(E1310,menu!$A$2:$A$37,menu!$C$2:$C$37,"")</f>
        <v/>
      </c>
      <c r="H1310" t="str">
        <f>_xlfn.LET(_xlpm.x,_xlfn.XLOOKUP(_xlfn.XLOOKUP(D1310,beans!$A$2:$A$300,beans!$I$2:$I$300),menu!$E$2:$E$20,menu!$F$2:$F$20),IF(_xlpm.x="","",_xlpm.x))</f>
        <v/>
      </c>
      <c r="T1310" s="68" t="str">
        <f t="shared" si="140"/>
        <v/>
      </c>
      <c r="U1310" t="str">
        <f t="shared" si="136"/>
        <v/>
      </c>
      <c r="V1310">
        <f t="shared" si="141"/>
        <v>0</v>
      </c>
      <c r="W1310" t="str">
        <f t="shared" si="137"/>
        <v/>
      </c>
      <c r="AB1310" s="28" t="str">
        <f t="shared" si="138"/>
        <v xml:space="preserve"> </v>
      </c>
      <c r="AE1310" s="61" t="str">
        <f t="shared" si="139"/>
        <v/>
      </c>
      <c r="AF1310" s="77" t="str">
        <f>_xlfn.XLOOKUP(AD1310,menu!$K$2:$K$9,menu!$J$2:$J$9,"",1)</f>
        <v/>
      </c>
      <c r="AG1310" s="80" t="str">
        <f>_xlfn.XLOOKUP(AH1310,menu!$O$2:$O$9,menu!$H$2:$H$9,"")</f>
        <v/>
      </c>
      <c r="AI1310" t="str">
        <f>_xlfn.LET(_xlpm.x,_xlfn.CONCAT(_xlfn.XLOOKUP(D1310,beans!$A$2:$A$300,beans!$J$2:$J$300,"")," / ",_xlfn.XLOOKUP(D1310,beans!$A$2:$A$300,beans!$K$2:$K$300,"")," - ",_xlfn.XLOOKUP(D1310,beans!$A$2:$A$300,beans!$L$2:$L$300,"")),IF(_xlpm.x=" /  - ","",_xlpm.x))</f>
        <v/>
      </c>
    </row>
    <row r="1311" spans="1:35" x14ac:dyDescent="0.3">
      <c r="A1311">
        <v>1294</v>
      </c>
      <c r="E1311" t="str">
        <f>_xlfn.LET(_xlpm.x,_xlfn.XLOOKUP(D1311,beans!$A$2:$A$300,beans!$H$2:$H$300,""),IF(_xlpm.x="","",_xlpm.x))</f>
        <v/>
      </c>
      <c r="F1311" s="22" t="str">
        <f>_xlfn.XLOOKUP(E1311,menu!$A$2:$A$37,menu!$B$2:$B$37,"")</f>
        <v/>
      </c>
      <c r="G1311" t="str">
        <f>_xlfn.XLOOKUP(E1311,menu!$A$2:$A$37,menu!$C$2:$C$37,"")</f>
        <v/>
      </c>
      <c r="H1311" t="str">
        <f>_xlfn.LET(_xlpm.x,_xlfn.XLOOKUP(_xlfn.XLOOKUP(D1311,beans!$A$2:$A$300,beans!$I$2:$I$300),menu!$E$2:$E$20,menu!$F$2:$F$20),IF(_xlpm.x="","",_xlpm.x))</f>
        <v/>
      </c>
      <c r="T1311" s="68" t="str">
        <f t="shared" si="140"/>
        <v/>
      </c>
      <c r="U1311" t="str">
        <f t="shared" si="136"/>
        <v/>
      </c>
      <c r="V1311">
        <f t="shared" si="141"/>
        <v>0</v>
      </c>
      <c r="W1311" t="str">
        <f t="shared" si="137"/>
        <v/>
      </c>
      <c r="AB1311" s="28" t="str">
        <f t="shared" si="138"/>
        <v xml:space="preserve"> </v>
      </c>
      <c r="AE1311" s="61" t="str">
        <f t="shared" si="139"/>
        <v/>
      </c>
      <c r="AF1311" s="77" t="str">
        <f>_xlfn.XLOOKUP(AD1311,menu!$K$2:$K$9,menu!$J$2:$J$9,"",1)</f>
        <v/>
      </c>
      <c r="AG1311" s="80" t="str">
        <f>_xlfn.XLOOKUP(AH1311,menu!$O$2:$O$9,menu!$H$2:$H$9,"")</f>
        <v/>
      </c>
      <c r="AI1311" t="str">
        <f>_xlfn.LET(_xlpm.x,_xlfn.CONCAT(_xlfn.XLOOKUP(D1311,beans!$A$2:$A$300,beans!$J$2:$J$300,"")," / ",_xlfn.XLOOKUP(D1311,beans!$A$2:$A$300,beans!$K$2:$K$300,"")," - ",_xlfn.XLOOKUP(D1311,beans!$A$2:$A$300,beans!$L$2:$L$300,"")),IF(_xlpm.x=" /  - ","",_xlpm.x))</f>
        <v/>
      </c>
    </row>
    <row r="1312" spans="1:35" x14ac:dyDescent="0.3">
      <c r="A1312">
        <v>1295</v>
      </c>
      <c r="E1312" t="str">
        <f>_xlfn.LET(_xlpm.x,_xlfn.XLOOKUP(D1312,beans!$A$2:$A$300,beans!$H$2:$H$300,""),IF(_xlpm.x="","",_xlpm.x))</f>
        <v/>
      </c>
      <c r="F1312" s="22" t="str">
        <f>_xlfn.XLOOKUP(E1312,menu!$A$2:$A$37,menu!$B$2:$B$37,"")</f>
        <v/>
      </c>
      <c r="G1312" t="str">
        <f>_xlfn.XLOOKUP(E1312,menu!$A$2:$A$37,menu!$C$2:$C$37,"")</f>
        <v/>
      </c>
      <c r="H1312" t="str">
        <f>_xlfn.LET(_xlpm.x,_xlfn.XLOOKUP(_xlfn.XLOOKUP(D1312,beans!$A$2:$A$300,beans!$I$2:$I$300),menu!$E$2:$E$20,menu!$F$2:$F$20),IF(_xlpm.x="","",_xlpm.x))</f>
        <v/>
      </c>
      <c r="T1312" s="68" t="str">
        <f t="shared" si="140"/>
        <v/>
      </c>
      <c r="U1312" t="str">
        <f t="shared" si="136"/>
        <v/>
      </c>
      <c r="V1312">
        <f t="shared" si="141"/>
        <v>0</v>
      </c>
      <c r="W1312" t="str">
        <f t="shared" si="137"/>
        <v/>
      </c>
      <c r="AB1312" s="28" t="str">
        <f t="shared" si="138"/>
        <v xml:space="preserve"> </v>
      </c>
      <c r="AE1312" s="61" t="str">
        <f t="shared" si="139"/>
        <v/>
      </c>
      <c r="AF1312" s="77" t="str">
        <f>_xlfn.XLOOKUP(AD1312,menu!$K$2:$K$9,menu!$J$2:$J$9,"",1)</f>
        <v/>
      </c>
      <c r="AG1312" s="80" t="str">
        <f>_xlfn.XLOOKUP(AH1312,menu!$O$2:$O$9,menu!$H$2:$H$9,"")</f>
        <v/>
      </c>
      <c r="AI1312" t="str">
        <f>_xlfn.LET(_xlpm.x,_xlfn.CONCAT(_xlfn.XLOOKUP(D1312,beans!$A$2:$A$300,beans!$J$2:$J$300,"")," / ",_xlfn.XLOOKUP(D1312,beans!$A$2:$A$300,beans!$K$2:$K$300,"")," - ",_xlfn.XLOOKUP(D1312,beans!$A$2:$A$300,beans!$L$2:$L$300,"")),IF(_xlpm.x=" /  - ","",_xlpm.x))</f>
        <v/>
      </c>
    </row>
    <row r="1313" spans="1:35" x14ac:dyDescent="0.3">
      <c r="A1313">
        <v>1296</v>
      </c>
      <c r="E1313" t="str">
        <f>_xlfn.LET(_xlpm.x,_xlfn.XLOOKUP(D1313,beans!$A$2:$A$300,beans!$H$2:$H$300,""),IF(_xlpm.x="","",_xlpm.x))</f>
        <v/>
      </c>
      <c r="F1313" s="22" t="str">
        <f>_xlfn.XLOOKUP(E1313,menu!$A$2:$A$37,menu!$B$2:$B$37,"")</f>
        <v/>
      </c>
      <c r="G1313" t="str">
        <f>_xlfn.XLOOKUP(E1313,menu!$A$2:$A$37,menu!$C$2:$C$37,"")</f>
        <v/>
      </c>
      <c r="H1313" t="str">
        <f>_xlfn.LET(_xlpm.x,_xlfn.XLOOKUP(_xlfn.XLOOKUP(D1313,beans!$A$2:$A$300,beans!$I$2:$I$300),menu!$E$2:$E$20,menu!$F$2:$F$20),IF(_xlpm.x="","",_xlpm.x))</f>
        <v/>
      </c>
      <c r="T1313" s="68" t="str">
        <f t="shared" si="140"/>
        <v/>
      </c>
      <c r="U1313" t="str">
        <f t="shared" si="136"/>
        <v/>
      </c>
      <c r="V1313">
        <f t="shared" si="141"/>
        <v>0</v>
      </c>
      <c r="W1313" t="str">
        <f t="shared" si="137"/>
        <v/>
      </c>
      <c r="AB1313" s="28" t="str">
        <f t="shared" si="138"/>
        <v xml:space="preserve"> </v>
      </c>
      <c r="AE1313" s="61" t="str">
        <f t="shared" si="139"/>
        <v/>
      </c>
      <c r="AF1313" s="77" t="str">
        <f>_xlfn.XLOOKUP(AD1313,menu!$K$2:$K$9,menu!$J$2:$J$9,"",1)</f>
        <v/>
      </c>
      <c r="AG1313" s="80" t="str">
        <f>_xlfn.XLOOKUP(AH1313,menu!$O$2:$O$9,menu!$H$2:$H$9,"")</f>
        <v/>
      </c>
      <c r="AI1313" t="str">
        <f>_xlfn.LET(_xlpm.x,_xlfn.CONCAT(_xlfn.XLOOKUP(D1313,beans!$A$2:$A$300,beans!$J$2:$J$300,"")," / ",_xlfn.XLOOKUP(D1313,beans!$A$2:$A$300,beans!$K$2:$K$300,"")," - ",_xlfn.XLOOKUP(D1313,beans!$A$2:$A$300,beans!$L$2:$L$300,"")),IF(_xlpm.x=" /  - ","",_xlpm.x))</f>
        <v/>
      </c>
    </row>
    <row r="1314" spans="1:35" x14ac:dyDescent="0.3">
      <c r="A1314">
        <v>1297</v>
      </c>
      <c r="E1314" t="str">
        <f>_xlfn.LET(_xlpm.x,_xlfn.XLOOKUP(D1314,beans!$A$2:$A$300,beans!$H$2:$H$300,""),IF(_xlpm.x="","",_xlpm.x))</f>
        <v/>
      </c>
      <c r="F1314" s="22" t="str">
        <f>_xlfn.XLOOKUP(E1314,menu!$A$2:$A$37,menu!$B$2:$B$37,"")</f>
        <v/>
      </c>
      <c r="G1314" t="str">
        <f>_xlfn.XLOOKUP(E1314,menu!$A$2:$A$37,menu!$C$2:$C$37,"")</f>
        <v/>
      </c>
      <c r="H1314" t="str">
        <f>_xlfn.LET(_xlpm.x,_xlfn.XLOOKUP(_xlfn.XLOOKUP(D1314,beans!$A$2:$A$300,beans!$I$2:$I$300),menu!$E$2:$E$20,menu!$F$2:$F$20),IF(_xlpm.x="","",_xlpm.x))</f>
        <v/>
      </c>
      <c r="T1314" s="68" t="str">
        <f t="shared" si="140"/>
        <v/>
      </c>
      <c r="U1314" t="str">
        <f t="shared" si="136"/>
        <v/>
      </c>
      <c r="V1314">
        <f t="shared" si="141"/>
        <v>0</v>
      </c>
      <c r="W1314" t="str">
        <f t="shared" si="137"/>
        <v/>
      </c>
      <c r="AB1314" s="28" t="str">
        <f t="shared" si="138"/>
        <v xml:space="preserve"> </v>
      </c>
      <c r="AE1314" s="61" t="str">
        <f t="shared" si="139"/>
        <v/>
      </c>
      <c r="AF1314" s="77" t="str">
        <f>_xlfn.XLOOKUP(AD1314,menu!$K$2:$K$9,menu!$J$2:$J$9,"",1)</f>
        <v/>
      </c>
      <c r="AG1314" s="80" t="str">
        <f>_xlfn.XLOOKUP(AH1314,menu!$O$2:$O$9,menu!$H$2:$H$9,"")</f>
        <v/>
      </c>
      <c r="AI1314" t="str">
        <f>_xlfn.LET(_xlpm.x,_xlfn.CONCAT(_xlfn.XLOOKUP(D1314,beans!$A$2:$A$300,beans!$J$2:$J$300,"")," / ",_xlfn.XLOOKUP(D1314,beans!$A$2:$A$300,beans!$K$2:$K$300,"")," - ",_xlfn.XLOOKUP(D1314,beans!$A$2:$A$300,beans!$L$2:$L$300,"")),IF(_xlpm.x=" /  - ","",_xlpm.x))</f>
        <v/>
      </c>
    </row>
    <row r="1315" spans="1:35" x14ac:dyDescent="0.3">
      <c r="A1315">
        <v>1298</v>
      </c>
      <c r="E1315" t="str">
        <f>_xlfn.LET(_xlpm.x,_xlfn.XLOOKUP(D1315,beans!$A$2:$A$300,beans!$H$2:$H$300,""),IF(_xlpm.x="","",_xlpm.x))</f>
        <v/>
      </c>
      <c r="F1315" s="22" t="str">
        <f>_xlfn.XLOOKUP(E1315,menu!$A$2:$A$37,menu!$B$2:$B$37,"")</f>
        <v/>
      </c>
      <c r="G1315" t="str">
        <f>_xlfn.XLOOKUP(E1315,menu!$A$2:$A$37,menu!$C$2:$C$37,"")</f>
        <v/>
      </c>
      <c r="H1315" t="str">
        <f>_xlfn.LET(_xlpm.x,_xlfn.XLOOKUP(_xlfn.XLOOKUP(D1315,beans!$A$2:$A$300,beans!$I$2:$I$300),menu!$E$2:$E$20,menu!$F$2:$F$20),IF(_xlpm.x="","",_xlpm.x))</f>
        <v/>
      </c>
      <c r="T1315" s="68" t="str">
        <f t="shared" si="140"/>
        <v/>
      </c>
      <c r="U1315" t="str">
        <f t="shared" si="136"/>
        <v/>
      </c>
      <c r="V1315">
        <f t="shared" si="141"/>
        <v>0</v>
      </c>
      <c r="W1315" t="str">
        <f t="shared" si="137"/>
        <v/>
      </c>
      <c r="AB1315" s="28" t="str">
        <f t="shared" si="138"/>
        <v xml:space="preserve"> </v>
      </c>
      <c r="AE1315" s="61" t="str">
        <f t="shared" si="139"/>
        <v/>
      </c>
      <c r="AF1315" s="77" t="str">
        <f>_xlfn.XLOOKUP(AD1315,menu!$K$2:$K$9,menu!$J$2:$J$9,"",1)</f>
        <v/>
      </c>
      <c r="AG1315" s="80" t="str">
        <f>_xlfn.XLOOKUP(AH1315,menu!$O$2:$O$9,menu!$H$2:$H$9,"")</f>
        <v/>
      </c>
      <c r="AI1315" t="str">
        <f>_xlfn.LET(_xlpm.x,_xlfn.CONCAT(_xlfn.XLOOKUP(D1315,beans!$A$2:$A$300,beans!$J$2:$J$300,"")," / ",_xlfn.XLOOKUP(D1315,beans!$A$2:$A$300,beans!$K$2:$K$300,"")," - ",_xlfn.XLOOKUP(D1315,beans!$A$2:$A$300,beans!$L$2:$L$300,"")),IF(_xlpm.x=" /  - ","",_xlpm.x))</f>
        <v/>
      </c>
    </row>
    <row r="1316" spans="1:35" x14ac:dyDescent="0.3">
      <c r="A1316">
        <v>1299</v>
      </c>
      <c r="E1316" t="str">
        <f>_xlfn.LET(_xlpm.x,_xlfn.XLOOKUP(D1316,beans!$A$2:$A$300,beans!$H$2:$H$300,""),IF(_xlpm.x="","",_xlpm.x))</f>
        <v/>
      </c>
      <c r="F1316" s="22" t="str">
        <f>_xlfn.XLOOKUP(E1316,menu!$A$2:$A$37,menu!$B$2:$B$37,"")</f>
        <v/>
      </c>
      <c r="G1316" t="str">
        <f>_xlfn.XLOOKUP(E1316,menu!$A$2:$A$37,menu!$C$2:$C$37,"")</f>
        <v/>
      </c>
      <c r="H1316" t="str">
        <f>_xlfn.LET(_xlpm.x,_xlfn.XLOOKUP(_xlfn.XLOOKUP(D1316,beans!$A$2:$A$300,beans!$I$2:$I$300),menu!$E$2:$E$20,menu!$F$2:$F$20),IF(_xlpm.x="","",_xlpm.x))</f>
        <v/>
      </c>
      <c r="T1316" s="68" t="str">
        <f t="shared" si="140"/>
        <v/>
      </c>
      <c r="U1316" t="str">
        <f t="shared" si="136"/>
        <v/>
      </c>
      <c r="V1316">
        <f t="shared" si="141"/>
        <v>0</v>
      </c>
      <c r="W1316" t="str">
        <f t="shared" si="137"/>
        <v/>
      </c>
      <c r="AB1316" s="28" t="str">
        <f t="shared" si="138"/>
        <v xml:space="preserve"> </v>
      </c>
      <c r="AE1316" s="61" t="str">
        <f t="shared" si="139"/>
        <v/>
      </c>
      <c r="AF1316" s="77" t="str">
        <f>_xlfn.XLOOKUP(AD1316,menu!$K$2:$K$9,menu!$J$2:$J$9,"",1)</f>
        <v/>
      </c>
      <c r="AG1316" s="80" t="str">
        <f>_xlfn.XLOOKUP(AH1316,menu!$O$2:$O$9,menu!$H$2:$H$9,"")</f>
        <v/>
      </c>
      <c r="AI1316" t="str">
        <f>_xlfn.LET(_xlpm.x,_xlfn.CONCAT(_xlfn.XLOOKUP(D1316,beans!$A$2:$A$300,beans!$J$2:$J$300,"")," / ",_xlfn.XLOOKUP(D1316,beans!$A$2:$A$300,beans!$K$2:$K$300,"")," - ",_xlfn.XLOOKUP(D1316,beans!$A$2:$A$300,beans!$L$2:$L$300,"")),IF(_xlpm.x=" /  - ","",_xlpm.x))</f>
        <v/>
      </c>
    </row>
    <row r="1317" spans="1:35" x14ac:dyDescent="0.3">
      <c r="A1317">
        <v>1300</v>
      </c>
      <c r="E1317" t="str">
        <f>_xlfn.LET(_xlpm.x,_xlfn.XLOOKUP(D1317,beans!$A$2:$A$300,beans!$H$2:$H$300,""),IF(_xlpm.x="","",_xlpm.x))</f>
        <v/>
      </c>
      <c r="F1317" s="22" t="str">
        <f>_xlfn.XLOOKUP(E1317,menu!$A$2:$A$37,menu!$B$2:$B$37,"")</f>
        <v/>
      </c>
      <c r="G1317" t="str">
        <f>_xlfn.XLOOKUP(E1317,menu!$A$2:$A$37,menu!$C$2:$C$37,"")</f>
        <v/>
      </c>
      <c r="H1317" t="str">
        <f>_xlfn.LET(_xlpm.x,_xlfn.XLOOKUP(_xlfn.XLOOKUP(D1317,beans!$A$2:$A$300,beans!$I$2:$I$300),menu!$E$2:$E$20,menu!$F$2:$F$20),IF(_xlpm.x="","",_xlpm.x))</f>
        <v/>
      </c>
      <c r="T1317" s="68" t="str">
        <f t="shared" si="140"/>
        <v/>
      </c>
      <c r="U1317" t="str">
        <f t="shared" si="136"/>
        <v/>
      </c>
      <c r="V1317">
        <f t="shared" si="141"/>
        <v>0</v>
      </c>
      <c r="W1317" t="str">
        <f t="shared" si="137"/>
        <v/>
      </c>
      <c r="AB1317" s="28" t="str">
        <f t="shared" si="138"/>
        <v xml:space="preserve"> </v>
      </c>
      <c r="AE1317" s="61" t="str">
        <f t="shared" si="139"/>
        <v/>
      </c>
      <c r="AF1317" s="77" t="str">
        <f>_xlfn.XLOOKUP(AD1317,menu!$K$2:$K$9,menu!$J$2:$J$9,"",1)</f>
        <v/>
      </c>
      <c r="AG1317" s="80" t="str">
        <f>_xlfn.XLOOKUP(AH1317,menu!$O$2:$O$9,menu!$H$2:$H$9,"")</f>
        <v/>
      </c>
      <c r="AI1317" t="str">
        <f>_xlfn.LET(_xlpm.x,_xlfn.CONCAT(_xlfn.XLOOKUP(D1317,beans!$A$2:$A$300,beans!$J$2:$J$300,"")," / ",_xlfn.XLOOKUP(D1317,beans!$A$2:$A$300,beans!$K$2:$K$300,"")," - ",_xlfn.XLOOKUP(D1317,beans!$A$2:$A$300,beans!$L$2:$L$300,"")),IF(_xlpm.x=" /  - ","",_xlpm.x))</f>
        <v/>
      </c>
    </row>
    <row r="1318" spans="1:35" x14ac:dyDescent="0.3">
      <c r="A1318">
        <v>1301</v>
      </c>
      <c r="E1318" t="str">
        <f>_xlfn.LET(_xlpm.x,_xlfn.XLOOKUP(D1318,beans!$A$2:$A$300,beans!$H$2:$H$300,""),IF(_xlpm.x="","",_xlpm.x))</f>
        <v/>
      </c>
      <c r="F1318" s="22" t="str">
        <f>_xlfn.XLOOKUP(E1318,menu!$A$2:$A$37,menu!$B$2:$B$37,"")</f>
        <v/>
      </c>
      <c r="G1318" t="str">
        <f>_xlfn.XLOOKUP(E1318,menu!$A$2:$A$37,menu!$C$2:$C$37,"")</f>
        <v/>
      </c>
      <c r="H1318" t="str">
        <f>_xlfn.LET(_xlpm.x,_xlfn.XLOOKUP(_xlfn.XLOOKUP(D1318,beans!$A$2:$A$300,beans!$I$2:$I$300),menu!$E$2:$E$20,menu!$F$2:$F$20),IF(_xlpm.x="","",_xlpm.x))</f>
        <v/>
      </c>
      <c r="T1318" s="68" t="str">
        <f t="shared" si="140"/>
        <v/>
      </c>
      <c r="U1318" t="str">
        <f t="shared" si="136"/>
        <v/>
      </c>
      <c r="V1318">
        <f t="shared" si="141"/>
        <v>0</v>
      </c>
      <c r="W1318" t="str">
        <f t="shared" si="137"/>
        <v/>
      </c>
      <c r="AB1318" s="28" t="str">
        <f t="shared" si="138"/>
        <v xml:space="preserve"> </v>
      </c>
      <c r="AE1318" s="61" t="str">
        <f t="shared" si="139"/>
        <v/>
      </c>
      <c r="AF1318" s="77" t="str">
        <f>_xlfn.XLOOKUP(AD1318,menu!$K$2:$K$9,menu!$J$2:$J$9,"",1)</f>
        <v/>
      </c>
      <c r="AG1318" s="80" t="str">
        <f>_xlfn.XLOOKUP(AH1318,menu!$O$2:$O$9,menu!$H$2:$H$9,"")</f>
        <v/>
      </c>
      <c r="AI1318" t="str">
        <f>_xlfn.LET(_xlpm.x,_xlfn.CONCAT(_xlfn.XLOOKUP(D1318,beans!$A$2:$A$300,beans!$J$2:$J$300,"")," / ",_xlfn.XLOOKUP(D1318,beans!$A$2:$A$300,beans!$K$2:$K$300,"")," - ",_xlfn.XLOOKUP(D1318,beans!$A$2:$A$300,beans!$L$2:$L$300,"")),IF(_xlpm.x=" /  - ","",_xlpm.x))</f>
        <v/>
      </c>
    </row>
    <row r="1319" spans="1:35" x14ac:dyDescent="0.3">
      <c r="A1319">
        <v>1302</v>
      </c>
      <c r="E1319" t="str">
        <f>_xlfn.LET(_xlpm.x,_xlfn.XLOOKUP(D1319,beans!$A$2:$A$300,beans!$H$2:$H$300,""),IF(_xlpm.x="","",_xlpm.x))</f>
        <v/>
      </c>
      <c r="F1319" s="22" t="str">
        <f>_xlfn.XLOOKUP(E1319,menu!$A$2:$A$37,menu!$B$2:$B$37,"")</f>
        <v/>
      </c>
      <c r="G1319" t="str">
        <f>_xlfn.XLOOKUP(E1319,menu!$A$2:$A$37,menu!$C$2:$C$37,"")</f>
        <v/>
      </c>
      <c r="H1319" t="str">
        <f>_xlfn.LET(_xlpm.x,_xlfn.XLOOKUP(_xlfn.XLOOKUP(D1319,beans!$A$2:$A$300,beans!$I$2:$I$300),menu!$E$2:$E$20,menu!$F$2:$F$20),IF(_xlpm.x="","",_xlpm.x))</f>
        <v/>
      </c>
      <c r="T1319" s="68" t="str">
        <f t="shared" si="140"/>
        <v/>
      </c>
      <c r="U1319" t="str">
        <f t="shared" si="136"/>
        <v/>
      </c>
      <c r="V1319">
        <f t="shared" si="141"/>
        <v>0</v>
      </c>
      <c r="W1319" t="str">
        <f t="shared" si="137"/>
        <v/>
      </c>
      <c r="AB1319" s="28" t="str">
        <f t="shared" si="138"/>
        <v xml:space="preserve"> </v>
      </c>
      <c r="AE1319" s="61" t="str">
        <f t="shared" si="139"/>
        <v/>
      </c>
      <c r="AF1319" s="77" t="str">
        <f>_xlfn.XLOOKUP(AD1319,menu!$K$2:$K$9,menu!$J$2:$J$9,"",1)</f>
        <v/>
      </c>
      <c r="AG1319" s="80" t="str">
        <f>_xlfn.XLOOKUP(AH1319,menu!$O$2:$O$9,menu!$H$2:$H$9,"")</f>
        <v/>
      </c>
      <c r="AI1319" t="str">
        <f>_xlfn.LET(_xlpm.x,_xlfn.CONCAT(_xlfn.XLOOKUP(D1319,beans!$A$2:$A$300,beans!$J$2:$J$300,"")," / ",_xlfn.XLOOKUP(D1319,beans!$A$2:$A$300,beans!$K$2:$K$300,"")," - ",_xlfn.XLOOKUP(D1319,beans!$A$2:$A$300,beans!$L$2:$L$300,"")),IF(_xlpm.x=" /  - ","",_xlpm.x))</f>
        <v/>
      </c>
    </row>
    <row r="1320" spans="1:35" x14ac:dyDescent="0.3">
      <c r="A1320">
        <v>1303</v>
      </c>
      <c r="E1320" t="str">
        <f>_xlfn.LET(_xlpm.x,_xlfn.XLOOKUP(D1320,beans!$A$2:$A$300,beans!$H$2:$H$300,""),IF(_xlpm.x="","",_xlpm.x))</f>
        <v/>
      </c>
      <c r="F1320" s="22" t="str">
        <f>_xlfn.XLOOKUP(E1320,menu!$A$2:$A$37,menu!$B$2:$B$37,"")</f>
        <v/>
      </c>
      <c r="G1320" t="str">
        <f>_xlfn.XLOOKUP(E1320,menu!$A$2:$A$37,menu!$C$2:$C$37,"")</f>
        <v/>
      </c>
      <c r="H1320" t="str">
        <f>_xlfn.LET(_xlpm.x,_xlfn.XLOOKUP(_xlfn.XLOOKUP(D1320,beans!$A$2:$A$300,beans!$I$2:$I$300),menu!$E$2:$E$20,menu!$F$2:$F$20),IF(_xlpm.x="","",_xlpm.x))</f>
        <v/>
      </c>
      <c r="T1320" s="68" t="str">
        <f t="shared" si="140"/>
        <v/>
      </c>
      <c r="U1320" t="str">
        <f t="shared" si="136"/>
        <v/>
      </c>
      <c r="V1320">
        <f t="shared" si="141"/>
        <v>0</v>
      </c>
      <c r="W1320" t="str">
        <f t="shared" si="137"/>
        <v/>
      </c>
      <c r="AB1320" s="28" t="str">
        <f t="shared" si="138"/>
        <v xml:space="preserve"> </v>
      </c>
      <c r="AE1320" s="61" t="str">
        <f t="shared" si="139"/>
        <v/>
      </c>
      <c r="AF1320" s="77" t="str">
        <f>_xlfn.XLOOKUP(AD1320,menu!$K$2:$K$9,menu!$J$2:$J$9,"",1)</f>
        <v/>
      </c>
      <c r="AG1320" s="80" t="str">
        <f>_xlfn.XLOOKUP(AH1320,menu!$O$2:$O$9,menu!$H$2:$H$9,"")</f>
        <v/>
      </c>
      <c r="AI1320" t="str">
        <f>_xlfn.LET(_xlpm.x,_xlfn.CONCAT(_xlfn.XLOOKUP(D1320,beans!$A$2:$A$300,beans!$J$2:$J$300,"")," / ",_xlfn.XLOOKUP(D1320,beans!$A$2:$A$300,beans!$K$2:$K$300,"")," - ",_xlfn.XLOOKUP(D1320,beans!$A$2:$A$300,beans!$L$2:$L$300,"")),IF(_xlpm.x=" /  - ","",_xlpm.x))</f>
        <v/>
      </c>
    </row>
    <row r="1321" spans="1:35" x14ac:dyDescent="0.3">
      <c r="A1321">
        <v>1304</v>
      </c>
      <c r="E1321" t="str">
        <f>_xlfn.LET(_xlpm.x,_xlfn.XLOOKUP(D1321,beans!$A$2:$A$300,beans!$H$2:$H$300,""),IF(_xlpm.x="","",_xlpm.x))</f>
        <v/>
      </c>
      <c r="F1321" s="22" t="str">
        <f>_xlfn.XLOOKUP(E1321,menu!$A$2:$A$37,menu!$B$2:$B$37,"")</f>
        <v/>
      </c>
      <c r="G1321" t="str">
        <f>_xlfn.XLOOKUP(E1321,menu!$A$2:$A$37,menu!$C$2:$C$37,"")</f>
        <v/>
      </c>
      <c r="H1321" t="str">
        <f>_xlfn.LET(_xlpm.x,_xlfn.XLOOKUP(_xlfn.XLOOKUP(D1321,beans!$A$2:$A$300,beans!$I$2:$I$300),menu!$E$2:$E$20,menu!$F$2:$F$20),IF(_xlpm.x="","",_xlpm.x))</f>
        <v/>
      </c>
      <c r="T1321" s="68" t="str">
        <f t="shared" si="140"/>
        <v/>
      </c>
      <c r="U1321" t="str">
        <f t="shared" si="136"/>
        <v/>
      </c>
      <c r="V1321">
        <f t="shared" si="141"/>
        <v>0</v>
      </c>
      <c r="W1321" t="str">
        <f t="shared" si="137"/>
        <v/>
      </c>
      <c r="AB1321" s="28" t="str">
        <f t="shared" si="138"/>
        <v xml:space="preserve"> </v>
      </c>
      <c r="AE1321" s="61" t="str">
        <f t="shared" si="139"/>
        <v/>
      </c>
      <c r="AF1321" s="77" t="str">
        <f>_xlfn.XLOOKUP(AD1321,menu!$K$2:$K$9,menu!$J$2:$J$9,"",1)</f>
        <v/>
      </c>
      <c r="AG1321" s="80" t="str">
        <f>_xlfn.XLOOKUP(AH1321,menu!$O$2:$O$9,menu!$H$2:$H$9,"")</f>
        <v/>
      </c>
      <c r="AI1321" t="str">
        <f>_xlfn.LET(_xlpm.x,_xlfn.CONCAT(_xlfn.XLOOKUP(D1321,beans!$A$2:$A$300,beans!$J$2:$J$300,"")," / ",_xlfn.XLOOKUP(D1321,beans!$A$2:$A$300,beans!$K$2:$K$300,"")," - ",_xlfn.XLOOKUP(D1321,beans!$A$2:$A$300,beans!$L$2:$L$300,"")),IF(_xlpm.x=" /  - ","",_xlpm.x))</f>
        <v/>
      </c>
    </row>
    <row r="1322" spans="1:35" x14ac:dyDescent="0.3">
      <c r="A1322">
        <v>1305</v>
      </c>
      <c r="E1322" t="str">
        <f>_xlfn.LET(_xlpm.x,_xlfn.XLOOKUP(D1322,beans!$A$2:$A$300,beans!$H$2:$H$300,""),IF(_xlpm.x="","",_xlpm.x))</f>
        <v/>
      </c>
      <c r="F1322" s="22" t="str">
        <f>_xlfn.XLOOKUP(E1322,menu!$A$2:$A$37,menu!$B$2:$B$37,"")</f>
        <v/>
      </c>
      <c r="G1322" t="str">
        <f>_xlfn.XLOOKUP(E1322,menu!$A$2:$A$37,menu!$C$2:$C$37,"")</f>
        <v/>
      </c>
      <c r="H1322" t="str">
        <f>_xlfn.LET(_xlpm.x,_xlfn.XLOOKUP(_xlfn.XLOOKUP(D1322,beans!$A$2:$A$300,beans!$I$2:$I$300),menu!$E$2:$E$20,menu!$F$2:$F$20),IF(_xlpm.x="","",_xlpm.x))</f>
        <v/>
      </c>
      <c r="T1322" s="68" t="str">
        <f t="shared" si="140"/>
        <v/>
      </c>
      <c r="U1322" t="str">
        <f t="shared" si="136"/>
        <v/>
      </c>
      <c r="V1322">
        <f t="shared" si="141"/>
        <v>0</v>
      </c>
      <c r="W1322" t="str">
        <f t="shared" si="137"/>
        <v/>
      </c>
      <c r="AB1322" s="28" t="str">
        <f t="shared" si="138"/>
        <v xml:space="preserve"> </v>
      </c>
      <c r="AE1322" s="61" t="str">
        <f t="shared" si="139"/>
        <v/>
      </c>
      <c r="AF1322" s="77" t="str">
        <f>_xlfn.XLOOKUP(AD1322,menu!$K$2:$K$9,menu!$J$2:$J$9,"",1)</f>
        <v/>
      </c>
      <c r="AG1322" s="80" t="str">
        <f>_xlfn.XLOOKUP(AH1322,menu!$O$2:$O$9,menu!$H$2:$H$9,"")</f>
        <v/>
      </c>
      <c r="AI1322" t="str">
        <f>_xlfn.LET(_xlpm.x,_xlfn.CONCAT(_xlfn.XLOOKUP(D1322,beans!$A$2:$A$300,beans!$J$2:$J$300,"")," / ",_xlfn.XLOOKUP(D1322,beans!$A$2:$A$300,beans!$K$2:$K$300,"")," - ",_xlfn.XLOOKUP(D1322,beans!$A$2:$A$300,beans!$L$2:$L$300,"")),IF(_xlpm.x=" /  - ","",_xlpm.x))</f>
        <v/>
      </c>
    </row>
    <row r="1323" spans="1:35" x14ac:dyDescent="0.3">
      <c r="A1323">
        <v>1306</v>
      </c>
      <c r="E1323" t="str">
        <f>_xlfn.LET(_xlpm.x,_xlfn.XLOOKUP(D1323,beans!$A$2:$A$300,beans!$H$2:$H$300,""),IF(_xlpm.x="","",_xlpm.x))</f>
        <v/>
      </c>
      <c r="F1323" s="22" t="str">
        <f>_xlfn.XLOOKUP(E1323,menu!$A$2:$A$37,menu!$B$2:$B$37,"")</f>
        <v/>
      </c>
      <c r="G1323" t="str">
        <f>_xlfn.XLOOKUP(E1323,menu!$A$2:$A$37,menu!$C$2:$C$37,"")</f>
        <v/>
      </c>
      <c r="H1323" t="str">
        <f>_xlfn.LET(_xlpm.x,_xlfn.XLOOKUP(_xlfn.XLOOKUP(D1323,beans!$A$2:$A$300,beans!$I$2:$I$300),menu!$E$2:$E$20,menu!$F$2:$F$20),IF(_xlpm.x="","",_xlpm.x))</f>
        <v/>
      </c>
      <c r="T1323" s="68" t="str">
        <f t="shared" si="140"/>
        <v/>
      </c>
      <c r="U1323" t="str">
        <f t="shared" si="136"/>
        <v/>
      </c>
      <c r="V1323">
        <f t="shared" si="141"/>
        <v>0</v>
      </c>
      <c r="W1323" t="str">
        <f t="shared" si="137"/>
        <v/>
      </c>
      <c r="AB1323" s="28" t="str">
        <f t="shared" si="138"/>
        <v xml:space="preserve"> </v>
      </c>
      <c r="AE1323" s="61" t="str">
        <f t="shared" si="139"/>
        <v/>
      </c>
      <c r="AF1323" s="77" t="str">
        <f>_xlfn.XLOOKUP(AD1323,menu!$K$2:$K$9,menu!$J$2:$J$9,"",1)</f>
        <v/>
      </c>
      <c r="AG1323" s="80" t="str">
        <f>_xlfn.XLOOKUP(AH1323,menu!$O$2:$O$9,menu!$H$2:$H$9,"")</f>
        <v/>
      </c>
      <c r="AI1323" t="str">
        <f>_xlfn.LET(_xlpm.x,_xlfn.CONCAT(_xlfn.XLOOKUP(D1323,beans!$A$2:$A$300,beans!$J$2:$J$300,"")," / ",_xlfn.XLOOKUP(D1323,beans!$A$2:$A$300,beans!$K$2:$K$300,"")," - ",_xlfn.XLOOKUP(D1323,beans!$A$2:$A$300,beans!$L$2:$L$300,"")),IF(_xlpm.x=" /  - ","",_xlpm.x))</f>
        <v/>
      </c>
    </row>
    <row r="1324" spans="1:35" x14ac:dyDescent="0.3">
      <c r="A1324">
        <v>1307</v>
      </c>
      <c r="E1324" t="str">
        <f>_xlfn.LET(_xlpm.x,_xlfn.XLOOKUP(D1324,beans!$A$2:$A$300,beans!$H$2:$H$300,""),IF(_xlpm.x="","",_xlpm.x))</f>
        <v/>
      </c>
      <c r="F1324" s="22" t="str">
        <f>_xlfn.XLOOKUP(E1324,menu!$A$2:$A$37,menu!$B$2:$B$37,"")</f>
        <v/>
      </c>
      <c r="G1324" t="str">
        <f>_xlfn.XLOOKUP(E1324,menu!$A$2:$A$37,menu!$C$2:$C$37,"")</f>
        <v/>
      </c>
      <c r="H1324" t="str">
        <f>_xlfn.LET(_xlpm.x,_xlfn.XLOOKUP(_xlfn.XLOOKUP(D1324,beans!$A$2:$A$300,beans!$I$2:$I$300),menu!$E$2:$E$20,menu!$F$2:$F$20),IF(_xlpm.x="","",_xlpm.x))</f>
        <v/>
      </c>
      <c r="T1324" s="68" t="str">
        <f t="shared" si="140"/>
        <v/>
      </c>
      <c r="U1324" t="str">
        <f t="shared" si="136"/>
        <v/>
      </c>
      <c r="V1324">
        <f t="shared" si="141"/>
        <v>0</v>
      </c>
      <c r="W1324" t="str">
        <f t="shared" si="137"/>
        <v/>
      </c>
      <c r="AB1324" s="28" t="str">
        <f t="shared" si="138"/>
        <v xml:space="preserve"> </v>
      </c>
      <c r="AE1324" s="61" t="str">
        <f t="shared" si="139"/>
        <v/>
      </c>
      <c r="AF1324" s="77" t="str">
        <f>_xlfn.XLOOKUP(AD1324,menu!$K$2:$K$9,menu!$J$2:$J$9,"",1)</f>
        <v/>
      </c>
      <c r="AG1324" s="80" t="str">
        <f>_xlfn.XLOOKUP(AH1324,menu!$O$2:$O$9,menu!$H$2:$H$9,"")</f>
        <v/>
      </c>
      <c r="AI1324" t="str">
        <f>_xlfn.LET(_xlpm.x,_xlfn.CONCAT(_xlfn.XLOOKUP(D1324,beans!$A$2:$A$300,beans!$J$2:$J$300,"")," / ",_xlfn.XLOOKUP(D1324,beans!$A$2:$A$300,beans!$K$2:$K$300,"")," - ",_xlfn.XLOOKUP(D1324,beans!$A$2:$A$300,beans!$L$2:$L$300,"")),IF(_xlpm.x=" /  - ","",_xlpm.x))</f>
        <v/>
      </c>
    </row>
    <row r="1325" spans="1:35" x14ac:dyDescent="0.3">
      <c r="A1325">
        <v>1308</v>
      </c>
      <c r="E1325" t="str">
        <f>_xlfn.LET(_xlpm.x,_xlfn.XLOOKUP(D1325,beans!$A$2:$A$300,beans!$H$2:$H$300,""),IF(_xlpm.x="","",_xlpm.x))</f>
        <v/>
      </c>
      <c r="F1325" s="22" t="str">
        <f>_xlfn.XLOOKUP(E1325,menu!$A$2:$A$37,menu!$B$2:$B$37,"")</f>
        <v/>
      </c>
      <c r="G1325" t="str">
        <f>_xlfn.XLOOKUP(E1325,menu!$A$2:$A$37,menu!$C$2:$C$37,"")</f>
        <v/>
      </c>
      <c r="H1325" t="str">
        <f>_xlfn.LET(_xlpm.x,_xlfn.XLOOKUP(_xlfn.XLOOKUP(D1325,beans!$A$2:$A$300,beans!$I$2:$I$300),menu!$E$2:$E$20,menu!$F$2:$F$20),IF(_xlpm.x="","",_xlpm.x))</f>
        <v/>
      </c>
      <c r="T1325" s="68" t="str">
        <f t="shared" si="140"/>
        <v/>
      </c>
      <c r="U1325" t="str">
        <f t="shared" si="136"/>
        <v/>
      </c>
      <c r="V1325">
        <f t="shared" si="141"/>
        <v>0</v>
      </c>
      <c r="W1325" t="str">
        <f t="shared" si="137"/>
        <v/>
      </c>
      <c r="AB1325" s="28" t="str">
        <f t="shared" si="138"/>
        <v xml:space="preserve"> </v>
      </c>
      <c r="AE1325" s="61" t="str">
        <f t="shared" si="139"/>
        <v/>
      </c>
      <c r="AF1325" s="77" t="str">
        <f>_xlfn.XLOOKUP(AD1325,menu!$K$2:$K$9,menu!$J$2:$J$9,"",1)</f>
        <v/>
      </c>
      <c r="AG1325" s="80" t="str">
        <f>_xlfn.XLOOKUP(AH1325,menu!$O$2:$O$9,menu!$H$2:$H$9,"")</f>
        <v/>
      </c>
      <c r="AI1325" t="str">
        <f>_xlfn.LET(_xlpm.x,_xlfn.CONCAT(_xlfn.XLOOKUP(D1325,beans!$A$2:$A$300,beans!$J$2:$J$300,"")," / ",_xlfn.XLOOKUP(D1325,beans!$A$2:$A$300,beans!$K$2:$K$300,"")," - ",_xlfn.XLOOKUP(D1325,beans!$A$2:$A$300,beans!$L$2:$L$300,"")),IF(_xlpm.x=" /  - ","",_xlpm.x))</f>
        <v/>
      </c>
    </row>
    <row r="1326" spans="1:35" x14ac:dyDescent="0.3">
      <c r="A1326">
        <v>1309</v>
      </c>
      <c r="E1326" t="str">
        <f>_xlfn.LET(_xlpm.x,_xlfn.XLOOKUP(D1326,beans!$A$2:$A$300,beans!$H$2:$H$300,""),IF(_xlpm.x="","",_xlpm.x))</f>
        <v/>
      </c>
      <c r="F1326" s="22" t="str">
        <f>_xlfn.XLOOKUP(E1326,menu!$A$2:$A$37,menu!$B$2:$B$37,"")</f>
        <v/>
      </c>
      <c r="G1326" t="str">
        <f>_xlfn.XLOOKUP(E1326,menu!$A$2:$A$37,menu!$C$2:$C$37,"")</f>
        <v/>
      </c>
      <c r="H1326" t="str">
        <f>_xlfn.LET(_xlpm.x,_xlfn.XLOOKUP(_xlfn.XLOOKUP(D1326,beans!$A$2:$A$300,beans!$I$2:$I$300),menu!$E$2:$E$20,menu!$F$2:$F$20),IF(_xlpm.x="","",_xlpm.x))</f>
        <v/>
      </c>
      <c r="T1326" s="68" t="str">
        <f t="shared" si="140"/>
        <v/>
      </c>
      <c r="U1326" t="str">
        <f t="shared" si="136"/>
        <v/>
      </c>
      <c r="V1326">
        <f t="shared" si="141"/>
        <v>0</v>
      </c>
      <c r="W1326" t="str">
        <f t="shared" si="137"/>
        <v/>
      </c>
      <c r="AB1326" s="28" t="str">
        <f t="shared" si="138"/>
        <v xml:space="preserve"> </v>
      </c>
      <c r="AE1326" s="61" t="str">
        <f t="shared" si="139"/>
        <v/>
      </c>
      <c r="AF1326" s="77" t="str">
        <f>_xlfn.XLOOKUP(AD1326,menu!$K$2:$K$9,menu!$J$2:$J$9,"",1)</f>
        <v/>
      </c>
      <c r="AG1326" s="80" t="str">
        <f>_xlfn.XLOOKUP(AH1326,menu!$O$2:$O$9,menu!$H$2:$H$9,"")</f>
        <v/>
      </c>
      <c r="AI1326" t="str">
        <f>_xlfn.LET(_xlpm.x,_xlfn.CONCAT(_xlfn.XLOOKUP(D1326,beans!$A$2:$A$300,beans!$J$2:$J$300,"")," / ",_xlfn.XLOOKUP(D1326,beans!$A$2:$A$300,beans!$K$2:$K$300,"")," - ",_xlfn.XLOOKUP(D1326,beans!$A$2:$A$300,beans!$L$2:$L$300,"")),IF(_xlpm.x=" /  - ","",_xlpm.x))</f>
        <v/>
      </c>
    </row>
    <row r="1327" spans="1:35" x14ac:dyDescent="0.3">
      <c r="A1327">
        <v>1310</v>
      </c>
      <c r="E1327" t="str">
        <f>_xlfn.LET(_xlpm.x,_xlfn.XLOOKUP(D1327,beans!$A$2:$A$300,beans!$H$2:$H$300,""),IF(_xlpm.x="","",_xlpm.x))</f>
        <v/>
      </c>
      <c r="F1327" s="22" t="str">
        <f>_xlfn.XLOOKUP(E1327,menu!$A$2:$A$37,menu!$B$2:$B$37,"")</f>
        <v/>
      </c>
      <c r="G1327" t="str">
        <f>_xlfn.XLOOKUP(E1327,menu!$A$2:$A$37,menu!$C$2:$C$37,"")</f>
        <v/>
      </c>
      <c r="H1327" t="str">
        <f>_xlfn.LET(_xlpm.x,_xlfn.XLOOKUP(_xlfn.XLOOKUP(D1327,beans!$A$2:$A$300,beans!$I$2:$I$300),menu!$E$2:$E$20,menu!$F$2:$F$20),IF(_xlpm.x="","",_xlpm.x))</f>
        <v/>
      </c>
      <c r="T1327" s="68" t="str">
        <f t="shared" si="140"/>
        <v/>
      </c>
      <c r="U1327" t="str">
        <f t="shared" si="136"/>
        <v/>
      </c>
      <c r="V1327">
        <f t="shared" si="141"/>
        <v>0</v>
      </c>
      <c r="W1327" t="str">
        <f t="shared" si="137"/>
        <v/>
      </c>
      <c r="AB1327" s="28" t="str">
        <f t="shared" si="138"/>
        <v xml:space="preserve"> </v>
      </c>
      <c r="AE1327" s="61" t="str">
        <f t="shared" si="139"/>
        <v/>
      </c>
      <c r="AF1327" s="77" t="str">
        <f>_xlfn.XLOOKUP(AD1327,menu!$K$2:$K$9,menu!$J$2:$J$9,"",1)</f>
        <v/>
      </c>
      <c r="AG1327" s="80" t="str">
        <f>_xlfn.XLOOKUP(AH1327,menu!$O$2:$O$9,menu!$H$2:$H$9,"")</f>
        <v/>
      </c>
      <c r="AI1327" t="str">
        <f>_xlfn.LET(_xlpm.x,_xlfn.CONCAT(_xlfn.XLOOKUP(D1327,beans!$A$2:$A$300,beans!$J$2:$J$300,"")," / ",_xlfn.XLOOKUP(D1327,beans!$A$2:$A$300,beans!$K$2:$K$300,"")," - ",_xlfn.XLOOKUP(D1327,beans!$A$2:$A$300,beans!$L$2:$L$300,"")),IF(_xlpm.x=" /  - ","",_xlpm.x))</f>
        <v/>
      </c>
    </row>
    <row r="1328" spans="1:35" x14ac:dyDescent="0.3">
      <c r="A1328">
        <v>1311</v>
      </c>
      <c r="E1328" t="str">
        <f>_xlfn.LET(_xlpm.x,_xlfn.XLOOKUP(D1328,beans!$A$2:$A$300,beans!$H$2:$H$300,""),IF(_xlpm.x="","",_xlpm.x))</f>
        <v/>
      </c>
      <c r="F1328" s="22" t="str">
        <f>_xlfn.XLOOKUP(E1328,menu!$A$2:$A$37,menu!$B$2:$B$37,"")</f>
        <v/>
      </c>
      <c r="G1328" t="str">
        <f>_xlfn.XLOOKUP(E1328,menu!$A$2:$A$37,menu!$C$2:$C$37,"")</f>
        <v/>
      </c>
      <c r="H1328" t="str">
        <f>_xlfn.LET(_xlpm.x,_xlfn.XLOOKUP(_xlfn.XLOOKUP(D1328,beans!$A$2:$A$300,beans!$I$2:$I$300),menu!$E$2:$E$20,menu!$F$2:$F$20),IF(_xlpm.x="","",_xlpm.x))</f>
        <v/>
      </c>
      <c r="T1328" s="68" t="str">
        <f t="shared" si="140"/>
        <v/>
      </c>
      <c r="U1328" t="str">
        <f t="shared" si="136"/>
        <v/>
      </c>
      <c r="V1328">
        <f t="shared" si="141"/>
        <v>0</v>
      </c>
      <c r="W1328" t="str">
        <f t="shared" si="137"/>
        <v/>
      </c>
      <c r="AB1328" s="28" t="str">
        <f t="shared" si="138"/>
        <v xml:space="preserve"> </v>
      </c>
      <c r="AE1328" s="61" t="str">
        <f t="shared" si="139"/>
        <v/>
      </c>
      <c r="AF1328" s="77" t="str">
        <f>_xlfn.XLOOKUP(AD1328,menu!$K$2:$K$9,menu!$J$2:$J$9,"",1)</f>
        <v/>
      </c>
      <c r="AG1328" s="80" t="str">
        <f>_xlfn.XLOOKUP(AH1328,menu!$O$2:$O$9,menu!$H$2:$H$9,"")</f>
        <v/>
      </c>
      <c r="AI1328" t="str">
        <f>_xlfn.LET(_xlpm.x,_xlfn.CONCAT(_xlfn.XLOOKUP(D1328,beans!$A$2:$A$300,beans!$J$2:$J$300,"")," / ",_xlfn.XLOOKUP(D1328,beans!$A$2:$A$300,beans!$K$2:$K$300,"")," - ",_xlfn.XLOOKUP(D1328,beans!$A$2:$A$300,beans!$L$2:$L$300,"")),IF(_xlpm.x=" /  - ","",_xlpm.x))</f>
        <v/>
      </c>
    </row>
    <row r="1329" spans="1:35" x14ac:dyDescent="0.3">
      <c r="A1329">
        <v>1312</v>
      </c>
      <c r="E1329" t="str">
        <f>_xlfn.LET(_xlpm.x,_xlfn.XLOOKUP(D1329,beans!$A$2:$A$300,beans!$H$2:$H$300,""),IF(_xlpm.x="","",_xlpm.x))</f>
        <v/>
      </c>
      <c r="F1329" s="22" t="str">
        <f>_xlfn.XLOOKUP(E1329,menu!$A$2:$A$37,menu!$B$2:$B$37,"")</f>
        <v/>
      </c>
      <c r="G1329" t="str">
        <f>_xlfn.XLOOKUP(E1329,menu!$A$2:$A$37,menu!$C$2:$C$37,"")</f>
        <v/>
      </c>
      <c r="H1329" t="str">
        <f>_xlfn.LET(_xlpm.x,_xlfn.XLOOKUP(_xlfn.XLOOKUP(D1329,beans!$A$2:$A$300,beans!$I$2:$I$300),menu!$E$2:$E$20,menu!$F$2:$F$20),IF(_xlpm.x="","",_xlpm.x))</f>
        <v/>
      </c>
      <c r="T1329" s="68" t="str">
        <f t="shared" si="140"/>
        <v/>
      </c>
      <c r="U1329" t="str">
        <f t="shared" si="136"/>
        <v/>
      </c>
      <c r="V1329">
        <f t="shared" si="141"/>
        <v>0</v>
      </c>
      <c r="W1329" t="str">
        <f t="shared" si="137"/>
        <v/>
      </c>
      <c r="AB1329" s="28" t="str">
        <f t="shared" si="138"/>
        <v xml:space="preserve"> </v>
      </c>
      <c r="AE1329" s="61" t="str">
        <f t="shared" si="139"/>
        <v/>
      </c>
      <c r="AF1329" s="77" t="str">
        <f>_xlfn.XLOOKUP(AD1329,menu!$K$2:$K$9,menu!$J$2:$J$9,"",1)</f>
        <v/>
      </c>
      <c r="AG1329" s="80" t="str">
        <f>_xlfn.XLOOKUP(AH1329,menu!$O$2:$O$9,menu!$H$2:$H$9,"")</f>
        <v/>
      </c>
      <c r="AI1329" t="str">
        <f>_xlfn.LET(_xlpm.x,_xlfn.CONCAT(_xlfn.XLOOKUP(D1329,beans!$A$2:$A$300,beans!$J$2:$J$300,"")," / ",_xlfn.XLOOKUP(D1329,beans!$A$2:$A$300,beans!$K$2:$K$300,"")," - ",_xlfn.XLOOKUP(D1329,beans!$A$2:$A$300,beans!$L$2:$L$300,"")),IF(_xlpm.x=" /  - ","",_xlpm.x))</f>
        <v/>
      </c>
    </row>
    <row r="1330" spans="1:35" x14ac:dyDescent="0.3">
      <c r="A1330">
        <v>1313</v>
      </c>
      <c r="E1330" t="str">
        <f>_xlfn.LET(_xlpm.x,_xlfn.XLOOKUP(D1330,beans!$A$2:$A$300,beans!$H$2:$H$300,""),IF(_xlpm.x="","",_xlpm.x))</f>
        <v/>
      </c>
      <c r="F1330" s="22" t="str">
        <f>_xlfn.XLOOKUP(E1330,menu!$A$2:$A$37,menu!$B$2:$B$37,"")</f>
        <v/>
      </c>
      <c r="G1330" t="str">
        <f>_xlfn.XLOOKUP(E1330,menu!$A$2:$A$37,menu!$C$2:$C$37,"")</f>
        <v/>
      </c>
      <c r="H1330" t="str">
        <f>_xlfn.LET(_xlpm.x,_xlfn.XLOOKUP(_xlfn.XLOOKUP(D1330,beans!$A$2:$A$300,beans!$I$2:$I$300),menu!$E$2:$E$20,menu!$F$2:$F$20),IF(_xlpm.x="","",_xlpm.x))</f>
        <v/>
      </c>
      <c r="T1330" s="68" t="str">
        <f t="shared" si="140"/>
        <v/>
      </c>
      <c r="U1330" t="str">
        <f t="shared" si="136"/>
        <v/>
      </c>
      <c r="V1330">
        <f t="shared" si="141"/>
        <v>0</v>
      </c>
      <c r="W1330" t="str">
        <f t="shared" si="137"/>
        <v/>
      </c>
      <c r="AB1330" s="28" t="str">
        <f t="shared" si="138"/>
        <v xml:space="preserve"> </v>
      </c>
      <c r="AE1330" s="61" t="str">
        <f t="shared" si="139"/>
        <v/>
      </c>
      <c r="AF1330" s="77" t="str">
        <f>_xlfn.XLOOKUP(AD1330,menu!$K$2:$K$9,menu!$J$2:$J$9,"",1)</f>
        <v/>
      </c>
      <c r="AG1330" s="80" t="str">
        <f>_xlfn.XLOOKUP(AH1330,menu!$O$2:$O$9,menu!$H$2:$H$9,"")</f>
        <v/>
      </c>
      <c r="AI1330" t="str">
        <f>_xlfn.LET(_xlpm.x,_xlfn.CONCAT(_xlfn.XLOOKUP(D1330,beans!$A$2:$A$300,beans!$J$2:$J$300,"")," / ",_xlfn.XLOOKUP(D1330,beans!$A$2:$A$300,beans!$K$2:$K$300,"")," - ",_xlfn.XLOOKUP(D1330,beans!$A$2:$A$300,beans!$L$2:$L$300,"")),IF(_xlpm.x=" /  - ","",_xlpm.x))</f>
        <v/>
      </c>
    </row>
    <row r="1331" spans="1:35" x14ac:dyDescent="0.3">
      <c r="A1331">
        <v>1314</v>
      </c>
      <c r="E1331" t="str">
        <f>_xlfn.LET(_xlpm.x,_xlfn.XLOOKUP(D1331,beans!$A$2:$A$300,beans!$H$2:$H$300,""),IF(_xlpm.x="","",_xlpm.x))</f>
        <v/>
      </c>
      <c r="F1331" s="22" t="str">
        <f>_xlfn.XLOOKUP(E1331,menu!$A$2:$A$37,menu!$B$2:$B$37,"")</f>
        <v/>
      </c>
      <c r="G1331" t="str">
        <f>_xlfn.XLOOKUP(E1331,menu!$A$2:$A$37,menu!$C$2:$C$37,"")</f>
        <v/>
      </c>
      <c r="H1331" t="str">
        <f>_xlfn.LET(_xlpm.x,_xlfn.XLOOKUP(_xlfn.XLOOKUP(D1331,beans!$A$2:$A$300,beans!$I$2:$I$300),menu!$E$2:$E$20,menu!$F$2:$F$20),IF(_xlpm.x="","",_xlpm.x))</f>
        <v/>
      </c>
      <c r="T1331" s="68" t="str">
        <f t="shared" si="140"/>
        <v/>
      </c>
      <c r="U1331" t="str">
        <f t="shared" si="136"/>
        <v/>
      </c>
      <c r="V1331">
        <f t="shared" si="141"/>
        <v>0</v>
      </c>
      <c r="W1331" t="str">
        <f t="shared" si="137"/>
        <v/>
      </c>
      <c r="AB1331" s="28" t="str">
        <f t="shared" si="138"/>
        <v xml:space="preserve"> </v>
      </c>
      <c r="AE1331" s="61" t="str">
        <f t="shared" si="139"/>
        <v/>
      </c>
      <c r="AF1331" s="77" t="str">
        <f>_xlfn.XLOOKUP(AD1331,menu!$K$2:$K$9,menu!$J$2:$J$9,"",1)</f>
        <v/>
      </c>
      <c r="AG1331" s="80" t="str">
        <f>_xlfn.XLOOKUP(AH1331,menu!$O$2:$O$9,menu!$H$2:$H$9,"")</f>
        <v/>
      </c>
      <c r="AI1331" t="str">
        <f>_xlfn.LET(_xlpm.x,_xlfn.CONCAT(_xlfn.XLOOKUP(D1331,beans!$A$2:$A$300,beans!$J$2:$J$300,"")," / ",_xlfn.XLOOKUP(D1331,beans!$A$2:$A$300,beans!$K$2:$K$300,"")," - ",_xlfn.XLOOKUP(D1331,beans!$A$2:$A$300,beans!$L$2:$L$300,"")),IF(_xlpm.x=" /  - ","",_xlpm.x))</f>
        <v/>
      </c>
    </row>
    <row r="1332" spans="1:35" x14ac:dyDescent="0.3">
      <c r="A1332">
        <v>1315</v>
      </c>
      <c r="E1332" t="str">
        <f>_xlfn.LET(_xlpm.x,_xlfn.XLOOKUP(D1332,beans!$A$2:$A$300,beans!$H$2:$H$300,""),IF(_xlpm.x="","",_xlpm.x))</f>
        <v/>
      </c>
      <c r="F1332" s="22" t="str">
        <f>_xlfn.XLOOKUP(E1332,menu!$A$2:$A$37,menu!$B$2:$B$37,"")</f>
        <v/>
      </c>
      <c r="G1332" t="str">
        <f>_xlfn.XLOOKUP(E1332,menu!$A$2:$A$37,menu!$C$2:$C$37,"")</f>
        <v/>
      </c>
      <c r="H1332" t="str">
        <f>_xlfn.LET(_xlpm.x,_xlfn.XLOOKUP(_xlfn.XLOOKUP(D1332,beans!$A$2:$A$300,beans!$I$2:$I$300),menu!$E$2:$E$20,menu!$F$2:$F$20),IF(_xlpm.x="","",_xlpm.x))</f>
        <v/>
      </c>
      <c r="T1332" s="68" t="str">
        <f t="shared" si="140"/>
        <v/>
      </c>
      <c r="U1332" t="str">
        <f t="shared" si="136"/>
        <v/>
      </c>
      <c r="V1332">
        <f t="shared" si="141"/>
        <v>0</v>
      </c>
      <c r="W1332" t="str">
        <f t="shared" si="137"/>
        <v/>
      </c>
      <c r="AB1332" s="28" t="str">
        <f t="shared" si="138"/>
        <v xml:space="preserve"> </v>
      </c>
      <c r="AE1332" s="61" t="str">
        <f t="shared" si="139"/>
        <v/>
      </c>
      <c r="AF1332" s="77" t="str">
        <f>_xlfn.XLOOKUP(AD1332,menu!$K$2:$K$9,menu!$J$2:$J$9,"",1)</f>
        <v/>
      </c>
      <c r="AG1332" s="80" t="str">
        <f>_xlfn.XLOOKUP(AH1332,menu!$O$2:$O$9,menu!$H$2:$H$9,"")</f>
        <v/>
      </c>
      <c r="AI1332" t="str">
        <f>_xlfn.LET(_xlpm.x,_xlfn.CONCAT(_xlfn.XLOOKUP(D1332,beans!$A$2:$A$300,beans!$J$2:$J$300,"")," / ",_xlfn.XLOOKUP(D1332,beans!$A$2:$A$300,beans!$K$2:$K$300,"")," - ",_xlfn.XLOOKUP(D1332,beans!$A$2:$A$300,beans!$L$2:$L$300,"")),IF(_xlpm.x=" /  - ","",_xlpm.x))</f>
        <v/>
      </c>
    </row>
    <row r="1333" spans="1:35" x14ac:dyDescent="0.3">
      <c r="A1333">
        <v>1316</v>
      </c>
      <c r="E1333" t="str">
        <f>_xlfn.LET(_xlpm.x,_xlfn.XLOOKUP(D1333,beans!$A$2:$A$300,beans!$H$2:$H$300,""),IF(_xlpm.x="","",_xlpm.x))</f>
        <v/>
      </c>
      <c r="F1333" s="22" t="str">
        <f>_xlfn.XLOOKUP(E1333,menu!$A$2:$A$37,menu!$B$2:$B$37,"")</f>
        <v/>
      </c>
      <c r="G1333" t="str">
        <f>_xlfn.XLOOKUP(E1333,menu!$A$2:$A$37,menu!$C$2:$C$37,"")</f>
        <v/>
      </c>
      <c r="H1333" t="str">
        <f>_xlfn.LET(_xlpm.x,_xlfn.XLOOKUP(_xlfn.XLOOKUP(D1333,beans!$A$2:$A$300,beans!$I$2:$I$300),menu!$E$2:$E$20,menu!$F$2:$F$20),IF(_xlpm.x="","",_xlpm.x))</f>
        <v/>
      </c>
      <c r="T1333" s="68" t="str">
        <f t="shared" si="140"/>
        <v/>
      </c>
      <c r="U1333" t="str">
        <f t="shared" si="136"/>
        <v/>
      </c>
      <c r="V1333">
        <f t="shared" si="141"/>
        <v>0</v>
      </c>
      <c r="W1333" t="str">
        <f t="shared" si="137"/>
        <v/>
      </c>
      <c r="AB1333" s="28" t="str">
        <f t="shared" si="138"/>
        <v xml:space="preserve"> </v>
      </c>
      <c r="AE1333" s="61" t="str">
        <f t="shared" si="139"/>
        <v/>
      </c>
      <c r="AF1333" s="77" t="str">
        <f>_xlfn.XLOOKUP(AD1333,menu!$K$2:$K$9,menu!$J$2:$J$9,"",1)</f>
        <v/>
      </c>
      <c r="AG1333" s="80" t="str">
        <f>_xlfn.XLOOKUP(AH1333,menu!$O$2:$O$9,menu!$H$2:$H$9,"")</f>
        <v/>
      </c>
      <c r="AI1333" t="str">
        <f>_xlfn.LET(_xlpm.x,_xlfn.CONCAT(_xlfn.XLOOKUP(D1333,beans!$A$2:$A$300,beans!$J$2:$J$300,"")," / ",_xlfn.XLOOKUP(D1333,beans!$A$2:$A$300,beans!$K$2:$K$300,"")," - ",_xlfn.XLOOKUP(D1333,beans!$A$2:$A$300,beans!$L$2:$L$300,"")),IF(_xlpm.x=" /  - ","",_xlpm.x))</f>
        <v/>
      </c>
    </row>
    <row r="1334" spans="1:35" x14ac:dyDescent="0.3">
      <c r="A1334">
        <v>1317</v>
      </c>
      <c r="E1334" t="str">
        <f>_xlfn.LET(_xlpm.x,_xlfn.XLOOKUP(D1334,beans!$A$2:$A$300,beans!$H$2:$H$300,""),IF(_xlpm.x="","",_xlpm.x))</f>
        <v/>
      </c>
      <c r="F1334" s="22" t="str">
        <f>_xlfn.XLOOKUP(E1334,menu!$A$2:$A$37,menu!$B$2:$B$37,"")</f>
        <v/>
      </c>
      <c r="G1334" t="str">
        <f>_xlfn.XLOOKUP(E1334,menu!$A$2:$A$37,menu!$C$2:$C$37,"")</f>
        <v/>
      </c>
      <c r="H1334" t="str">
        <f>_xlfn.LET(_xlpm.x,_xlfn.XLOOKUP(_xlfn.XLOOKUP(D1334,beans!$A$2:$A$300,beans!$I$2:$I$300),menu!$E$2:$E$20,menu!$F$2:$F$20),IF(_xlpm.x="","",_xlpm.x))</f>
        <v/>
      </c>
      <c r="T1334" s="68" t="str">
        <f t="shared" si="140"/>
        <v/>
      </c>
      <c r="U1334" t="str">
        <f t="shared" si="136"/>
        <v/>
      </c>
      <c r="V1334">
        <f t="shared" si="141"/>
        <v>0</v>
      </c>
      <c r="W1334" t="str">
        <f t="shared" si="137"/>
        <v/>
      </c>
      <c r="AB1334" s="28" t="str">
        <f t="shared" si="138"/>
        <v xml:space="preserve"> </v>
      </c>
      <c r="AE1334" s="61" t="str">
        <f t="shared" si="139"/>
        <v/>
      </c>
      <c r="AF1334" s="77" t="str">
        <f>_xlfn.XLOOKUP(AD1334,menu!$K$2:$K$9,menu!$J$2:$J$9,"",1)</f>
        <v/>
      </c>
      <c r="AG1334" s="80" t="str">
        <f>_xlfn.XLOOKUP(AH1334,menu!$O$2:$O$9,menu!$H$2:$H$9,"")</f>
        <v/>
      </c>
      <c r="AI1334" t="str">
        <f>_xlfn.LET(_xlpm.x,_xlfn.CONCAT(_xlfn.XLOOKUP(D1334,beans!$A$2:$A$300,beans!$J$2:$J$300,"")," / ",_xlfn.XLOOKUP(D1334,beans!$A$2:$A$300,beans!$K$2:$K$300,"")," - ",_xlfn.XLOOKUP(D1334,beans!$A$2:$A$300,beans!$L$2:$L$300,"")),IF(_xlpm.x=" /  - ","",_xlpm.x))</f>
        <v/>
      </c>
    </row>
    <row r="1335" spans="1:35" x14ac:dyDescent="0.3">
      <c r="A1335">
        <v>1318</v>
      </c>
      <c r="E1335" t="str">
        <f>_xlfn.LET(_xlpm.x,_xlfn.XLOOKUP(D1335,beans!$A$2:$A$300,beans!$H$2:$H$300,""),IF(_xlpm.x="","",_xlpm.x))</f>
        <v/>
      </c>
      <c r="F1335" s="22" t="str">
        <f>_xlfn.XLOOKUP(E1335,menu!$A$2:$A$37,menu!$B$2:$B$37,"")</f>
        <v/>
      </c>
      <c r="G1335" t="str">
        <f>_xlfn.XLOOKUP(E1335,menu!$A$2:$A$37,menu!$C$2:$C$37,"")</f>
        <v/>
      </c>
      <c r="H1335" t="str">
        <f>_xlfn.LET(_xlpm.x,_xlfn.XLOOKUP(_xlfn.XLOOKUP(D1335,beans!$A$2:$A$300,beans!$I$2:$I$300),menu!$E$2:$E$20,menu!$F$2:$F$20),IF(_xlpm.x="","",_xlpm.x))</f>
        <v/>
      </c>
      <c r="T1335" s="68" t="str">
        <f t="shared" si="140"/>
        <v/>
      </c>
      <c r="U1335" t="str">
        <f t="shared" si="136"/>
        <v/>
      </c>
      <c r="V1335">
        <f t="shared" si="141"/>
        <v>0</v>
      </c>
      <c r="W1335" t="str">
        <f t="shared" si="137"/>
        <v/>
      </c>
      <c r="AB1335" s="28" t="str">
        <f t="shared" si="138"/>
        <v xml:space="preserve"> </v>
      </c>
      <c r="AE1335" s="61" t="str">
        <f t="shared" si="139"/>
        <v/>
      </c>
      <c r="AF1335" s="77" t="str">
        <f>_xlfn.XLOOKUP(AD1335,menu!$K$2:$K$9,menu!$J$2:$J$9,"",1)</f>
        <v/>
      </c>
      <c r="AG1335" s="80" t="str">
        <f>_xlfn.XLOOKUP(AH1335,menu!$O$2:$O$9,menu!$H$2:$H$9,"")</f>
        <v/>
      </c>
      <c r="AI1335" t="str">
        <f>_xlfn.LET(_xlpm.x,_xlfn.CONCAT(_xlfn.XLOOKUP(D1335,beans!$A$2:$A$300,beans!$J$2:$J$300,"")," / ",_xlfn.XLOOKUP(D1335,beans!$A$2:$A$300,beans!$K$2:$K$300,"")," - ",_xlfn.XLOOKUP(D1335,beans!$A$2:$A$300,beans!$L$2:$L$300,"")),IF(_xlpm.x=" /  - ","",_xlpm.x))</f>
        <v/>
      </c>
    </row>
    <row r="1336" spans="1:35" x14ac:dyDescent="0.3">
      <c r="A1336">
        <v>1319</v>
      </c>
      <c r="E1336" t="str">
        <f>_xlfn.LET(_xlpm.x,_xlfn.XLOOKUP(D1336,beans!$A$2:$A$300,beans!$H$2:$H$300,""),IF(_xlpm.x="","",_xlpm.x))</f>
        <v/>
      </c>
      <c r="F1336" s="22" t="str">
        <f>_xlfn.XLOOKUP(E1336,menu!$A$2:$A$37,menu!$B$2:$B$37,"")</f>
        <v/>
      </c>
      <c r="G1336" t="str">
        <f>_xlfn.XLOOKUP(E1336,menu!$A$2:$A$37,menu!$C$2:$C$37,"")</f>
        <v/>
      </c>
      <c r="H1336" t="str">
        <f>_xlfn.LET(_xlpm.x,_xlfn.XLOOKUP(_xlfn.XLOOKUP(D1336,beans!$A$2:$A$300,beans!$I$2:$I$300),menu!$E$2:$E$20,menu!$F$2:$F$20),IF(_xlpm.x="","",_xlpm.x))</f>
        <v/>
      </c>
      <c r="T1336" s="68" t="str">
        <f t="shared" si="140"/>
        <v/>
      </c>
      <c r="U1336" t="str">
        <f t="shared" si="136"/>
        <v/>
      </c>
      <c r="V1336">
        <f t="shared" si="141"/>
        <v>0</v>
      </c>
      <c r="W1336" t="str">
        <f t="shared" si="137"/>
        <v/>
      </c>
      <c r="AB1336" s="28" t="str">
        <f t="shared" si="138"/>
        <v xml:space="preserve"> </v>
      </c>
      <c r="AE1336" s="61" t="str">
        <f t="shared" si="139"/>
        <v/>
      </c>
      <c r="AF1336" s="77" t="str">
        <f>_xlfn.XLOOKUP(AD1336,menu!$K$2:$K$9,menu!$J$2:$J$9,"",1)</f>
        <v/>
      </c>
      <c r="AG1336" s="80" t="str">
        <f>_xlfn.XLOOKUP(AH1336,menu!$O$2:$O$9,menu!$H$2:$H$9,"")</f>
        <v/>
      </c>
      <c r="AI1336" t="str">
        <f>_xlfn.LET(_xlpm.x,_xlfn.CONCAT(_xlfn.XLOOKUP(D1336,beans!$A$2:$A$300,beans!$J$2:$J$300,"")," / ",_xlfn.XLOOKUP(D1336,beans!$A$2:$A$300,beans!$K$2:$K$300,"")," - ",_xlfn.XLOOKUP(D1336,beans!$A$2:$A$300,beans!$L$2:$L$300,"")),IF(_xlpm.x=" /  - ","",_xlpm.x))</f>
        <v/>
      </c>
    </row>
    <row r="1337" spans="1:35" x14ac:dyDescent="0.3">
      <c r="A1337">
        <v>1320</v>
      </c>
      <c r="E1337" t="str">
        <f>_xlfn.LET(_xlpm.x,_xlfn.XLOOKUP(D1337,beans!$A$2:$A$300,beans!$H$2:$H$300,""),IF(_xlpm.x="","",_xlpm.x))</f>
        <v/>
      </c>
      <c r="F1337" s="22" t="str">
        <f>_xlfn.XLOOKUP(E1337,menu!$A$2:$A$37,menu!$B$2:$B$37,"")</f>
        <v/>
      </c>
      <c r="G1337" t="str">
        <f>_xlfn.XLOOKUP(E1337,menu!$A$2:$A$37,menu!$C$2:$C$37,"")</f>
        <v/>
      </c>
      <c r="H1337" t="str">
        <f>_xlfn.LET(_xlpm.x,_xlfn.XLOOKUP(_xlfn.XLOOKUP(D1337,beans!$A$2:$A$300,beans!$I$2:$I$300),menu!$E$2:$E$20,menu!$F$2:$F$20),IF(_xlpm.x="","",_xlpm.x))</f>
        <v/>
      </c>
      <c r="T1337" s="68" t="str">
        <f t="shared" si="140"/>
        <v/>
      </c>
      <c r="U1337" t="str">
        <f t="shared" si="136"/>
        <v/>
      </c>
      <c r="V1337">
        <f t="shared" si="141"/>
        <v>0</v>
      </c>
      <c r="W1337" t="str">
        <f t="shared" si="137"/>
        <v/>
      </c>
      <c r="AB1337" s="28" t="str">
        <f t="shared" si="138"/>
        <v xml:space="preserve"> </v>
      </c>
      <c r="AE1337" s="61" t="str">
        <f t="shared" si="139"/>
        <v/>
      </c>
      <c r="AF1337" s="77" t="str">
        <f>_xlfn.XLOOKUP(AD1337,menu!$K$2:$K$9,menu!$J$2:$J$9,"",1)</f>
        <v/>
      </c>
      <c r="AG1337" s="80" t="str">
        <f>_xlfn.XLOOKUP(AH1337,menu!$O$2:$O$9,menu!$H$2:$H$9,"")</f>
        <v/>
      </c>
      <c r="AI1337" t="str">
        <f>_xlfn.LET(_xlpm.x,_xlfn.CONCAT(_xlfn.XLOOKUP(D1337,beans!$A$2:$A$300,beans!$J$2:$J$300,"")," / ",_xlfn.XLOOKUP(D1337,beans!$A$2:$A$300,beans!$K$2:$K$300,"")," - ",_xlfn.XLOOKUP(D1337,beans!$A$2:$A$300,beans!$L$2:$L$300,"")),IF(_xlpm.x=" /  - ","",_xlpm.x))</f>
        <v/>
      </c>
    </row>
    <row r="1338" spans="1:35" x14ac:dyDescent="0.3">
      <c r="A1338">
        <v>1321</v>
      </c>
      <c r="E1338" t="str">
        <f>_xlfn.LET(_xlpm.x,_xlfn.XLOOKUP(D1338,beans!$A$2:$A$300,beans!$H$2:$H$300,""),IF(_xlpm.x="","",_xlpm.x))</f>
        <v/>
      </c>
      <c r="F1338" s="22" t="str">
        <f>_xlfn.XLOOKUP(E1338,menu!$A$2:$A$37,menu!$B$2:$B$37,"")</f>
        <v/>
      </c>
      <c r="G1338" t="str">
        <f>_xlfn.XLOOKUP(E1338,menu!$A$2:$A$37,menu!$C$2:$C$37,"")</f>
        <v/>
      </c>
      <c r="H1338" t="str">
        <f>_xlfn.LET(_xlpm.x,_xlfn.XLOOKUP(_xlfn.XLOOKUP(D1338,beans!$A$2:$A$300,beans!$I$2:$I$300),menu!$E$2:$E$20,menu!$F$2:$F$20),IF(_xlpm.x="","",_xlpm.x))</f>
        <v/>
      </c>
      <c r="T1338" s="68" t="str">
        <f t="shared" si="140"/>
        <v/>
      </c>
      <c r="U1338" t="str">
        <f t="shared" si="136"/>
        <v/>
      </c>
      <c r="V1338">
        <f t="shared" si="141"/>
        <v>0</v>
      </c>
      <c r="W1338" t="str">
        <f t="shared" si="137"/>
        <v/>
      </c>
      <c r="AB1338" s="28" t="str">
        <f t="shared" si="138"/>
        <v xml:space="preserve"> </v>
      </c>
      <c r="AE1338" s="61" t="str">
        <f t="shared" si="139"/>
        <v/>
      </c>
      <c r="AF1338" s="77" t="str">
        <f>_xlfn.XLOOKUP(AD1338,menu!$K$2:$K$9,menu!$J$2:$J$9,"",1)</f>
        <v/>
      </c>
      <c r="AG1338" s="80" t="str">
        <f>_xlfn.XLOOKUP(AH1338,menu!$O$2:$O$9,menu!$H$2:$H$9,"")</f>
        <v/>
      </c>
      <c r="AI1338" t="str">
        <f>_xlfn.LET(_xlpm.x,_xlfn.CONCAT(_xlfn.XLOOKUP(D1338,beans!$A$2:$A$300,beans!$J$2:$J$300,"")," / ",_xlfn.XLOOKUP(D1338,beans!$A$2:$A$300,beans!$K$2:$K$300,"")," - ",_xlfn.XLOOKUP(D1338,beans!$A$2:$A$300,beans!$L$2:$L$300,"")),IF(_xlpm.x=" /  - ","",_xlpm.x))</f>
        <v/>
      </c>
    </row>
    <row r="1339" spans="1:35" x14ac:dyDescent="0.3">
      <c r="A1339">
        <v>1322</v>
      </c>
      <c r="E1339" t="str">
        <f>_xlfn.LET(_xlpm.x,_xlfn.XLOOKUP(D1339,beans!$A$2:$A$300,beans!$H$2:$H$300,""),IF(_xlpm.x="","",_xlpm.x))</f>
        <v/>
      </c>
      <c r="F1339" s="22" t="str">
        <f>_xlfn.XLOOKUP(E1339,menu!$A$2:$A$37,menu!$B$2:$B$37,"")</f>
        <v/>
      </c>
      <c r="G1339" t="str">
        <f>_xlfn.XLOOKUP(E1339,menu!$A$2:$A$37,menu!$C$2:$C$37,"")</f>
        <v/>
      </c>
      <c r="H1339" t="str">
        <f>_xlfn.LET(_xlpm.x,_xlfn.XLOOKUP(_xlfn.XLOOKUP(D1339,beans!$A$2:$A$300,beans!$I$2:$I$300),menu!$E$2:$E$20,menu!$F$2:$F$20),IF(_xlpm.x="","",_xlpm.x))</f>
        <v/>
      </c>
      <c r="T1339" s="68" t="str">
        <f t="shared" si="140"/>
        <v/>
      </c>
      <c r="U1339" t="str">
        <f t="shared" si="136"/>
        <v/>
      </c>
      <c r="V1339">
        <f t="shared" si="141"/>
        <v>0</v>
      </c>
      <c r="W1339" t="str">
        <f t="shared" si="137"/>
        <v/>
      </c>
      <c r="AB1339" s="28" t="str">
        <f t="shared" si="138"/>
        <v xml:space="preserve"> </v>
      </c>
      <c r="AE1339" s="61" t="str">
        <f t="shared" si="139"/>
        <v/>
      </c>
      <c r="AF1339" s="77" t="str">
        <f>_xlfn.XLOOKUP(AD1339,menu!$K$2:$K$9,menu!$J$2:$J$9,"",1)</f>
        <v/>
      </c>
      <c r="AG1339" s="80" t="str">
        <f>_xlfn.XLOOKUP(AH1339,menu!$O$2:$O$9,menu!$H$2:$H$9,"")</f>
        <v/>
      </c>
      <c r="AI1339" t="str">
        <f>_xlfn.LET(_xlpm.x,_xlfn.CONCAT(_xlfn.XLOOKUP(D1339,beans!$A$2:$A$300,beans!$J$2:$J$300,"")," / ",_xlfn.XLOOKUP(D1339,beans!$A$2:$A$300,beans!$K$2:$K$300,"")," - ",_xlfn.XLOOKUP(D1339,beans!$A$2:$A$300,beans!$L$2:$L$300,"")),IF(_xlpm.x=" /  - ","",_xlpm.x))</f>
        <v/>
      </c>
    </row>
    <row r="1340" spans="1:35" x14ac:dyDescent="0.3">
      <c r="A1340">
        <v>1323</v>
      </c>
      <c r="E1340" t="str">
        <f>_xlfn.LET(_xlpm.x,_xlfn.XLOOKUP(D1340,beans!$A$2:$A$300,beans!$H$2:$H$300,""),IF(_xlpm.x="","",_xlpm.x))</f>
        <v/>
      </c>
      <c r="F1340" s="22" t="str">
        <f>_xlfn.XLOOKUP(E1340,menu!$A$2:$A$37,menu!$B$2:$B$37,"")</f>
        <v/>
      </c>
      <c r="G1340" t="str">
        <f>_xlfn.XLOOKUP(E1340,menu!$A$2:$A$37,menu!$C$2:$C$37,"")</f>
        <v/>
      </c>
      <c r="H1340" t="str">
        <f>_xlfn.LET(_xlpm.x,_xlfn.XLOOKUP(_xlfn.XLOOKUP(D1340,beans!$A$2:$A$300,beans!$I$2:$I$300),menu!$E$2:$E$20,menu!$F$2:$F$20),IF(_xlpm.x="","",_xlpm.x))</f>
        <v/>
      </c>
      <c r="T1340" s="68" t="str">
        <f t="shared" si="140"/>
        <v/>
      </c>
      <c r="U1340" t="str">
        <f t="shared" si="136"/>
        <v/>
      </c>
      <c r="V1340">
        <f t="shared" si="141"/>
        <v>0</v>
      </c>
      <c r="W1340" t="str">
        <f t="shared" si="137"/>
        <v/>
      </c>
      <c r="AB1340" s="28" t="str">
        <f t="shared" si="138"/>
        <v xml:space="preserve"> </v>
      </c>
      <c r="AE1340" s="61" t="str">
        <f t="shared" si="139"/>
        <v/>
      </c>
      <c r="AF1340" s="77" t="str">
        <f>_xlfn.XLOOKUP(AD1340,menu!$K$2:$K$9,menu!$J$2:$J$9,"",1)</f>
        <v/>
      </c>
      <c r="AG1340" s="80" t="str">
        <f>_xlfn.XLOOKUP(AH1340,menu!$O$2:$O$9,menu!$H$2:$H$9,"")</f>
        <v/>
      </c>
      <c r="AI1340" t="str">
        <f>_xlfn.LET(_xlpm.x,_xlfn.CONCAT(_xlfn.XLOOKUP(D1340,beans!$A$2:$A$300,beans!$J$2:$J$300,"")," / ",_xlfn.XLOOKUP(D1340,beans!$A$2:$A$300,beans!$K$2:$K$300,"")," - ",_xlfn.XLOOKUP(D1340,beans!$A$2:$A$300,beans!$L$2:$L$300,"")),IF(_xlpm.x=" /  - ","",_xlpm.x))</f>
        <v/>
      </c>
    </row>
    <row r="1341" spans="1:35" x14ac:dyDescent="0.3">
      <c r="A1341">
        <v>1324</v>
      </c>
      <c r="E1341" t="str">
        <f>_xlfn.LET(_xlpm.x,_xlfn.XLOOKUP(D1341,beans!$A$2:$A$300,beans!$H$2:$H$300,""),IF(_xlpm.x="","",_xlpm.x))</f>
        <v/>
      </c>
      <c r="F1341" s="22" t="str">
        <f>_xlfn.XLOOKUP(E1341,menu!$A$2:$A$37,menu!$B$2:$B$37,"")</f>
        <v/>
      </c>
      <c r="G1341" t="str">
        <f>_xlfn.XLOOKUP(E1341,menu!$A$2:$A$37,menu!$C$2:$C$37,"")</f>
        <v/>
      </c>
      <c r="H1341" t="str">
        <f>_xlfn.LET(_xlpm.x,_xlfn.XLOOKUP(_xlfn.XLOOKUP(D1341,beans!$A$2:$A$300,beans!$I$2:$I$300),menu!$E$2:$E$20,menu!$F$2:$F$20),IF(_xlpm.x="","",_xlpm.x))</f>
        <v/>
      </c>
      <c r="T1341" s="68" t="str">
        <f t="shared" si="140"/>
        <v/>
      </c>
      <c r="U1341" t="str">
        <f t="shared" si="136"/>
        <v/>
      </c>
      <c r="V1341">
        <f t="shared" si="141"/>
        <v>0</v>
      </c>
      <c r="W1341" t="str">
        <f t="shared" si="137"/>
        <v/>
      </c>
      <c r="AB1341" s="28" t="str">
        <f t="shared" si="138"/>
        <v xml:space="preserve"> </v>
      </c>
      <c r="AE1341" s="61" t="str">
        <f t="shared" si="139"/>
        <v/>
      </c>
      <c r="AF1341" s="77" t="str">
        <f>_xlfn.XLOOKUP(AD1341,menu!$K$2:$K$9,menu!$J$2:$J$9,"",1)</f>
        <v/>
      </c>
      <c r="AG1341" s="80" t="str">
        <f>_xlfn.XLOOKUP(AH1341,menu!$O$2:$O$9,menu!$H$2:$H$9,"")</f>
        <v/>
      </c>
      <c r="AI1341" t="str">
        <f>_xlfn.LET(_xlpm.x,_xlfn.CONCAT(_xlfn.XLOOKUP(D1341,beans!$A$2:$A$300,beans!$J$2:$J$300,"")," / ",_xlfn.XLOOKUP(D1341,beans!$A$2:$A$300,beans!$K$2:$K$300,"")," - ",_xlfn.XLOOKUP(D1341,beans!$A$2:$A$300,beans!$L$2:$L$300,"")),IF(_xlpm.x=" /  - ","",_xlpm.x))</f>
        <v/>
      </c>
    </row>
    <row r="1342" spans="1:35" x14ac:dyDescent="0.3">
      <c r="A1342">
        <v>1325</v>
      </c>
      <c r="E1342" t="str">
        <f>_xlfn.LET(_xlpm.x,_xlfn.XLOOKUP(D1342,beans!$A$2:$A$300,beans!$H$2:$H$300,""),IF(_xlpm.x="","",_xlpm.x))</f>
        <v/>
      </c>
      <c r="F1342" s="22" t="str">
        <f>_xlfn.XLOOKUP(E1342,menu!$A$2:$A$37,menu!$B$2:$B$37,"")</f>
        <v/>
      </c>
      <c r="G1342" t="str">
        <f>_xlfn.XLOOKUP(E1342,menu!$A$2:$A$37,menu!$C$2:$C$37,"")</f>
        <v/>
      </c>
      <c r="H1342" t="str">
        <f>_xlfn.LET(_xlpm.x,_xlfn.XLOOKUP(_xlfn.XLOOKUP(D1342,beans!$A$2:$A$300,beans!$I$2:$I$300),menu!$E$2:$E$20,menu!$F$2:$F$20),IF(_xlpm.x="","",_xlpm.x))</f>
        <v/>
      </c>
      <c r="T1342" s="68" t="str">
        <f t="shared" si="140"/>
        <v/>
      </c>
      <c r="U1342" t="str">
        <f t="shared" si="136"/>
        <v/>
      </c>
      <c r="V1342">
        <f t="shared" si="141"/>
        <v>0</v>
      </c>
      <c r="W1342" t="str">
        <f t="shared" si="137"/>
        <v/>
      </c>
      <c r="AB1342" s="28" t="str">
        <f t="shared" si="138"/>
        <v xml:space="preserve"> </v>
      </c>
      <c r="AE1342" s="61" t="str">
        <f t="shared" si="139"/>
        <v/>
      </c>
      <c r="AF1342" s="77" t="str">
        <f>_xlfn.XLOOKUP(AD1342,menu!$K$2:$K$9,menu!$J$2:$J$9,"",1)</f>
        <v/>
      </c>
      <c r="AG1342" s="80" t="str">
        <f>_xlfn.XLOOKUP(AH1342,menu!$O$2:$O$9,menu!$H$2:$H$9,"")</f>
        <v/>
      </c>
      <c r="AI1342" t="str">
        <f>_xlfn.LET(_xlpm.x,_xlfn.CONCAT(_xlfn.XLOOKUP(D1342,beans!$A$2:$A$300,beans!$J$2:$J$300,"")," / ",_xlfn.XLOOKUP(D1342,beans!$A$2:$A$300,beans!$K$2:$K$300,"")," - ",_xlfn.XLOOKUP(D1342,beans!$A$2:$A$300,beans!$L$2:$L$300,"")),IF(_xlpm.x=" /  - ","",_xlpm.x))</f>
        <v/>
      </c>
    </row>
    <row r="1343" spans="1:35" x14ac:dyDescent="0.3">
      <c r="A1343">
        <v>1326</v>
      </c>
      <c r="E1343" t="str">
        <f>_xlfn.LET(_xlpm.x,_xlfn.XLOOKUP(D1343,beans!$A$2:$A$300,beans!$H$2:$H$300,""),IF(_xlpm.x="","",_xlpm.x))</f>
        <v/>
      </c>
      <c r="F1343" s="22" t="str">
        <f>_xlfn.XLOOKUP(E1343,menu!$A$2:$A$37,menu!$B$2:$B$37,"")</f>
        <v/>
      </c>
      <c r="G1343" t="str">
        <f>_xlfn.XLOOKUP(E1343,menu!$A$2:$A$37,menu!$C$2:$C$37,"")</f>
        <v/>
      </c>
      <c r="H1343" t="str">
        <f>_xlfn.LET(_xlpm.x,_xlfn.XLOOKUP(_xlfn.XLOOKUP(D1343,beans!$A$2:$A$300,beans!$I$2:$I$300),menu!$E$2:$E$20,menu!$F$2:$F$20),IF(_xlpm.x="","",_xlpm.x))</f>
        <v/>
      </c>
      <c r="T1343" s="68" t="str">
        <f t="shared" si="140"/>
        <v/>
      </c>
      <c r="U1343" t="str">
        <f t="shared" si="136"/>
        <v/>
      </c>
      <c r="V1343">
        <f t="shared" si="141"/>
        <v>0</v>
      </c>
      <c r="W1343" t="str">
        <f t="shared" si="137"/>
        <v/>
      </c>
      <c r="AB1343" s="28" t="str">
        <f t="shared" si="138"/>
        <v xml:space="preserve"> </v>
      </c>
      <c r="AE1343" s="61" t="str">
        <f t="shared" si="139"/>
        <v/>
      </c>
      <c r="AF1343" s="77" t="str">
        <f>_xlfn.XLOOKUP(AD1343,menu!$K$2:$K$9,menu!$J$2:$J$9,"",1)</f>
        <v/>
      </c>
      <c r="AG1343" s="80" t="str">
        <f>_xlfn.XLOOKUP(AH1343,menu!$O$2:$O$9,menu!$H$2:$H$9,"")</f>
        <v/>
      </c>
      <c r="AI1343" t="str">
        <f>_xlfn.LET(_xlpm.x,_xlfn.CONCAT(_xlfn.XLOOKUP(D1343,beans!$A$2:$A$300,beans!$J$2:$J$300,"")," / ",_xlfn.XLOOKUP(D1343,beans!$A$2:$A$300,beans!$K$2:$K$300,"")," - ",_xlfn.XLOOKUP(D1343,beans!$A$2:$A$300,beans!$L$2:$L$300,"")),IF(_xlpm.x=" /  - ","",_xlpm.x))</f>
        <v/>
      </c>
    </row>
    <row r="1344" spans="1:35" x14ac:dyDescent="0.3">
      <c r="A1344">
        <v>1327</v>
      </c>
      <c r="E1344" t="str">
        <f>_xlfn.LET(_xlpm.x,_xlfn.XLOOKUP(D1344,beans!$A$2:$A$300,beans!$H$2:$H$300,""),IF(_xlpm.x="","",_xlpm.x))</f>
        <v/>
      </c>
      <c r="F1344" s="22" t="str">
        <f>_xlfn.XLOOKUP(E1344,menu!$A$2:$A$37,menu!$B$2:$B$37,"")</f>
        <v/>
      </c>
      <c r="G1344" t="str">
        <f>_xlfn.XLOOKUP(E1344,menu!$A$2:$A$37,menu!$C$2:$C$37,"")</f>
        <v/>
      </c>
      <c r="H1344" t="str">
        <f>_xlfn.LET(_xlpm.x,_xlfn.XLOOKUP(_xlfn.XLOOKUP(D1344,beans!$A$2:$A$300,beans!$I$2:$I$300),menu!$E$2:$E$20,menu!$F$2:$F$20),IF(_xlpm.x="","",_xlpm.x))</f>
        <v/>
      </c>
      <c r="T1344" s="68" t="str">
        <f t="shared" si="140"/>
        <v/>
      </c>
      <c r="U1344" t="str">
        <f t="shared" si="136"/>
        <v/>
      </c>
      <c r="V1344">
        <f t="shared" si="141"/>
        <v>0</v>
      </c>
      <c r="W1344" t="str">
        <f t="shared" si="137"/>
        <v/>
      </c>
      <c r="AB1344" s="28" t="str">
        <f t="shared" si="138"/>
        <v xml:space="preserve"> </v>
      </c>
      <c r="AE1344" s="61" t="str">
        <f t="shared" si="139"/>
        <v/>
      </c>
      <c r="AF1344" s="77" t="str">
        <f>_xlfn.XLOOKUP(AD1344,menu!$K$2:$K$9,menu!$J$2:$J$9,"",1)</f>
        <v/>
      </c>
      <c r="AG1344" s="80" t="str">
        <f>_xlfn.XLOOKUP(AH1344,menu!$O$2:$O$9,menu!$H$2:$H$9,"")</f>
        <v/>
      </c>
      <c r="AI1344" t="str">
        <f>_xlfn.LET(_xlpm.x,_xlfn.CONCAT(_xlfn.XLOOKUP(D1344,beans!$A$2:$A$300,beans!$J$2:$J$300,"")," / ",_xlfn.XLOOKUP(D1344,beans!$A$2:$A$300,beans!$K$2:$K$300,"")," - ",_xlfn.XLOOKUP(D1344,beans!$A$2:$A$300,beans!$L$2:$L$300,"")),IF(_xlpm.x=" /  - ","",_xlpm.x))</f>
        <v/>
      </c>
    </row>
    <row r="1345" spans="1:35" x14ac:dyDescent="0.3">
      <c r="A1345">
        <v>1328</v>
      </c>
      <c r="E1345" t="str">
        <f>_xlfn.LET(_xlpm.x,_xlfn.XLOOKUP(D1345,beans!$A$2:$A$300,beans!$H$2:$H$300,""),IF(_xlpm.x="","",_xlpm.x))</f>
        <v/>
      </c>
      <c r="F1345" s="22" t="str">
        <f>_xlfn.XLOOKUP(E1345,menu!$A$2:$A$37,menu!$B$2:$B$37,"")</f>
        <v/>
      </c>
      <c r="G1345" t="str">
        <f>_xlfn.XLOOKUP(E1345,menu!$A$2:$A$37,menu!$C$2:$C$37,"")</f>
        <v/>
      </c>
      <c r="H1345" t="str">
        <f>_xlfn.LET(_xlpm.x,_xlfn.XLOOKUP(_xlfn.XLOOKUP(D1345,beans!$A$2:$A$300,beans!$I$2:$I$300),menu!$E$2:$E$20,menu!$F$2:$F$20),IF(_xlpm.x="","",_xlpm.x))</f>
        <v/>
      </c>
      <c r="T1345" s="68" t="str">
        <f t="shared" si="140"/>
        <v/>
      </c>
      <c r="U1345" t="str">
        <f t="shared" si="136"/>
        <v/>
      </c>
      <c r="V1345">
        <f t="shared" si="141"/>
        <v>0</v>
      </c>
      <c r="W1345" t="str">
        <f t="shared" si="137"/>
        <v/>
      </c>
      <c r="AB1345" s="28" t="str">
        <f t="shared" si="138"/>
        <v xml:space="preserve"> </v>
      </c>
      <c r="AE1345" s="61" t="str">
        <f t="shared" si="139"/>
        <v/>
      </c>
      <c r="AF1345" s="77" t="str">
        <f>_xlfn.XLOOKUP(AD1345,menu!$K$2:$K$9,menu!$J$2:$J$9,"",1)</f>
        <v/>
      </c>
      <c r="AG1345" s="80" t="str">
        <f>_xlfn.XLOOKUP(AH1345,menu!$O$2:$O$9,menu!$H$2:$H$9,"")</f>
        <v/>
      </c>
      <c r="AI1345" t="str">
        <f>_xlfn.LET(_xlpm.x,_xlfn.CONCAT(_xlfn.XLOOKUP(D1345,beans!$A$2:$A$300,beans!$J$2:$J$300,"")," / ",_xlfn.XLOOKUP(D1345,beans!$A$2:$A$300,beans!$K$2:$K$300,"")," - ",_xlfn.XLOOKUP(D1345,beans!$A$2:$A$300,beans!$L$2:$L$300,"")),IF(_xlpm.x=" /  - ","",_xlpm.x))</f>
        <v/>
      </c>
    </row>
    <row r="1346" spans="1:35" x14ac:dyDescent="0.3">
      <c r="A1346">
        <v>1329</v>
      </c>
      <c r="E1346" t="str">
        <f>_xlfn.LET(_xlpm.x,_xlfn.XLOOKUP(D1346,beans!$A$2:$A$300,beans!$H$2:$H$300,""),IF(_xlpm.x="","",_xlpm.x))</f>
        <v/>
      </c>
      <c r="F1346" s="22" t="str">
        <f>_xlfn.XLOOKUP(E1346,menu!$A$2:$A$37,menu!$B$2:$B$37,"")</f>
        <v/>
      </c>
      <c r="G1346" t="str">
        <f>_xlfn.XLOOKUP(E1346,menu!$A$2:$A$37,menu!$C$2:$C$37,"")</f>
        <v/>
      </c>
      <c r="H1346" t="str">
        <f>_xlfn.LET(_xlpm.x,_xlfn.XLOOKUP(_xlfn.XLOOKUP(D1346,beans!$A$2:$A$300,beans!$I$2:$I$300),menu!$E$2:$E$20,menu!$F$2:$F$20),IF(_xlpm.x="","",_xlpm.x))</f>
        <v/>
      </c>
      <c r="T1346" s="68" t="str">
        <f t="shared" si="140"/>
        <v/>
      </c>
      <c r="U1346" t="str">
        <f t="shared" ref="U1346:U1409" si="142">_xlfn.LET(_xlpm.x,(TIMEVALUE("0:"&amp;SUBSTITUTE(R1346,"'",":"))-TIMEVALUE("0:"&amp;SUBSTITUTE(P1346,"'",":")))*86400,IF(_xlpm.x=0,"",ROUND(_xlpm.x,2)))</f>
        <v/>
      </c>
      <c r="V1346">
        <f t="shared" si="141"/>
        <v>0</v>
      </c>
      <c r="W1346" t="str">
        <f t="shared" ref="W1346:W1409" si="143">_xlfn.LET(_xlpm.x,(TIMEVALUE("0:"&amp;SUBSTITUTE(R1346,"'",":"))-TIMEVALUE("0:"&amp;SUBSTITUTE(P1346,"'",":")))*86400,IF(_xlpm.x=0,"",ROUND(_xlpm.x/((TIMEVALUE("0:"&amp;SUBSTITUTE(R1346,"'",":"))-TIMEVALUE("0:0:0"))*864),2)))</f>
        <v/>
      </c>
      <c r="AB1346" s="28" t="str">
        <f t="shared" ref="AB1346:AB1409" si="144">IF(Y1346 &gt; 0,(B1346-Y1346)/B1346," ")</f>
        <v xml:space="preserve"> </v>
      </c>
      <c r="AE1346" s="61" t="str">
        <f t="shared" ref="AE1346:AE1409" si="145">_xlfn.LET(_xlpm.x,AD1346-AC1346,IF(_xlpm.x=0,"",_xlpm.x))</f>
        <v/>
      </c>
      <c r="AF1346" s="77" t="str">
        <f>_xlfn.XLOOKUP(AD1346,menu!$K$2:$K$9,menu!$J$2:$J$9,"",1)</f>
        <v/>
      </c>
      <c r="AG1346" s="80" t="str">
        <f>_xlfn.XLOOKUP(AH1346,menu!$O$2:$O$9,menu!$H$2:$H$9,"")</f>
        <v/>
      </c>
      <c r="AI1346" t="str">
        <f>_xlfn.LET(_xlpm.x,_xlfn.CONCAT(_xlfn.XLOOKUP(D1346,beans!$A$2:$A$300,beans!$J$2:$J$300,"")," / ",_xlfn.XLOOKUP(D1346,beans!$A$2:$A$300,beans!$K$2:$K$300,"")," - ",_xlfn.XLOOKUP(D1346,beans!$A$2:$A$300,beans!$L$2:$L$300,"")),IF(_xlpm.x=" /  - ","",_xlpm.x))</f>
        <v/>
      </c>
    </row>
    <row r="1347" spans="1:35" x14ac:dyDescent="0.3">
      <c r="A1347">
        <v>1330</v>
      </c>
      <c r="E1347" t="str">
        <f>_xlfn.LET(_xlpm.x,_xlfn.XLOOKUP(D1347,beans!$A$2:$A$300,beans!$H$2:$H$300,""),IF(_xlpm.x="","",_xlpm.x))</f>
        <v/>
      </c>
      <c r="F1347" s="22" t="str">
        <f>_xlfn.XLOOKUP(E1347,menu!$A$2:$A$37,menu!$B$2:$B$37,"")</f>
        <v/>
      </c>
      <c r="G1347" t="str">
        <f>_xlfn.XLOOKUP(E1347,menu!$A$2:$A$37,menu!$C$2:$C$37,"")</f>
        <v/>
      </c>
      <c r="H1347" t="str">
        <f>_xlfn.LET(_xlpm.x,_xlfn.XLOOKUP(_xlfn.XLOOKUP(D1347,beans!$A$2:$A$300,beans!$I$2:$I$300),menu!$E$2:$E$20,menu!$F$2:$F$20),IF(_xlpm.x="","",_xlpm.x))</f>
        <v/>
      </c>
      <c r="T1347" s="68" t="str">
        <f t="shared" ref="T1347:T1410" si="146">_xlfn.LET(_xlpm.x,S1347-Q1347,IF(_xlpm.x=0,"",_xlpm.x))</f>
        <v/>
      </c>
      <c r="U1347" t="str">
        <f t="shared" si="142"/>
        <v/>
      </c>
      <c r="V1347">
        <f t="shared" ref="V1347:V1410" si="147">IFERROR(ROUND(T1347*60/U1347,1), )</f>
        <v>0</v>
      </c>
      <c r="W1347" t="str">
        <f t="shared" si="143"/>
        <v/>
      </c>
      <c r="AB1347" s="28" t="str">
        <f t="shared" si="144"/>
        <v xml:space="preserve"> </v>
      </c>
      <c r="AE1347" s="61" t="str">
        <f t="shared" si="145"/>
        <v/>
      </c>
      <c r="AF1347" s="77" t="str">
        <f>_xlfn.XLOOKUP(AD1347,menu!$K$2:$K$9,menu!$J$2:$J$9,"",1)</f>
        <v/>
      </c>
      <c r="AG1347" s="80" t="str">
        <f>_xlfn.XLOOKUP(AH1347,menu!$O$2:$O$9,menu!$H$2:$H$9,"")</f>
        <v/>
      </c>
      <c r="AI1347" t="str">
        <f>_xlfn.LET(_xlpm.x,_xlfn.CONCAT(_xlfn.XLOOKUP(D1347,beans!$A$2:$A$300,beans!$J$2:$J$300,"")," / ",_xlfn.XLOOKUP(D1347,beans!$A$2:$A$300,beans!$K$2:$K$300,"")," - ",_xlfn.XLOOKUP(D1347,beans!$A$2:$A$300,beans!$L$2:$L$300,"")),IF(_xlpm.x=" /  - ","",_xlpm.x))</f>
        <v/>
      </c>
    </row>
    <row r="1348" spans="1:35" x14ac:dyDescent="0.3">
      <c r="A1348">
        <v>1331</v>
      </c>
      <c r="E1348" t="str">
        <f>_xlfn.LET(_xlpm.x,_xlfn.XLOOKUP(D1348,beans!$A$2:$A$300,beans!$H$2:$H$300,""),IF(_xlpm.x="","",_xlpm.x))</f>
        <v/>
      </c>
      <c r="F1348" s="22" t="str">
        <f>_xlfn.XLOOKUP(E1348,menu!$A$2:$A$37,menu!$B$2:$B$37,"")</f>
        <v/>
      </c>
      <c r="G1348" t="str">
        <f>_xlfn.XLOOKUP(E1348,menu!$A$2:$A$37,menu!$C$2:$C$37,"")</f>
        <v/>
      </c>
      <c r="H1348" t="str">
        <f>_xlfn.LET(_xlpm.x,_xlfn.XLOOKUP(_xlfn.XLOOKUP(D1348,beans!$A$2:$A$300,beans!$I$2:$I$300),menu!$E$2:$E$20,menu!$F$2:$F$20),IF(_xlpm.x="","",_xlpm.x))</f>
        <v/>
      </c>
      <c r="T1348" s="68" t="str">
        <f t="shared" si="146"/>
        <v/>
      </c>
      <c r="U1348" t="str">
        <f t="shared" si="142"/>
        <v/>
      </c>
      <c r="V1348">
        <f t="shared" si="147"/>
        <v>0</v>
      </c>
      <c r="W1348" t="str">
        <f t="shared" si="143"/>
        <v/>
      </c>
      <c r="AB1348" s="28" t="str">
        <f t="shared" si="144"/>
        <v xml:space="preserve"> </v>
      </c>
      <c r="AE1348" s="61" t="str">
        <f t="shared" si="145"/>
        <v/>
      </c>
      <c r="AF1348" s="77" t="str">
        <f>_xlfn.XLOOKUP(AD1348,menu!$K$2:$K$9,menu!$J$2:$J$9,"",1)</f>
        <v/>
      </c>
      <c r="AG1348" s="80" t="str">
        <f>_xlfn.XLOOKUP(AH1348,menu!$O$2:$O$9,menu!$H$2:$H$9,"")</f>
        <v/>
      </c>
      <c r="AI1348" t="str">
        <f>_xlfn.LET(_xlpm.x,_xlfn.CONCAT(_xlfn.XLOOKUP(D1348,beans!$A$2:$A$300,beans!$J$2:$J$300,"")," / ",_xlfn.XLOOKUP(D1348,beans!$A$2:$A$300,beans!$K$2:$K$300,"")," - ",_xlfn.XLOOKUP(D1348,beans!$A$2:$A$300,beans!$L$2:$L$300,"")),IF(_xlpm.x=" /  - ","",_xlpm.x))</f>
        <v/>
      </c>
    </row>
    <row r="1349" spans="1:35" x14ac:dyDescent="0.3">
      <c r="A1349">
        <v>1332</v>
      </c>
      <c r="E1349" t="str">
        <f>_xlfn.LET(_xlpm.x,_xlfn.XLOOKUP(D1349,beans!$A$2:$A$300,beans!$H$2:$H$300,""),IF(_xlpm.x="","",_xlpm.x))</f>
        <v/>
      </c>
      <c r="F1349" s="22" t="str">
        <f>_xlfn.XLOOKUP(E1349,menu!$A$2:$A$37,menu!$B$2:$B$37,"")</f>
        <v/>
      </c>
      <c r="G1349" t="str">
        <f>_xlfn.XLOOKUP(E1349,menu!$A$2:$A$37,menu!$C$2:$C$37,"")</f>
        <v/>
      </c>
      <c r="H1349" t="str">
        <f>_xlfn.LET(_xlpm.x,_xlfn.XLOOKUP(_xlfn.XLOOKUP(D1349,beans!$A$2:$A$300,beans!$I$2:$I$300),menu!$E$2:$E$20,menu!$F$2:$F$20),IF(_xlpm.x="","",_xlpm.x))</f>
        <v/>
      </c>
      <c r="T1349" s="68" t="str">
        <f t="shared" si="146"/>
        <v/>
      </c>
      <c r="U1349" t="str">
        <f t="shared" si="142"/>
        <v/>
      </c>
      <c r="V1349">
        <f t="shared" si="147"/>
        <v>0</v>
      </c>
      <c r="W1349" t="str">
        <f t="shared" si="143"/>
        <v/>
      </c>
      <c r="AB1349" s="28" t="str">
        <f t="shared" si="144"/>
        <v xml:space="preserve"> </v>
      </c>
      <c r="AE1349" s="61" t="str">
        <f t="shared" si="145"/>
        <v/>
      </c>
      <c r="AF1349" s="77" t="str">
        <f>_xlfn.XLOOKUP(AD1349,menu!$K$2:$K$9,menu!$J$2:$J$9,"",1)</f>
        <v/>
      </c>
      <c r="AG1349" s="80" t="str">
        <f>_xlfn.XLOOKUP(AH1349,menu!$O$2:$O$9,menu!$H$2:$H$9,"")</f>
        <v/>
      </c>
      <c r="AI1349" t="str">
        <f>_xlfn.LET(_xlpm.x,_xlfn.CONCAT(_xlfn.XLOOKUP(D1349,beans!$A$2:$A$300,beans!$J$2:$J$300,"")," / ",_xlfn.XLOOKUP(D1349,beans!$A$2:$A$300,beans!$K$2:$K$300,"")," - ",_xlfn.XLOOKUP(D1349,beans!$A$2:$A$300,beans!$L$2:$L$300,"")),IF(_xlpm.x=" /  - ","",_xlpm.x))</f>
        <v/>
      </c>
    </row>
    <row r="1350" spans="1:35" x14ac:dyDescent="0.3">
      <c r="A1350">
        <v>1333</v>
      </c>
      <c r="E1350" t="str">
        <f>_xlfn.LET(_xlpm.x,_xlfn.XLOOKUP(D1350,beans!$A$2:$A$300,beans!$H$2:$H$300,""),IF(_xlpm.x="","",_xlpm.x))</f>
        <v/>
      </c>
      <c r="F1350" s="22" t="str">
        <f>_xlfn.XLOOKUP(E1350,menu!$A$2:$A$37,menu!$B$2:$B$37,"")</f>
        <v/>
      </c>
      <c r="G1350" t="str">
        <f>_xlfn.XLOOKUP(E1350,menu!$A$2:$A$37,menu!$C$2:$C$37,"")</f>
        <v/>
      </c>
      <c r="H1350" t="str">
        <f>_xlfn.LET(_xlpm.x,_xlfn.XLOOKUP(_xlfn.XLOOKUP(D1350,beans!$A$2:$A$300,beans!$I$2:$I$300),menu!$E$2:$E$20,menu!$F$2:$F$20),IF(_xlpm.x="","",_xlpm.x))</f>
        <v/>
      </c>
      <c r="T1350" s="68" t="str">
        <f t="shared" si="146"/>
        <v/>
      </c>
      <c r="U1350" t="str">
        <f t="shared" si="142"/>
        <v/>
      </c>
      <c r="V1350">
        <f t="shared" si="147"/>
        <v>0</v>
      </c>
      <c r="W1350" t="str">
        <f t="shared" si="143"/>
        <v/>
      </c>
      <c r="AB1350" s="28" t="str">
        <f t="shared" si="144"/>
        <v xml:space="preserve"> </v>
      </c>
      <c r="AE1350" s="61" t="str">
        <f t="shared" si="145"/>
        <v/>
      </c>
      <c r="AF1350" s="77" t="str">
        <f>_xlfn.XLOOKUP(AD1350,menu!$K$2:$K$9,menu!$J$2:$J$9,"",1)</f>
        <v/>
      </c>
      <c r="AG1350" s="80" t="str">
        <f>_xlfn.XLOOKUP(AH1350,menu!$O$2:$O$9,menu!$H$2:$H$9,"")</f>
        <v/>
      </c>
      <c r="AI1350" t="str">
        <f>_xlfn.LET(_xlpm.x,_xlfn.CONCAT(_xlfn.XLOOKUP(D1350,beans!$A$2:$A$300,beans!$J$2:$J$300,"")," / ",_xlfn.XLOOKUP(D1350,beans!$A$2:$A$300,beans!$K$2:$K$300,"")," - ",_xlfn.XLOOKUP(D1350,beans!$A$2:$A$300,beans!$L$2:$L$300,"")),IF(_xlpm.x=" /  - ","",_xlpm.x))</f>
        <v/>
      </c>
    </row>
    <row r="1351" spans="1:35" x14ac:dyDescent="0.3">
      <c r="A1351">
        <v>1334</v>
      </c>
      <c r="E1351" t="str">
        <f>_xlfn.LET(_xlpm.x,_xlfn.XLOOKUP(D1351,beans!$A$2:$A$300,beans!$H$2:$H$300,""),IF(_xlpm.x="","",_xlpm.x))</f>
        <v/>
      </c>
      <c r="F1351" s="22" t="str">
        <f>_xlfn.XLOOKUP(E1351,menu!$A$2:$A$37,menu!$B$2:$B$37,"")</f>
        <v/>
      </c>
      <c r="G1351" t="str">
        <f>_xlfn.XLOOKUP(E1351,menu!$A$2:$A$37,menu!$C$2:$C$37,"")</f>
        <v/>
      </c>
      <c r="H1351" t="str">
        <f>_xlfn.LET(_xlpm.x,_xlfn.XLOOKUP(_xlfn.XLOOKUP(D1351,beans!$A$2:$A$300,beans!$I$2:$I$300),menu!$E$2:$E$20,menu!$F$2:$F$20),IF(_xlpm.x="","",_xlpm.x))</f>
        <v/>
      </c>
      <c r="T1351" s="68" t="str">
        <f t="shared" si="146"/>
        <v/>
      </c>
      <c r="U1351" t="str">
        <f t="shared" si="142"/>
        <v/>
      </c>
      <c r="V1351">
        <f t="shared" si="147"/>
        <v>0</v>
      </c>
      <c r="W1351" t="str">
        <f t="shared" si="143"/>
        <v/>
      </c>
      <c r="AB1351" s="28" t="str">
        <f t="shared" si="144"/>
        <v xml:space="preserve"> </v>
      </c>
      <c r="AE1351" s="61" t="str">
        <f t="shared" si="145"/>
        <v/>
      </c>
      <c r="AF1351" s="77" t="str">
        <f>_xlfn.XLOOKUP(AD1351,menu!$K$2:$K$9,menu!$J$2:$J$9,"",1)</f>
        <v/>
      </c>
      <c r="AG1351" s="80" t="str">
        <f>_xlfn.XLOOKUP(AH1351,menu!$O$2:$O$9,menu!$H$2:$H$9,"")</f>
        <v/>
      </c>
      <c r="AI1351" t="str">
        <f>_xlfn.LET(_xlpm.x,_xlfn.CONCAT(_xlfn.XLOOKUP(D1351,beans!$A$2:$A$300,beans!$J$2:$J$300,"")," / ",_xlfn.XLOOKUP(D1351,beans!$A$2:$A$300,beans!$K$2:$K$300,"")," - ",_xlfn.XLOOKUP(D1351,beans!$A$2:$A$300,beans!$L$2:$L$300,"")),IF(_xlpm.x=" /  - ","",_xlpm.x))</f>
        <v/>
      </c>
    </row>
    <row r="1352" spans="1:35" x14ac:dyDescent="0.3">
      <c r="A1352">
        <v>1335</v>
      </c>
      <c r="E1352" t="str">
        <f>_xlfn.LET(_xlpm.x,_xlfn.XLOOKUP(D1352,beans!$A$2:$A$300,beans!$H$2:$H$300,""),IF(_xlpm.x="","",_xlpm.x))</f>
        <v/>
      </c>
      <c r="F1352" s="22" t="str">
        <f>_xlfn.XLOOKUP(E1352,menu!$A$2:$A$37,menu!$B$2:$B$37,"")</f>
        <v/>
      </c>
      <c r="G1352" t="str">
        <f>_xlfn.XLOOKUP(E1352,menu!$A$2:$A$37,menu!$C$2:$C$37,"")</f>
        <v/>
      </c>
      <c r="H1352" t="str">
        <f>_xlfn.LET(_xlpm.x,_xlfn.XLOOKUP(_xlfn.XLOOKUP(D1352,beans!$A$2:$A$300,beans!$I$2:$I$300),menu!$E$2:$E$20,menu!$F$2:$F$20),IF(_xlpm.x="","",_xlpm.x))</f>
        <v/>
      </c>
      <c r="T1352" s="68" t="str">
        <f t="shared" si="146"/>
        <v/>
      </c>
      <c r="U1352" t="str">
        <f t="shared" si="142"/>
        <v/>
      </c>
      <c r="V1352">
        <f t="shared" si="147"/>
        <v>0</v>
      </c>
      <c r="W1352" t="str">
        <f t="shared" si="143"/>
        <v/>
      </c>
      <c r="AB1352" s="28" t="str">
        <f t="shared" si="144"/>
        <v xml:space="preserve"> </v>
      </c>
      <c r="AE1352" s="61" t="str">
        <f t="shared" si="145"/>
        <v/>
      </c>
      <c r="AF1352" s="77" t="str">
        <f>_xlfn.XLOOKUP(AD1352,menu!$K$2:$K$9,menu!$J$2:$J$9,"",1)</f>
        <v/>
      </c>
      <c r="AG1352" s="80" t="str">
        <f>_xlfn.XLOOKUP(AH1352,menu!$O$2:$O$9,menu!$H$2:$H$9,"")</f>
        <v/>
      </c>
      <c r="AI1352" t="str">
        <f>_xlfn.LET(_xlpm.x,_xlfn.CONCAT(_xlfn.XLOOKUP(D1352,beans!$A$2:$A$300,beans!$J$2:$J$300,"")," / ",_xlfn.XLOOKUP(D1352,beans!$A$2:$A$300,beans!$K$2:$K$300,"")," - ",_xlfn.XLOOKUP(D1352,beans!$A$2:$A$300,beans!$L$2:$L$300,"")),IF(_xlpm.x=" /  - ","",_xlpm.x))</f>
        <v/>
      </c>
    </row>
    <row r="1353" spans="1:35" x14ac:dyDescent="0.3">
      <c r="A1353">
        <v>1336</v>
      </c>
      <c r="E1353" t="str">
        <f>_xlfn.LET(_xlpm.x,_xlfn.XLOOKUP(D1353,beans!$A$2:$A$300,beans!$H$2:$H$300,""),IF(_xlpm.x="","",_xlpm.x))</f>
        <v/>
      </c>
      <c r="F1353" s="22" t="str">
        <f>_xlfn.XLOOKUP(E1353,menu!$A$2:$A$37,menu!$B$2:$B$37,"")</f>
        <v/>
      </c>
      <c r="G1353" t="str">
        <f>_xlfn.XLOOKUP(E1353,menu!$A$2:$A$37,menu!$C$2:$C$37,"")</f>
        <v/>
      </c>
      <c r="H1353" t="str">
        <f>_xlfn.LET(_xlpm.x,_xlfn.XLOOKUP(_xlfn.XLOOKUP(D1353,beans!$A$2:$A$300,beans!$I$2:$I$300),menu!$E$2:$E$20,menu!$F$2:$F$20),IF(_xlpm.x="","",_xlpm.x))</f>
        <v/>
      </c>
      <c r="T1353" s="68" t="str">
        <f t="shared" si="146"/>
        <v/>
      </c>
      <c r="U1353" t="str">
        <f t="shared" si="142"/>
        <v/>
      </c>
      <c r="V1353">
        <f t="shared" si="147"/>
        <v>0</v>
      </c>
      <c r="W1353" t="str">
        <f t="shared" si="143"/>
        <v/>
      </c>
      <c r="AB1353" s="28" t="str">
        <f t="shared" si="144"/>
        <v xml:space="preserve"> </v>
      </c>
      <c r="AE1353" s="61" t="str">
        <f t="shared" si="145"/>
        <v/>
      </c>
      <c r="AF1353" s="77" t="str">
        <f>_xlfn.XLOOKUP(AD1353,menu!$K$2:$K$9,menu!$J$2:$J$9,"",1)</f>
        <v/>
      </c>
      <c r="AG1353" s="80" t="str">
        <f>_xlfn.XLOOKUP(AH1353,menu!$O$2:$O$9,menu!$H$2:$H$9,"")</f>
        <v/>
      </c>
      <c r="AI1353" t="str">
        <f>_xlfn.LET(_xlpm.x,_xlfn.CONCAT(_xlfn.XLOOKUP(D1353,beans!$A$2:$A$300,beans!$J$2:$J$300,"")," / ",_xlfn.XLOOKUP(D1353,beans!$A$2:$A$300,beans!$K$2:$K$300,"")," - ",_xlfn.XLOOKUP(D1353,beans!$A$2:$A$300,beans!$L$2:$L$300,"")),IF(_xlpm.x=" /  - ","",_xlpm.x))</f>
        <v/>
      </c>
    </row>
    <row r="1354" spans="1:35" x14ac:dyDescent="0.3">
      <c r="A1354">
        <v>1337</v>
      </c>
      <c r="E1354" t="str">
        <f>_xlfn.LET(_xlpm.x,_xlfn.XLOOKUP(D1354,beans!$A$2:$A$300,beans!$H$2:$H$300,""),IF(_xlpm.x="","",_xlpm.x))</f>
        <v/>
      </c>
      <c r="F1354" s="22" t="str">
        <f>_xlfn.XLOOKUP(E1354,menu!$A$2:$A$37,menu!$B$2:$B$37,"")</f>
        <v/>
      </c>
      <c r="G1354" t="str">
        <f>_xlfn.XLOOKUP(E1354,menu!$A$2:$A$37,menu!$C$2:$C$37,"")</f>
        <v/>
      </c>
      <c r="H1354" t="str">
        <f>_xlfn.LET(_xlpm.x,_xlfn.XLOOKUP(_xlfn.XLOOKUP(D1354,beans!$A$2:$A$300,beans!$I$2:$I$300),menu!$E$2:$E$20,menu!$F$2:$F$20),IF(_xlpm.x="","",_xlpm.x))</f>
        <v/>
      </c>
      <c r="T1354" s="68" t="str">
        <f t="shared" si="146"/>
        <v/>
      </c>
      <c r="U1354" t="str">
        <f t="shared" si="142"/>
        <v/>
      </c>
      <c r="V1354">
        <f t="shared" si="147"/>
        <v>0</v>
      </c>
      <c r="W1354" t="str">
        <f t="shared" si="143"/>
        <v/>
      </c>
      <c r="AB1354" s="28" t="str">
        <f t="shared" si="144"/>
        <v xml:space="preserve"> </v>
      </c>
      <c r="AE1354" s="61" t="str">
        <f t="shared" si="145"/>
        <v/>
      </c>
      <c r="AF1354" s="77" t="str">
        <f>_xlfn.XLOOKUP(AD1354,menu!$K$2:$K$9,menu!$J$2:$J$9,"",1)</f>
        <v/>
      </c>
      <c r="AG1354" s="80" t="str">
        <f>_xlfn.XLOOKUP(AH1354,menu!$O$2:$O$9,menu!$H$2:$H$9,"")</f>
        <v/>
      </c>
      <c r="AI1354" t="str">
        <f>_xlfn.LET(_xlpm.x,_xlfn.CONCAT(_xlfn.XLOOKUP(D1354,beans!$A$2:$A$300,beans!$J$2:$J$300,"")," / ",_xlfn.XLOOKUP(D1354,beans!$A$2:$A$300,beans!$K$2:$K$300,"")," - ",_xlfn.XLOOKUP(D1354,beans!$A$2:$A$300,beans!$L$2:$L$300,"")),IF(_xlpm.x=" /  - ","",_xlpm.x))</f>
        <v/>
      </c>
    </row>
    <row r="1355" spans="1:35" x14ac:dyDescent="0.3">
      <c r="A1355">
        <v>1338</v>
      </c>
      <c r="E1355" t="str">
        <f>_xlfn.LET(_xlpm.x,_xlfn.XLOOKUP(D1355,beans!$A$2:$A$300,beans!$H$2:$H$300,""),IF(_xlpm.x="","",_xlpm.x))</f>
        <v/>
      </c>
      <c r="F1355" s="22" t="str">
        <f>_xlfn.XLOOKUP(E1355,menu!$A$2:$A$37,menu!$B$2:$B$37,"")</f>
        <v/>
      </c>
      <c r="G1355" t="str">
        <f>_xlfn.XLOOKUP(E1355,menu!$A$2:$A$37,menu!$C$2:$C$37,"")</f>
        <v/>
      </c>
      <c r="H1355" t="str">
        <f>_xlfn.LET(_xlpm.x,_xlfn.XLOOKUP(_xlfn.XLOOKUP(D1355,beans!$A$2:$A$300,beans!$I$2:$I$300),menu!$E$2:$E$20,menu!$F$2:$F$20),IF(_xlpm.x="","",_xlpm.x))</f>
        <v/>
      </c>
      <c r="T1355" s="68" t="str">
        <f t="shared" si="146"/>
        <v/>
      </c>
      <c r="U1355" t="str">
        <f t="shared" si="142"/>
        <v/>
      </c>
      <c r="V1355">
        <f t="shared" si="147"/>
        <v>0</v>
      </c>
      <c r="W1355" t="str">
        <f t="shared" si="143"/>
        <v/>
      </c>
      <c r="AB1355" s="28" t="str">
        <f t="shared" si="144"/>
        <v xml:space="preserve"> </v>
      </c>
      <c r="AE1355" s="61" t="str">
        <f t="shared" si="145"/>
        <v/>
      </c>
      <c r="AF1355" s="77" t="str">
        <f>_xlfn.XLOOKUP(AD1355,menu!$K$2:$K$9,menu!$J$2:$J$9,"",1)</f>
        <v/>
      </c>
      <c r="AG1355" s="80" t="str">
        <f>_xlfn.XLOOKUP(AH1355,menu!$O$2:$O$9,menu!$H$2:$H$9,"")</f>
        <v/>
      </c>
      <c r="AI1355" t="str">
        <f>_xlfn.LET(_xlpm.x,_xlfn.CONCAT(_xlfn.XLOOKUP(D1355,beans!$A$2:$A$300,beans!$J$2:$J$300,"")," / ",_xlfn.XLOOKUP(D1355,beans!$A$2:$A$300,beans!$K$2:$K$300,"")," - ",_xlfn.XLOOKUP(D1355,beans!$A$2:$A$300,beans!$L$2:$L$300,"")),IF(_xlpm.x=" /  - ","",_xlpm.x))</f>
        <v/>
      </c>
    </row>
    <row r="1356" spans="1:35" x14ac:dyDescent="0.3">
      <c r="A1356">
        <v>1339</v>
      </c>
      <c r="E1356" t="str">
        <f>_xlfn.LET(_xlpm.x,_xlfn.XLOOKUP(D1356,beans!$A$2:$A$300,beans!$H$2:$H$300,""),IF(_xlpm.x="","",_xlpm.x))</f>
        <v/>
      </c>
      <c r="F1356" s="22" t="str">
        <f>_xlfn.XLOOKUP(E1356,menu!$A$2:$A$37,menu!$B$2:$B$37,"")</f>
        <v/>
      </c>
      <c r="G1356" t="str">
        <f>_xlfn.XLOOKUP(E1356,menu!$A$2:$A$37,menu!$C$2:$C$37,"")</f>
        <v/>
      </c>
      <c r="H1356" t="str">
        <f>_xlfn.LET(_xlpm.x,_xlfn.XLOOKUP(_xlfn.XLOOKUP(D1356,beans!$A$2:$A$300,beans!$I$2:$I$300),menu!$E$2:$E$20,menu!$F$2:$F$20),IF(_xlpm.x="","",_xlpm.x))</f>
        <v/>
      </c>
      <c r="T1356" s="68" t="str">
        <f t="shared" si="146"/>
        <v/>
      </c>
      <c r="U1356" t="str">
        <f t="shared" si="142"/>
        <v/>
      </c>
      <c r="V1356">
        <f t="shared" si="147"/>
        <v>0</v>
      </c>
      <c r="W1356" t="str">
        <f t="shared" si="143"/>
        <v/>
      </c>
      <c r="AB1356" s="28" t="str">
        <f t="shared" si="144"/>
        <v xml:space="preserve"> </v>
      </c>
      <c r="AE1356" s="61" t="str">
        <f t="shared" si="145"/>
        <v/>
      </c>
      <c r="AF1356" s="77" t="str">
        <f>_xlfn.XLOOKUP(AD1356,menu!$K$2:$K$9,menu!$J$2:$J$9,"",1)</f>
        <v/>
      </c>
      <c r="AG1356" s="80" t="str">
        <f>_xlfn.XLOOKUP(AH1356,menu!$O$2:$O$9,menu!$H$2:$H$9,"")</f>
        <v/>
      </c>
      <c r="AI1356" t="str">
        <f>_xlfn.LET(_xlpm.x,_xlfn.CONCAT(_xlfn.XLOOKUP(D1356,beans!$A$2:$A$300,beans!$J$2:$J$300,"")," / ",_xlfn.XLOOKUP(D1356,beans!$A$2:$A$300,beans!$K$2:$K$300,"")," - ",_xlfn.XLOOKUP(D1356,beans!$A$2:$A$300,beans!$L$2:$L$300,"")),IF(_xlpm.x=" /  - ","",_xlpm.x))</f>
        <v/>
      </c>
    </row>
    <row r="1357" spans="1:35" x14ac:dyDescent="0.3">
      <c r="A1357">
        <v>1340</v>
      </c>
      <c r="E1357" t="str">
        <f>_xlfn.LET(_xlpm.x,_xlfn.XLOOKUP(D1357,beans!$A$2:$A$300,beans!$H$2:$H$300,""),IF(_xlpm.x="","",_xlpm.x))</f>
        <v/>
      </c>
      <c r="F1357" s="22" t="str">
        <f>_xlfn.XLOOKUP(E1357,menu!$A$2:$A$37,menu!$B$2:$B$37,"")</f>
        <v/>
      </c>
      <c r="G1357" t="str">
        <f>_xlfn.XLOOKUP(E1357,menu!$A$2:$A$37,menu!$C$2:$C$37,"")</f>
        <v/>
      </c>
      <c r="H1357" t="str">
        <f>_xlfn.LET(_xlpm.x,_xlfn.XLOOKUP(_xlfn.XLOOKUP(D1357,beans!$A$2:$A$300,beans!$I$2:$I$300),menu!$E$2:$E$20,menu!$F$2:$F$20),IF(_xlpm.x="","",_xlpm.x))</f>
        <v/>
      </c>
      <c r="T1357" s="68" t="str">
        <f t="shared" si="146"/>
        <v/>
      </c>
      <c r="U1357" t="str">
        <f t="shared" si="142"/>
        <v/>
      </c>
      <c r="V1357">
        <f t="shared" si="147"/>
        <v>0</v>
      </c>
      <c r="W1357" t="str">
        <f t="shared" si="143"/>
        <v/>
      </c>
      <c r="AB1357" s="28" t="str">
        <f t="shared" si="144"/>
        <v xml:space="preserve"> </v>
      </c>
      <c r="AE1357" s="61" t="str">
        <f t="shared" si="145"/>
        <v/>
      </c>
      <c r="AF1357" s="77" t="str">
        <f>_xlfn.XLOOKUP(AD1357,menu!$K$2:$K$9,menu!$J$2:$J$9,"",1)</f>
        <v/>
      </c>
      <c r="AG1357" s="80" t="str">
        <f>_xlfn.XLOOKUP(AH1357,menu!$O$2:$O$9,menu!$H$2:$H$9,"")</f>
        <v/>
      </c>
      <c r="AI1357" t="str">
        <f>_xlfn.LET(_xlpm.x,_xlfn.CONCAT(_xlfn.XLOOKUP(D1357,beans!$A$2:$A$300,beans!$J$2:$J$300,"")," / ",_xlfn.XLOOKUP(D1357,beans!$A$2:$A$300,beans!$K$2:$K$300,"")," - ",_xlfn.XLOOKUP(D1357,beans!$A$2:$A$300,beans!$L$2:$L$300,"")),IF(_xlpm.x=" /  - ","",_xlpm.x))</f>
        <v/>
      </c>
    </row>
    <row r="1358" spans="1:35" x14ac:dyDescent="0.3">
      <c r="A1358">
        <v>1341</v>
      </c>
      <c r="E1358" t="str">
        <f>_xlfn.LET(_xlpm.x,_xlfn.XLOOKUP(D1358,beans!$A$2:$A$300,beans!$H$2:$H$300,""),IF(_xlpm.x="","",_xlpm.x))</f>
        <v/>
      </c>
      <c r="F1358" s="22" t="str">
        <f>_xlfn.XLOOKUP(E1358,menu!$A$2:$A$37,menu!$B$2:$B$37,"")</f>
        <v/>
      </c>
      <c r="G1358" t="str">
        <f>_xlfn.XLOOKUP(E1358,menu!$A$2:$A$37,menu!$C$2:$C$37,"")</f>
        <v/>
      </c>
      <c r="H1358" t="str">
        <f>_xlfn.LET(_xlpm.x,_xlfn.XLOOKUP(_xlfn.XLOOKUP(D1358,beans!$A$2:$A$300,beans!$I$2:$I$300),menu!$E$2:$E$20,menu!$F$2:$F$20),IF(_xlpm.x="","",_xlpm.x))</f>
        <v/>
      </c>
      <c r="T1358" s="68" t="str">
        <f t="shared" si="146"/>
        <v/>
      </c>
      <c r="U1358" t="str">
        <f t="shared" si="142"/>
        <v/>
      </c>
      <c r="V1358">
        <f t="shared" si="147"/>
        <v>0</v>
      </c>
      <c r="W1358" t="str">
        <f t="shared" si="143"/>
        <v/>
      </c>
      <c r="AB1358" s="28" t="str">
        <f t="shared" si="144"/>
        <v xml:space="preserve"> </v>
      </c>
      <c r="AE1358" s="61" t="str">
        <f t="shared" si="145"/>
        <v/>
      </c>
      <c r="AF1358" s="77" t="str">
        <f>_xlfn.XLOOKUP(AD1358,menu!$K$2:$K$9,menu!$J$2:$J$9,"",1)</f>
        <v/>
      </c>
      <c r="AG1358" s="80" t="str">
        <f>_xlfn.XLOOKUP(AH1358,menu!$O$2:$O$9,menu!$H$2:$H$9,"")</f>
        <v/>
      </c>
      <c r="AI1358" t="str">
        <f>_xlfn.LET(_xlpm.x,_xlfn.CONCAT(_xlfn.XLOOKUP(D1358,beans!$A$2:$A$300,beans!$J$2:$J$300,"")," / ",_xlfn.XLOOKUP(D1358,beans!$A$2:$A$300,beans!$K$2:$K$300,"")," - ",_xlfn.XLOOKUP(D1358,beans!$A$2:$A$300,beans!$L$2:$L$300,"")),IF(_xlpm.x=" /  - ","",_xlpm.x))</f>
        <v/>
      </c>
    </row>
    <row r="1359" spans="1:35" x14ac:dyDescent="0.3">
      <c r="A1359">
        <v>1342</v>
      </c>
      <c r="E1359" t="str">
        <f>_xlfn.LET(_xlpm.x,_xlfn.XLOOKUP(D1359,beans!$A$2:$A$300,beans!$H$2:$H$300,""),IF(_xlpm.x="","",_xlpm.x))</f>
        <v/>
      </c>
      <c r="F1359" s="22" t="str">
        <f>_xlfn.XLOOKUP(E1359,menu!$A$2:$A$37,menu!$B$2:$B$37,"")</f>
        <v/>
      </c>
      <c r="G1359" t="str">
        <f>_xlfn.XLOOKUP(E1359,menu!$A$2:$A$37,menu!$C$2:$C$37,"")</f>
        <v/>
      </c>
      <c r="H1359" t="str">
        <f>_xlfn.LET(_xlpm.x,_xlfn.XLOOKUP(_xlfn.XLOOKUP(D1359,beans!$A$2:$A$300,beans!$I$2:$I$300),menu!$E$2:$E$20,menu!$F$2:$F$20),IF(_xlpm.x="","",_xlpm.x))</f>
        <v/>
      </c>
      <c r="T1359" s="68" t="str">
        <f t="shared" si="146"/>
        <v/>
      </c>
      <c r="U1359" t="str">
        <f t="shared" si="142"/>
        <v/>
      </c>
      <c r="V1359">
        <f t="shared" si="147"/>
        <v>0</v>
      </c>
      <c r="W1359" t="str">
        <f t="shared" si="143"/>
        <v/>
      </c>
      <c r="AB1359" s="28" t="str">
        <f t="shared" si="144"/>
        <v xml:space="preserve"> </v>
      </c>
      <c r="AE1359" s="61" t="str">
        <f t="shared" si="145"/>
        <v/>
      </c>
      <c r="AF1359" s="77" t="str">
        <f>_xlfn.XLOOKUP(AD1359,menu!$K$2:$K$9,menu!$J$2:$J$9,"",1)</f>
        <v/>
      </c>
      <c r="AG1359" s="80" t="str">
        <f>_xlfn.XLOOKUP(AH1359,menu!$O$2:$O$9,menu!$H$2:$H$9,"")</f>
        <v/>
      </c>
      <c r="AI1359" t="str">
        <f>_xlfn.LET(_xlpm.x,_xlfn.CONCAT(_xlfn.XLOOKUP(D1359,beans!$A$2:$A$300,beans!$J$2:$J$300,"")," / ",_xlfn.XLOOKUP(D1359,beans!$A$2:$A$300,beans!$K$2:$K$300,"")," - ",_xlfn.XLOOKUP(D1359,beans!$A$2:$A$300,beans!$L$2:$L$300,"")),IF(_xlpm.x=" /  - ","",_xlpm.x))</f>
        <v/>
      </c>
    </row>
    <row r="1360" spans="1:35" x14ac:dyDescent="0.3">
      <c r="A1360">
        <v>1343</v>
      </c>
      <c r="E1360" t="str">
        <f>_xlfn.LET(_xlpm.x,_xlfn.XLOOKUP(D1360,beans!$A$2:$A$300,beans!$H$2:$H$300,""),IF(_xlpm.x="","",_xlpm.x))</f>
        <v/>
      </c>
      <c r="F1360" s="22" t="str">
        <f>_xlfn.XLOOKUP(E1360,menu!$A$2:$A$37,menu!$B$2:$B$37,"")</f>
        <v/>
      </c>
      <c r="G1360" t="str">
        <f>_xlfn.XLOOKUP(E1360,menu!$A$2:$A$37,menu!$C$2:$C$37,"")</f>
        <v/>
      </c>
      <c r="H1360" t="str">
        <f>_xlfn.LET(_xlpm.x,_xlfn.XLOOKUP(_xlfn.XLOOKUP(D1360,beans!$A$2:$A$300,beans!$I$2:$I$300),menu!$E$2:$E$20,menu!$F$2:$F$20),IF(_xlpm.x="","",_xlpm.x))</f>
        <v/>
      </c>
      <c r="T1360" s="68" t="str">
        <f t="shared" si="146"/>
        <v/>
      </c>
      <c r="U1360" t="str">
        <f t="shared" si="142"/>
        <v/>
      </c>
      <c r="V1360">
        <f t="shared" si="147"/>
        <v>0</v>
      </c>
      <c r="W1360" t="str">
        <f t="shared" si="143"/>
        <v/>
      </c>
      <c r="AB1360" s="28" t="str">
        <f t="shared" si="144"/>
        <v xml:space="preserve"> </v>
      </c>
      <c r="AE1360" s="61" t="str">
        <f t="shared" si="145"/>
        <v/>
      </c>
      <c r="AF1360" s="77" t="str">
        <f>_xlfn.XLOOKUP(AD1360,menu!$K$2:$K$9,menu!$J$2:$J$9,"",1)</f>
        <v/>
      </c>
      <c r="AG1360" s="80" t="str">
        <f>_xlfn.XLOOKUP(AH1360,menu!$O$2:$O$9,menu!$H$2:$H$9,"")</f>
        <v/>
      </c>
      <c r="AI1360" t="str">
        <f>_xlfn.LET(_xlpm.x,_xlfn.CONCAT(_xlfn.XLOOKUP(D1360,beans!$A$2:$A$300,beans!$J$2:$J$300,"")," / ",_xlfn.XLOOKUP(D1360,beans!$A$2:$A$300,beans!$K$2:$K$300,"")," - ",_xlfn.XLOOKUP(D1360,beans!$A$2:$A$300,beans!$L$2:$L$300,"")),IF(_xlpm.x=" /  - ","",_xlpm.x))</f>
        <v/>
      </c>
    </row>
    <row r="1361" spans="1:35" x14ac:dyDescent="0.3">
      <c r="A1361">
        <v>1344</v>
      </c>
      <c r="E1361" t="str">
        <f>_xlfn.LET(_xlpm.x,_xlfn.XLOOKUP(D1361,beans!$A$2:$A$300,beans!$H$2:$H$300,""),IF(_xlpm.x="","",_xlpm.x))</f>
        <v/>
      </c>
      <c r="F1361" s="22" t="str">
        <f>_xlfn.XLOOKUP(E1361,menu!$A$2:$A$37,menu!$B$2:$B$37,"")</f>
        <v/>
      </c>
      <c r="G1361" t="str">
        <f>_xlfn.XLOOKUP(E1361,menu!$A$2:$A$37,menu!$C$2:$C$37,"")</f>
        <v/>
      </c>
      <c r="H1361" t="str">
        <f>_xlfn.LET(_xlpm.x,_xlfn.XLOOKUP(_xlfn.XLOOKUP(D1361,beans!$A$2:$A$300,beans!$I$2:$I$300),menu!$E$2:$E$20,menu!$F$2:$F$20),IF(_xlpm.x="","",_xlpm.x))</f>
        <v/>
      </c>
      <c r="T1361" s="68" t="str">
        <f t="shared" si="146"/>
        <v/>
      </c>
      <c r="U1361" t="str">
        <f t="shared" si="142"/>
        <v/>
      </c>
      <c r="V1361">
        <f t="shared" si="147"/>
        <v>0</v>
      </c>
      <c r="W1361" t="str">
        <f t="shared" si="143"/>
        <v/>
      </c>
      <c r="AB1361" s="28" t="str">
        <f t="shared" si="144"/>
        <v xml:space="preserve"> </v>
      </c>
      <c r="AE1361" s="61" t="str">
        <f t="shared" si="145"/>
        <v/>
      </c>
      <c r="AF1361" s="77" t="str">
        <f>_xlfn.XLOOKUP(AD1361,menu!$K$2:$K$9,menu!$J$2:$J$9,"",1)</f>
        <v/>
      </c>
      <c r="AG1361" s="80" t="str">
        <f>_xlfn.XLOOKUP(AH1361,menu!$O$2:$O$9,menu!$H$2:$H$9,"")</f>
        <v/>
      </c>
      <c r="AI1361" t="str">
        <f>_xlfn.LET(_xlpm.x,_xlfn.CONCAT(_xlfn.XLOOKUP(D1361,beans!$A$2:$A$300,beans!$J$2:$J$300,"")," / ",_xlfn.XLOOKUP(D1361,beans!$A$2:$A$300,beans!$K$2:$K$300,"")," - ",_xlfn.XLOOKUP(D1361,beans!$A$2:$A$300,beans!$L$2:$L$300,"")),IF(_xlpm.x=" /  - ","",_xlpm.x))</f>
        <v/>
      </c>
    </row>
    <row r="1362" spans="1:35" x14ac:dyDescent="0.3">
      <c r="A1362">
        <v>1345</v>
      </c>
      <c r="E1362" t="str">
        <f>_xlfn.LET(_xlpm.x,_xlfn.XLOOKUP(D1362,beans!$A$2:$A$300,beans!$H$2:$H$300,""),IF(_xlpm.x="","",_xlpm.x))</f>
        <v/>
      </c>
      <c r="F1362" s="22" t="str">
        <f>_xlfn.XLOOKUP(E1362,menu!$A$2:$A$37,menu!$B$2:$B$37,"")</f>
        <v/>
      </c>
      <c r="G1362" t="str">
        <f>_xlfn.XLOOKUP(E1362,menu!$A$2:$A$37,menu!$C$2:$C$37,"")</f>
        <v/>
      </c>
      <c r="H1362" t="str">
        <f>_xlfn.LET(_xlpm.x,_xlfn.XLOOKUP(_xlfn.XLOOKUP(D1362,beans!$A$2:$A$300,beans!$I$2:$I$300),menu!$E$2:$E$20,menu!$F$2:$F$20),IF(_xlpm.x="","",_xlpm.x))</f>
        <v/>
      </c>
      <c r="T1362" s="68" t="str">
        <f t="shared" si="146"/>
        <v/>
      </c>
      <c r="U1362" t="str">
        <f t="shared" si="142"/>
        <v/>
      </c>
      <c r="V1362">
        <f t="shared" si="147"/>
        <v>0</v>
      </c>
      <c r="W1362" t="str">
        <f t="shared" si="143"/>
        <v/>
      </c>
      <c r="AB1362" s="28" t="str">
        <f t="shared" si="144"/>
        <v xml:space="preserve"> </v>
      </c>
      <c r="AE1362" s="61" t="str">
        <f t="shared" si="145"/>
        <v/>
      </c>
      <c r="AF1362" s="77" t="str">
        <f>_xlfn.XLOOKUP(AD1362,menu!$K$2:$K$9,menu!$J$2:$J$9,"",1)</f>
        <v/>
      </c>
      <c r="AG1362" s="80" t="str">
        <f>_xlfn.XLOOKUP(AH1362,menu!$O$2:$O$9,menu!$H$2:$H$9,"")</f>
        <v/>
      </c>
      <c r="AI1362" t="str">
        <f>_xlfn.LET(_xlpm.x,_xlfn.CONCAT(_xlfn.XLOOKUP(D1362,beans!$A$2:$A$300,beans!$J$2:$J$300,"")," / ",_xlfn.XLOOKUP(D1362,beans!$A$2:$A$300,beans!$K$2:$K$300,"")," - ",_xlfn.XLOOKUP(D1362,beans!$A$2:$A$300,beans!$L$2:$L$300,"")),IF(_xlpm.x=" /  - ","",_xlpm.x))</f>
        <v/>
      </c>
    </row>
    <row r="1363" spans="1:35" x14ac:dyDescent="0.3">
      <c r="A1363">
        <v>1346</v>
      </c>
      <c r="E1363" t="str">
        <f>_xlfn.LET(_xlpm.x,_xlfn.XLOOKUP(D1363,beans!$A$2:$A$300,beans!$H$2:$H$300,""),IF(_xlpm.x="","",_xlpm.x))</f>
        <v/>
      </c>
      <c r="F1363" s="22" t="str">
        <f>_xlfn.XLOOKUP(E1363,menu!$A$2:$A$37,menu!$B$2:$B$37,"")</f>
        <v/>
      </c>
      <c r="G1363" t="str">
        <f>_xlfn.XLOOKUP(E1363,menu!$A$2:$A$37,menu!$C$2:$C$37,"")</f>
        <v/>
      </c>
      <c r="H1363" t="str">
        <f>_xlfn.LET(_xlpm.x,_xlfn.XLOOKUP(_xlfn.XLOOKUP(D1363,beans!$A$2:$A$300,beans!$I$2:$I$300),menu!$E$2:$E$20,menu!$F$2:$F$20),IF(_xlpm.x="","",_xlpm.x))</f>
        <v/>
      </c>
      <c r="T1363" s="68" t="str">
        <f t="shared" si="146"/>
        <v/>
      </c>
      <c r="U1363" t="str">
        <f t="shared" si="142"/>
        <v/>
      </c>
      <c r="V1363">
        <f t="shared" si="147"/>
        <v>0</v>
      </c>
      <c r="W1363" t="str">
        <f t="shared" si="143"/>
        <v/>
      </c>
      <c r="AB1363" s="28" t="str">
        <f t="shared" si="144"/>
        <v xml:space="preserve"> </v>
      </c>
      <c r="AE1363" s="61" t="str">
        <f t="shared" si="145"/>
        <v/>
      </c>
      <c r="AF1363" s="77" t="str">
        <f>_xlfn.XLOOKUP(AD1363,menu!$K$2:$K$9,menu!$J$2:$J$9,"",1)</f>
        <v/>
      </c>
      <c r="AG1363" s="80" t="str">
        <f>_xlfn.XLOOKUP(AH1363,menu!$O$2:$O$9,menu!$H$2:$H$9,"")</f>
        <v/>
      </c>
      <c r="AI1363" t="str">
        <f>_xlfn.LET(_xlpm.x,_xlfn.CONCAT(_xlfn.XLOOKUP(D1363,beans!$A$2:$A$300,beans!$J$2:$J$300,"")," / ",_xlfn.XLOOKUP(D1363,beans!$A$2:$A$300,beans!$K$2:$K$300,"")," - ",_xlfn.XLOOKUP(D1363,beans!$A$2:$A$300,beans!$L$2:$L$300,"")),IF(_xlpm.x=" /  - ","",_xlpm.x))</f>
        <v/>
      </c>
    </row>
    <row r="1364" spans="1:35" x14ac:dyDescent="0.3">
      <c r="A1364">
        <v>1347</v>
      </c>
      <c r="E1364" t="str">
        <f>_xlfn.LET(_xlpm.x,_xlfn.XLOOKUP(D1364,beans!$A$2:$A$300,beans!$H$2:$H$300,""),IF(_xlpm.x="","",_xlpm.x))</f>
        <v/>
      </c>
      <c r="F1364" s="22" t="str">
        <f>_xlfn.XLOOKUP(E1364,menu!$A$2:$A$37,menu!$B$2:$B$37,"")</f>
        <v/>
      </c>
      <c r="G1364" t="str">
        <f>_xlfn.XLOOKUP(E1364,menu!$A$2:$A$37,menu!$C$2:$C$37,"")</f>
        <v/>
      </c>
      <c r="H1364" t="str">
        <f>_xlfn.LET(_xlpm.x,_xlfn.XLOOKUP(_xlfn.XLOOKUP(D1364,beans!$A$2:$A$300,beans!$I$2:$I$300),menu!$E$2:$E$20,menu!$F$2:$F$20),IF(_xlpm.x="","",_xlpm.x))</f>
        <v/>
      </c>
      <c r="T1364" s="68" t="str">
        <f t="shared" si="146"/>
        <v/>
      </c>
      <c r="U1364" t="str">
        <f t="shared" si="142"/>
        <v/>
      </c>
      <c r="V1364">
        <f t="shared" si="147"/>
        <v>0</v>
      </c>
      <c r="W1364" t="str">
        <f t="shared" si="143"/>
        <v/>
      </c>
      <c r="AB1364" s="28" t="str">
        <f t="shared" si="144"/>
        <v xml:space="preserve"> </v>
      </c>
      <c r="AE1364" s="61" t="str">
        <f t="shared" si="145"/>
        <v/>
      </c>
      <c r="AF1364" s="77" t="str">
        <f>_xlfn.XLOOKUP(AD1364,menu!$K$2:$K$9,menu!$J$2:$J$9,"",1)</f>
        <v/>
      </c>
      <c r="AG1364" s="80" t="str">
        <f>_xlfn.XLOOKUP(AH1364,menu!$O$2:$O$9,menu!$H$2:$H$9,"")</f>
        <v/>
      </c>
      <c r="AI1364" t="str">
        <f>_xlfn.LET(_xlpm.x,_xlfn.CONCAT(_xlfn.XLOOKUP(D1364,beans!$A$2:$A$300,beans!$J$2:$J$300,"")," / ",_xlfn.XLOOKUP(D1364,beans!$A$2:$A$300,beans!$K$2:$K$300,"")," - ",_xlfn.XLOOKUP(D1364,beans!$A$2:$A$300,beans!$L$2:$L$300,"")),IF(_xlpm.x=" /  - ","",_xlpm.x))</f>
        <v/>
      </c>
    </row>
    <row r="1365" spans="1:35" x14ac:dyDescent="0.3">
      <c r="A1365">
        <v>1348</v>
      </c>
      <c r="E1365" t="str">
        <f>_xlfn.LET(_xlpm.x,_xlfn.XLOOKUP(D1365,beans!$A$2:$A$300,beans!$H$2:$H$300,""),IF(_xlpm.x="","",_xlpm.x))</f>
        <v/>
      </c>
      <c r="F1365" s="22" t="str">
        <f>_xlfn.XLOOKUP(E1365,menu!$A$2:$A$37,menu!$B$2:$B$37,"")</f>
        <v/>
      </c>
      <c r="G1365" t="str">
        <f>_xlfn.XLOOKUP(E1365,menu!$A$2:$A$37,menu!$C$2:$C$37,"")</f>
        <v/>
      </c>
      <c r="H1365" t="str">
        <f>_xlfn.LET(_xlpm.x,_xlfn.XLOOKUP(_xlfn.XLOOKUP(D1365,beans!$A$2:$A$300,beans!$I$2:$I$300),menu!$E$2:$E$20,menu!$F$2:$F$20),IF(_xlpm.x="","",_xlpm.x))</f>
        <v/>
      </c>
      <c r="T1365" s="68" t="str">
        <f t="shared" si="146"/>
        <v/>
      </c>
      <c r="U1365" t="str">
        <f t="shared" si="142"/>
        <v/>
      </c>
      <c r="V1365">
        <f t="shared" si="147"/>
        <v>0</v>
      </c>
      <c r="W1365" t="str">
        <f t="shared" si="143"/>
        <v/>
      </c>
      <c r="AB1365" s="28" t="str">
        <f t="shared" si="144"/>
        <v xml:space="preserve"> </v>
      </c>
      <c r="AE1365" s="61" t="str">
        <f t="shared" si="145"/>
        <v/>
      </c>
      <c r="AF1365" s="77" t="str">
        <f>_xlfn.XLOOKUP(AD1365,menu!$K$2:$K$9,menu!$J$2:$J$9,"",1)</f>
        <v/>
      </c>
      <c r="AG1365" s="80" t="str">
        <f>_xlfn.XLOOKUP(AH1365,menu!$O$2:$O$9,menu!$H$2:$H$9,"")</f>
        <v/>
      </c>
      <c r="AI1365" t="str">
        <f>_xlfn.LET(_xlpm.x,_xlfn.CONCAT(_xlfn.XLOOKUP(D1365,beans!$A$2:$A$300,beans!$J$2:$J$300,"")," / ",_xlfn.XLOOKUP(D1365,beans!$A$2:$A$300,beans!$K$2:$K$300,"")," - ",_xlfn.XLOOKUP(D1365,beans!$A$2:$A$300,beans!$L$2:$L$300,"")),IF(_xlpm.x=" /  - ","",_xlpm.x))</f>
        <v/>
      </c>
    </row>
    <row r="1366" spans="1:35" x14ac:dyDescent="0.3">
      <c r="A1366">
        <v>1349</v>
      </c>
      <c r="E1366" t="str">
        <f>_xlfn.LET(_xlpm.x,_xlfn.XLOOKUP(D1366,beans!$A$2:$A$300,beans!$H$2:$H$300,""),IF(_xlpm.x="","",_xlpm.x))</f>
        <v/>
      </c>
      <c r="F1366" s="22" t="str">
        <f>_xlfn.XLOOKUP(E1366,menu!$A$2:$A$37,menu!$B$2:$B$37,"")</f>
        <v/>
      </c>
      <c r="G1366" t="str">
        <f>_xlfn.XLOOKUP(E1366,menu!$A$2:$A$37,menu!$C$2:$C$37,"")</f>
        <v/>
      </c>
      <c r="H1366" t="str">
        <f>_xlfn.LET(_xlpm.x,_xlfn.XLOOKUP(_xlfn.XLOOKUP(D1366,beans!$A$2:$A$300,beans!$I$2:$I$300),menu!$E$2:$E$20,menu!$F$2:$F$20),IF(_xlpm.x="","",_xlpm.x))</f>
        <v/>
      </c>
      <c r="T1366" s="68" t="str">
        <f t="shared" si="146"/>
        <v/>
      </c>
      <c r="U1366" t="str">
        <f t="shared" si="142"/>
        <v/>
      </c>
      <c r="V1366">
        <f t="shared" si="147"/>
        <v>0</v>
      </c>
      <c r="W1366" t="str">
        <f t="shared" si="143"/>
        <v/>
      </c>
      <c r="AB1366" s="28" t="str">
        <f t="shared" si="144"/>
        <v xml:space="preserve"> </v>
      </c>
      <c r="AE1366" s="61" t="str">
        <f t="shared" si="145"/>
        <v/>
      </c>
      <c r="AF1366" s="77" t="str">
        <f>_xlfn.XLOOKUP(AD1366,menu!$K$2:$K$9,menu!$J$2:$J$9,"",1)</f>
        <v/>
      </c>
      <c r="AG1366" s="80" t="str">
        <f>_xlfn.XLOOKUP(AH1366,menu!$O$2:$O$9,menu!$H$2:$H$9,"")</f>
        <v/>
      </c>
      <c r="AI1366" t="str">
        <f>_xlfn.LET(_xlpm.x,_xlfn.CONCAT(_xlfn.XLOOKUP(D1366,beans!$A$2:$A$300,beans!$J$2:$J$300,"")," / ",_xlfn.XLOOKUP(D1366,beans!$A$2:$A$300,beans!$K$2:$K$300,"")," - ",_xlfn.XLOOKUP(D1366,beans!$A$2:$A$300,beans!$L$2:$L$300,"")),IF(_xlpm.x=" /  - ","",_xlpm.x))</f>
        <v/>
      </c>
    </row>
    <row r="1367" spans="1:35" x14ac:dyDescent="0.3">
      <c r="A1367">
        <v>1350</v>
      </c>
      <c r="E1367" t="str">
        <f>_xlfn.LET(_xlpm.x,_xlfn.XLOOKUP(D1367,beans!$A$2:$A$300,beans!$H$2:$H$300,""),IF(_xlpm.x="","",_xlpm.x))</f>
        <v/>
      </c>
      <c r="F1367" s="22" t="str">
        <f>_xlfn.XLOOKUP(E1367,menu!$A$2:$A$37,menu!$B$2:$B$37,"")</f>
        <v/>
      </c>
      <c r="G1367" t="str">
        <f>_xlfn.XLOOKUP(E1367,menu!$A$2:$A$37,menu!$C$2:$C$37,"")</f>
        <v/>
      </c>
      <c r="H1367" t="str">
        <f>_xlfn.LET(_xlpm.x,_xlfn.XLOOKUP(_xlfn.XLOOKUP(D1367,beans!$A$2:$A$300,beans!$I$2:$I$300),menu!$E$2:$E$20,menu!$F$2:$F$20),IF(_xlpm.x="","",_xlpm.x))</f>
        <v/>
      </c>
      <c r="T1367" s="68" t="str">
        <f t="shared" si="146"/>
        <v/>
      </c>
      <c r="U1367" t="str">
        <f t="shared" si="142"/>
        <v/>
      </c>
      <c r="V1367">
        <f t="shared" si="147"/>
        <v>0</v>
      </c>
      <c r="W1367" t="str">
        <f t="shared" si="143"/>
        <v/>
      </c>
      <c r="AB1367" s="28" t="str">
        <f t="shared" si="144"/>
        <v xml:space="preserve"> </v>
      </c>
      <c r="AE1367" s="61" t="str">
        <f t="shared" si="145"/>
        <v/>
      </c>
      <c r="AF1367" s="77" t="str">
        <f>_xlfn.XLOOKUP(AD1367,menu!$K$2:$K$9,menu!$J$2:$J$9,"",1)</f>
        <v/>
      </c>
      <c r="AG1367" s="80" t="str">
        <f>_xlfn.XLOOKUP(AH1367,menu!$O$2:$O$9,menu!$H$2:$H$9,"")</f>
        <v/>
      </c>
      <c r="AI1367" t="str">
        <f>_xlfn.LET(_xlpm.x,_xlfn.CONCAT(_xlfn.XLOOKUP(D1367,beans!$A$2:$A$300,beans!$J$2:$J$300,"")," / ",_xlfn.XLOOKUP(D1367,beans!$A$2:$A$300,beans!$K$2:$K$300,"")," - ",_xlfn.XLOOKUP(D1367,beans!$A$2:$A$300,beans!$L$2:$L$300,"")),IF(_xlpm.x=" /  - ","",_xlpm.x))</f>
        <v/>
      </c>
    </row>
    <row r="1368" spans="1:35" x14ac:dyDescent="0.3">
      <c r="A1368">
        <v>1351</v>
      </c>
      <c r="E1368" t="str">
        <f>_xlfn.LET(_xlpm.x,_xlfn.XLOOKUP(D1368,beans!$A$2:$A$300,beans!$H$2:$H$300,""),IF(_xlpm.x="","",_xlpm.x))</f>
        <v/>
      </c>
      <c r="F1368" s="22" t="str">
        <f>_xlfn.XLOOKUP(E1368,menu!$A$2:$A$37,menu!$B$2:$B$37,"")</f>
        <v/>
      </c>
      <c r="G1368" t="str">
        <f>_xlfn.XLOOKUP(E1368,menu!$A$2:$A$37,menu!$C$2:$C$37,"")</f>
        <v/>
      </c>
      <c r="H1368" t="str">
        <f>_xlfn.LET(_xlpm.x,_xlfn.XLOOKUP(_xlfn.XLOOKUP(D1368,beans!$A$2:$A$300,beans!$I$2:$I$300),menu!$E$2:$E$20,menu!$F$2:$F$20),IF(_xlpm.x="","",_xlpm.x))</f>
        <v/>
      </c>
      <c r="T1368" s="68" t="str">
        <f t="shared" si="146"/>
        <v/>
      </c>
      <c r="U1368" t="str">
        <f t="shared" si="142"/>
        <v/>
      </c>
      <c r="V1368">
        <f t="shared" si="147"/>
        <v>0</v>
      </c>
      <c r="W1368" t="str">
        <f t="shared" si="143"/>
        <v/>
      </c>
      <c r="AB1368" s="28" t="str">
        <f t="shared" si="144"/>
        <v xml:space="preserve"> </v>
      </c>
      <c r="AE1368" s="61" t="str">
        <f t="shared" si="145"/>
        <v/>
      </c>
      <c r="AF1368" s="77" t="str">
        <f>_xlfn.XLOOKUP(AD1368,menu!$K$2:$K$9,menu!$J$2:$J$9,"",1)</f>
        <v/>
      </c>
      <c r="AG1368" s="80" t="str">
        <f>_xlfn.XLOOKUP(AH1368,menu!$O$2:$O$9,menu!$H$2:$H$9,"")</f>
        <v/>
      </c>
      <c r="AI1368" t="str">
        <f>_xlfn.LET(_xlpm.x,_xlfn.CONCAT(_xlfn.XLOOKUP(D1368,beans!$A$2:$A$300,beans!$J$2:$J$300,"")," / ",_xlfn.XLOOKUP(D1368,beans!$A$2:$A$300,beans!$K$2:$K$300,"")," - ",_xlfn.XLOOKUP(D1368,beans!$A$2:$A$300,beans!$L$2:$L$300,"")),IF(_xlpm.x=" /  - ","",_xlpm.x))</f>
        <v/>
      </c>
    </row>
    <row r="1369" spans="1:35" x14ac:dyDescent="0.3">
      <c r="A1369">
        <v>1352</v>
      </c>
      <c r="E1369" t="str">
        <f>_xlfn.LET(_xlpm.x,_xlfn.XLOOKUP(D1369,beans!$A$2:$A$300,beans!$H$2:$H$300,""),IF(_xlpm.x="","",_xlpm.x))</f>
        <v/>
      </c>
      <c r="F1369" s="22" t="str">
        <f>_xlfn.XLOOKUP(E1369,menu!$A$2:$A$37,menu!$B$2:$B$37,"")</f>
        <v/>
      </c>
      <c r="G1369" t="str">
        <f>_xlfn.XLOOKUP(E1369,menu!$A$2:$A$37,menu!$C$2:$C$37,"")</f>
        <v/>
      </c>
      <c r="H1369" t="str">
        <f>_xlfn.LET(_xlpm.x,_xlfn.XLOOKUP(_xlfn.XLOOKUP(D1369,beans!$A$2:$A$300,beans!$I$2:$I$300),menu!$E$2:$E$20,menu!$F$2:$F$20),IF(_xlpm.x="","",_xlpm.x))</f>
        <v/>
      </c>
      <c r="T1369" s="68" t="str">
        <f t="shared" si="146"/>
        <v/>
      </c>
      <c r="U1369" t="str">
        <f t="shared" si="142"/>
        <v/>
      </c>
      <c r="V1369">
        <f t="shared" si="147"/>
        <v>0</v>
      </c>
      <c r="W1369" t="str">
        <f t="shared" si="143"/>
        <v/>
      </c>
      <c r="AB1369" s="28" t="str">
        <f t="shared" si="144"/>
        <v xml:space="preserve"> </v>
      </c>
      <c r="AE1369" s="61" t="str">
        <f t="shared" si="145"/>
        <v/>
      </c>
      <c r="AF1369" s="77" t="str">
        <f>_xlfn.XLOOKUP(AD1369,menu!$K$2:$K$9,menu!$J$2:$J$9,"",1)</f>
        <v/>
      </c>
      <c r="AG1369" s="80" t="str">
        <f>_xlfn.XLOOKUP(AH1369,menu!$O$2:$O$9,menu!$H$2:$H$9,"")</f>
        <v/>
      </c>
      <c r="AI1369" t="str">
        <f>_xlfn.LET(_xlpm.x,_xlfn.CONCAT(_xlfn.XLOOKUP(D1369,beans!$A$2:$A$300,beans!$J$2:$J$300,"")," / ",_xlfn.XLOOKUP(D1369,beans!$A$2:$A$300,beans!$K$2:$K$300,"")," - ",_xlfn.XLOOKUP(D1369,beans!$A$2:$A$300,beans!$L$2:$L$300,"")),IF(_xlpm.x=" /  - ","",_xlpm.x))</f>
        <v/>
      </c>
    </row>
    <row r="1370" spans="1:35" x14ac:dyDescent="0.3">
      <c r="A1370">
        <v>1353</v>
      </c>
      <c r="E1370" t="str">
        <f>_xlfn.LET(_xlpm.x,_xlfn.XLOOKUP(D1370,beans!$A$2:$A$300,beans!$H$2:$H$300,""),IF(_xlpm.x="","",_xlpm.x))</f>
        <v/>
      </c>
      <c r="F1370" s="22" t="str">
        <f>_xlfn.XLOOKUP(E1370,menu!$A$2:$A$37,menu!$B$2:$B$37,"")</f>
        <v/>
      </c>
      <c r="G1370" t="str">
        <f>_xlfn.XLOOKUP(E1370,menu!$A$2:$A$37,menu!$C$2:$C$37,"")</f>
        <v/>
      </c>
      <c r="H1370" t="str">
        <f>_xlfn.LET(_xlpm.x,_xlfn.XLOOKUP(_xlfn.XLOOKUP(D1370,beans!$A$2:$A$300,beans!$I$2:$I$300),menu!$E$2:$E$20,menu!$F$2:$F$20),IF(_xlpm.x="","",_xlpm.x))</f>
        <v/>
      </c>
      <c r="T1370" s="68" t="str">
        <f t="shared" si="146"/>
        <v/>
      </c>
      <c r="U1370" t="str">
        <f t="shared" si="142"/>
        <v/>
      </c>
      <c r="V1370">
        <f t="shared" si="147"/>
        <v>0</v>
      </c>
      <c r="W1370" t="str">
        <f t="shared" si="143"/>
        <v/>
      </c>
      <c r="AB1370" s="28" t="str">
        <f t="shared" si="144"/>
        <v xml:space="preserve"> </v>
      </c>
      <c r="AE1370" s="61" t="str">
        <f t="shared" si="145"/>
        <v/>
      </c>
      <c r="AF1370" s="77" t="str">
        <f>_xlfn.XLOOKUP(AD1370,menu!$K$2:$K$9,menu!$J$2:$J$9,"",1)</f>
        <v/>
      </c>
      <c r="AG1370" s="80" t="str">
        <f>_xlfn.XLOOKUP(AH1370,menu!$O$2:$O$9,menu!$H$2:$H$9,"")</f>
        <v/>
      </c>
      <c r="AI1370" t="str">
        <f>_xlfn.LET(_xlpm.x,_xlfn.CONCAT(_xlfn.XLOOKUP(D1370,beans!$A$2:$A$300,beans!$J$2:$J$300,"")," / ",_xlfn.XLOOKUP(D1370,beans!$A$2:$A$300,beans!$K$2:$K$300,"")," - ",_xlfn.XLOOKUP(D1370,beans!$A$2:$A$300,beans!$L$2:$L$300,"")),IF(_xlpm.x=" /  - ","",_xlpm.x))</f>
        <v/>
      </c>
    </row>
    <row r="1371" spans="1:35" x14ac:dyDescent="0.3">
      <c r="A1371">
        <v>1354</v>
      </c>
      <c r="E1371" t="str">
        <f>_xlfn.LET(_xlpm.x,_xlfn.XLOOKUP(D1371,beans!$A$2:$A$300,beans!$H$2:$H$300,""),IF(_xlpm.x="","",_xlpm.x))</f>
        <v/>
      </c>
      <c r="F1371" s="22" t="str">
        <f>_xlfn.XLOOKUP(E1371,menu!$A$2:$A$37,menu!$B$2:$B$37,"")</f>
        <v/>
      </c>
      <c r="G1371" t="str">
        <f>_xlfn.XLOOKUP(E1371,menu!$A$2:$A$37,menu!$C$2:$C$37,"")</f>
        <v/>
      </c>
      <c r="H1371" t="str">
        <f>_xlfn.LET(_xlpm.x,_xlfn.XLOOKUP(_xlfn.XLOOKUP(D1371,beans!$A$2:$A$300,beans!$I$2:$I$300),menu!$E$2:$E$20,menu!$F$2:$F$20),IF(_xlpm.x="","",_xlpm.x))</f>
        <v/>
      </c>
      <c r="T1371" s="68" t="str">
        <f t="shared" si="146"/>
        <v/>
      </c>
      <c r="U1371" t="str">
        <f t="shared" si="142"/>
        <v/>
      </c>
      <c r="V1371">
        <f t="shared" si="147"/>
        <v>0</v>
      </c>
      <c r="W1371" t="str">
        <f t="shared" si="143"/>
        <v/>
      </c>
      <c r="AB1371" s="28" t="str">
        <f t="shared" si="144"/>
        <v xml:space="preserve"> </v>
      </c>
      <c r="AE1371" s="61" t="str">
        <f t="shared" si="145"/>
        <v/>
      </c>
      <c r="AF1371" s="77" t="str">
        <f>_xlfn.XLOOKUP(AD1371,menu!$K$2:$K$9,menu!$J$2:$J$9,"",1)</f>
        <v/>
      </c>
      <c r="AG1371" s="80" t="str">
        <f>_xlfn.XLOOKUP(AH1371,menu!$O$2:$O$9,menu!$H$2:$H$9,"")</f>
        <v/>
      </c>
      <c r="AI1371" t="str">
        <f>_xlfn.LET(_xlpm.x,_xlfn.CONCAT(_xlfn.XLOOKUP(D1371,beans!$A$2:$A$300,beans!$J$2:$J$300,"")," / ",_xlfn.XLOOKUP(D1371,beans!$A$2:$A$300,beans!$K$2:$K$300,"")," - ",_xlfn.XLOOKUP(D1371,beans!$A$2:$A$300,beans!$L$2:$L$300,"")),IF(_xlpm.x=" /  - ","",_xlpm.x))</f>
        <v/>
      </c>
    </row>
    <row r="1372" spans="1:35" x14ac:dyDescent="0.3">
      <c r="A1372">
        <v>1355</v>
      </c>
      <c r="E1372" t="str">
        <f>_xlfn.LET(_xlpm.x,_xlfn.XLOOKUP(D1372,beans!$A$2:$A$300,beans!$H$2:$H$300,""),IF(_xlpm.x="","",_xlpm.x))</f>
        <v/>
      </c>
      <c r="F1372" s="22" t="str">
        <f>_xlfn.XLOOKUP(E1372,menu!$A$2:$A$37,menu!$B$2:$B$37,"")</f>
        <v/>
      </c>
      <c r="G1372" t="str">
        <f>_xlfn.XLOOKUP(E1372,menu!$A$2:$A$37,menu!$C$2:$C$37,"")</f>
        <v/>
      </c>
      <c r="H1372" t="str">
        <f>_xlfn.LET(_xlpm.x,_xlfn.XLOOKUP(_xlfn.XLOOKUP(D1372,beans!$A$2:$A$300,beans!$I$2:$I$300),menu!$E$2:$E$20,menu!$F$2:$F$20),IF(_xlpm.x="","",_xlpm.x))</f>
        <v/>
      </c>
      <c r="T1372" s="68" t="str">
        <f t="shared" si="146"/>
        <v/>
      </c>
      <c r="U1372" t="str">
        <f t="shared" si="142"/>
        <v/>
      </c>
      <c r="V1372">
        <f t="shared" si="147"/>
        <v>0</v>
      </c>
      <c r="W1372" t="str">
        <f t="shared" si="143"/>
        <v/>
      </c>
      <c r="AB1372" s="28" t="str">
        <f t="shared" si="144"/>
        <v xml:space="preserve"> </v>
      </c>
      <c r="AE1372" s="61" t="str">
        <f t="shared" si="145"/>
        <v/>
      </c>
      <c r="AF1372" s="77" t="str">
        <f>_xlfn.XLOOKUP(AD1372,menu!$K$2:$K$9,menu!$J$2:$J$9,"",1)</f>
        <v/>
      </c>
      <c r="AG1372" s="80" t="str">
        <f>_xlfn.XLOOKUP(AH1372,menu!$O$2:$O$9,menu!$H$2:$H$9,"")</f>
        <v/>
      </c>
      <c r="AI1372" t="str">
        <f>_xlfn.LET(_xlpm.x,_xlfn.CONCAT(_xlfn.XLOOKUP(D1372,beans!$A$2:$A$300,beans!$J$2:$J$300,"")," / ",_xlfn.XLOOKUP(D1372,beans!$A$2:$A$300,beans!$K$2:$K$300,"")," - ",_xlfn.XLOOKUP(D1372,beans!$A$2:$A$300,beans!$L$2:$L$300,"")),IF(_xlpm.x=" /  - ","",_xlpm.x))</f>
        <v/>
      </c>
    </row>
    <row r="1373" spans="1:35" x14ac:dyDescent="0.3">
      <c r="A1373">
        <v>1356</v>
      </c>
      <c r="E1373" t="str">
        <f>_xlfn.LET(_xlpm.x,_xlfn.XLOOKUP(D1373,beans!$A$2:$A$300,beans!$H$2:$H$300,""),IF(_xlpm.x="","",_xlpm.x))</f>
        <v/>
      </c>
      <c r="F1373" s="22" t="str">
        <f>_xlfn.XLOOKUP(E1373,menu!$A$2:$A$37,menu!$B$2:$B$37,"")</f>
        <v/>
      </c>
      <c r="G1373" t="str">
        <f>_xlfn.XLOOKUP(E1373,menu!$A$2:$A$37,menu!$C$2:$C$37,"")</f>
        <v/>
      </c>
      <c r="H1373" t="str">
        <f>_xlfn.LET(_xlpm.x,_xlfn.XLOOKUP(_xlfn.XLOOKUP(D1373,beans!$A$2:$A$300,beans!$I$2:$I$300),menu!$E$2:$E$20,menu!$F$2:$F$20),IF(_xlpm.x="","",_xlpm.x))</f>
        <v/>
      </c>
      <c r="T1373" s="68" t="str">
        <f t="shared" si="146"/>
        <v/>
      </c>
      <c r="U1373" t="str">
        <f t="shared" si="142"/>
        <v/>
      </c>
      <c r="V1373">
        <f t="shared" si="147"/>
        <v>0</v>
      </c>
      <c r="W1373" t="str">
        <f t="shared" si="143"/>
        <v/>
      </c>
      <c r="AB1373" s="28" t="str">
        <f t="shared" si="144"/>
        <v xml:space="preserve"> </v>
      </c>
      <c r="AE1373" s="61" t="str">
        <f t="shared" si="145"/>
        <v/>
      </c>
      <c r="AF1373" s="77" t="str">
        <f>_xlfn.XLOOKUP(AD1373,menu!$K$2:$K$9,menu!$J$2:$J$9,"",1)</f>
        <v/>
      </c>
      <c r="AG1373" s="80" t="str">
        <f>_xlfn.XLOOKUP(AH1373,menu!$O$2:$O$9,menu!$H$2:$H$9,"")</f>
        <v/>
      </c>
      <c r="AI1373" t="str">
        <f>_xlfn.LET(_xlpm.x,_xlfn.CONCAT(_xlfn.XLOOKUP(D1373,beans!$A$2:$A$300,beans!$J$2:$J$300,"")," / ",_xlfn.XLOOKUP(D1373,beans!$A$2:$A$300,beans!$K$2:$K$300,"")," - ",_xlfn.XLOOKUP(D1373,beans!$A$2:$A$300,beans!$L$2:$L$300,"")),IF(_xlpm.x=" /  - ","",_xlpm.x))</f>
        <v/>
      </c>
    </row>
    <row r="1374" spans="1:35" x14ac:dyDescent="0.3">
      <c r="A1374">
        <v>1357</v>
      </c>
      <c r="E1374" t="str">
        <f>_xlfn.LET(_xlpm.x,_xlfn.XLOOKUP(D1374,beans!$A$2:$A$300,beans!$H$2:$H$300,""),IF(_xlpm.x="","",_xlpm.x))</f>
        <v/>
      </c>
      <c r="F1374" s="22" t="str">
        <f>_xlfn.XLOOKUP(E1374,menu!$A$2:$A$37,menu!$B$2:$B$37,"")</f>
        <v/>
      </c>
      <c r="G1374" t="str">
        <f>_xlfn.XLOOKUP(E1374,menu!$A$2:$A$37,menu!$C$2:$C$37,"")</f>
        <v/>
      </c>
      <c r="H1374" t="str">
        <f>_xlfn.LET(_xlpm.x,_xlfn.XLOOKUP(_xlfn.XLOOKUP(D1374,beans!$A$2:$A$300,beans!$I$2:$I$300),menu!$E$2:$E$20,menu!$F$2:$F$20),IF(_xlpm.x="","",_xlpm.x))</f>
        <v/>
      </c>
      <c r="T1374" s="68" t="str">
        <f t="shared" si="146"/>
        <v/>
      </c>
      <c r="U1374" t="str">
        <f t="shared" si="142"/>
        <v/>
      </c>
      <c r="V1374">
        <f t="shared" si="147"/>
        <v>0</v>
      </c>
      <c r="W1374" t="str">
        <f t="shared" si="143"/>
        <v/>
      </c>
      <c r="AB1374" s="28" t="str">
        <f t="shared" si="144"/>
        <v xml:space="preserve"> </v>
      </c>
      <c r="AE1374" s="61" t="str">
        <f t="shared" si="145"/>
        <v/>
      </c>
      <c r="AF1374" s="77" t="str">
        <f>_xlfn.XLOOKUP(AD1374,menu!$K$2:$K$9,menu!$J$2:$J$9,"",1)</f>
        <v/>
      </c>
      <c r="AG1374" s="80" t="str">
        <f>_xlfn.XLOOKUP(AH1374,menu!$O$2:$O$9,menu!$H$2:$H$9,"")</f>
        <v/>
      </c>
      <c r="AI1374" t="str">
        <f>_xlfn.LET(_xlpm.x,_xlfn.CONCAT(_xlfn.XLOOKUP(D1374,beans!$A$2:$A$300,beans!$J$2:$J$300,"")," / ",_xlfn.XLOOKUP(D1374,beans!$A$2:$A$300,beans!$K$2:$K$300,"")," - ",_xlfn.XLOOKUP(D1374,beans!$A$2:$A$300,beans!$L$2:$L$300,"")),IF(_xlpm.x=" /  - ","",_xlpm.x))</f>
        <v/>
      </c>
    </row>
    <row r="1375" spans="1:35" x14ac:dyDescent="0.3">
      <c r="A1375">
        <v>1358</v>
      </c>
      <c r="E1375" t="str">
        <f>_xlfn.LET(_xlpm.x,_xlfn.XLOOKUP(D1375,beans!$A$2:$A$300,beans!$H$2:$H$300,""),IF(_xlpm.x="","",_xlpm.x))</f>
        <v/>
      </c>
      <c r="F1375" s="22" t="str">
        <f>_xlfn.XLOOKUP(E1375,menu!$A$2:$A$37,menu!$B$2:$B$37,"")</f>
        <v/>
      </c>
      <c r="G1375" t="str">
        <f>_xlfn.XLOOKUP(E1375,menu!$A$2:$A$37,menu!$C$2:$C$37,"")</f>
        <v/>
      </c>
      <c r="H1375" t="str">
        <f>_xlfn.LET(_xlpm.x,_xlfn.XLOOKUP(_xlfn.XLOOKUP(D1375,beans!$A$2:$A$300,beans!$I$2:$I$300),menu!$E$2:$E$20,menu!$F$2:$F$20),IF(_xlpm.x="","",_xlpm.x))</f>
        <v/>
      </c>
      <c r="T1375" s="68" t="str">
        <f t="shared" si="146"/>
        <v/>
      </c>
      <c r="U1375" t="str">
        <f t="shared" si="142"/>
        <v/>
      </c>
      <c r="V1375">
        <f t="shared" si="147"/>
        <v>0</v>
      </c>
      <c r="W1375" t="str">
        <f t="shared" si="143"/>
        <v/>
      </c>
      <c r="AB1375" s="28" t="str">
        <f t="shared" si="144"/>
        <v xml:space="preserve"> </v>
      </c>
      <c r="AE1375" s="61" t="str">
        <f t="shared" si="145"/>
        <v/>
      </c>
      <c r="AF1375" s="77" t="str">
        <f>_xlfn.XLOOKUP(AD1375,menu!$K$2:$K$9,menu!$J$2:$J$9,"",1)</f>
        <v/>
      </c>
      <c r="AG1375" s="80" t="str">
        <f>_xlfn.XLOOKUP(AH1375,menu!$O$2:$O$9,menu!$H$2:$H$9,"")</f>
        <v/>
      </c>
      <c r="AI1375" t="str">
        <f>_xlfn.LET(_xlpm.x,_xlfn.CONCAT(_xlfn.XLOOKUP(D1375,beans!$A$2:$A$300,beans!$J$2:$J$300,"")," / ",_xlfn.XLOOKUP(D1375,beans!$A$2:$A$300,beans!$K$2:$K$300,"")," - ",_xlfn.XLOOKUP(D1375,beans!$A$2:$A$300,beans!$L$2:$L$300,"")),IF(_xlpm.x=" /  - ","",_xlpm.x))</f>
        <v/>
      </c>
    </row>
    <row r="1376" spans="1:35" x14ac:dyDescent="0.3">
      <c r="A1376">
        <v>1359</v>
      </c>
      <c r="E1376" t="str">
        <f>_xlfn.LET(_xlpm.x,_xlfn.XLOOKUP(D1376,beans!$A$2:$A$300,beans!$H$2:$H$300,""),IF(_xlpm.x="","",_xlpm.x))</f>
        <v/>
      </c>
      <c r="F1376" s="22" t="str">
        <f>_xlfn.XLOOKUP(E1376,menu!$A$2:$A$37,menu!$B$2:$B$37,"")</f>
        <v/>
      </c>
      <c r="G1376" t="str">
        <f>_xlfn.XLOOKUP(E1376,menu!$A$2:$A$37,menu!$C$2:$C$37,"")</f>
        <v/>
      </c>
      <c r="H1376" t="str">
        <f>_xlfn.LET(_xlpm.x,_xlfn.XLOOKUP(_xlfn.XLOOKUP(D1376,beans!$A$2:$A$300,beans!$I$2:$I$300),menu!$E$2:$E$20,menu!$F$2:$F$20),IF(_xlpm.x="","",_xlpm.x))</f>
        <v/>
      </c>
      <c r="T1376" s="68" t="str">
        <f t="shared" si="146"/>
        <v/>
      </c>
      <c r="U1376" t="str">
        <f t="shared" si="142"/>
        <v/>
      </c>
      <c r="V1376">
        <f t="shared" si="147"/>
        <v>0</v>
      </c>
      <c r="W1376" t="str">
        <f t="shared" si="143"/>
        <v/>
      </c>
      <c r="AB1376" s="28" t="str">
        <f t="shared" si="144"/>
        <v xml:space="preserve"> </v>
      </c>
      <c r="AE1376" s="61" t="str">
        <f t="shared" si="145"/>
        <v/>
      </c>
      <c r="AF1376" s="77" t="str">
        <f>_xlfn.XLOOKUP(AD1376,menu!$K$2:$K$9,menu!$J$2:$J$9,"",1)</f>
        <v/>
      </c>
      <c r="AG1376" s="80" t="str">
        <f>_xlfn.XLOOKUP(AH1376,menu!$O$2:$O$9,menu!$H$2:$H$9,"")</f>
        <v/>
      </c>
      <c r="AI1376" t="str">
        <f>_xlfn.LET(_xlpm.x,_xlfn.CONCAT(_xlfn.XLOOKUP(D1376,beans!$A$2:$A$300,beans!$J$2:$J$300,"")," / ",_xlfn.XLOOKUP(D1376,beans!$A$2:$A$300,beans!$K$2:$K$300,"")," - ",_xlfn.XLOOKUP(D1376,beans!$A$2:$A$300,beans!$L$2:$L$300,"")),IF(_xlpm.x=" /  - ","",_xlpm.x))</f>
        <v/>
      </c>
    </row>
    <row r="1377" spans="1:35" x14ac:dyDescent="0.3">
      <c r="A1377">
        <v>1360</v>
      </c>
      <c r="E1377" t="str">
        <f>_xlfn.LET(_xlpm.x,_xlfn.XLOOKUP(D1377,beans!$A$2:$A$300,beans!$H$2:$H$300,""),IF(_xlpm.x="","",_xlpm.x))</f>
        <v/>
      </c>
      <c r="F1377" s="22" t="str">
        <f>_xlfn.XLOOKUP(E1377,menu!$A$2:$A$37,menu!$B$2:$B$37,"")</f>
        <v/>
      </c>
      <c r="G1377" t="str">
        <f>_xlfn.XLOOKUP(E1377,menu!$A$2:$A$37,menu!$C$2:$C$37,"")</f>
        <v/>
      </c>
      <c r="H1377" t="str">
        <f>_xlfn.LET(_xlpm.x,_xlfn.XLOOKUP(_xlfn.XLOOKUP(D1377,beans!$A$2:$A$300,beans!$I$2:$I$300),menu!$E$2:$E$20,menu!$F$2:$F$20),IF(_xlpm.x="","",_xlpm.x))</f>
        <v/>
      </c>
      <c r="T1377" s="68" t="str">
        <f t="shared" si="146"/>
        <v/>
      </c>
      <c r="U1377" t="str">
        <f t="shared" si="142"/>
        <v/>
      </c>
      <c r="V1377">
        <f t="shared" si="147"/>
        <v>0</v>
      </c>
      <c r="W1377" t="str">
        <f t="shared" si="143"/>
        <v/>
      </c>
      <c r="AB1377" s="28" t="str">
        <f t="shared" si="144"/>
        <v xml:space="preserve"> </v>
      </c>
      <c r="AE1377" s="61" t="str">
        <f t="shared" si="145"/>
        <v/>
      </c>
      <c r="AF1377" s="77" t="str">
        <f>_xlfn.XLOOKUP(AD1377,menu!$K$2:$K$9,menu!$J$2:$J$9,"",1)</f>
        <v/>
      </c>
      <c r="AG1377" s="80" t="str">
        <f>_xlfn.XLOOKUP(AH1377,menu!$O$2:$O$9,menu!$H$2:$H$9,"")</f>
        <v/>
      </c>
      <c r="AI1377" t="str">
        <f>_xlfn.LET(_xlpm.x,_xlfn.CONCAT(_xlfn.XLOOKUP(D1377,beans!$A$2:$A$300,beans!$J$2:$J$300,"")," / ",_xlfn.XLOOKUP(D1377,beans!$A$2:$A$300,beans!$K$2:$K$300,"")," - ",_xlfn.XLOOKUP(D1377,beans!$A$2:$A$300,beans!$L$2:$L$300,"")),IF(_xlpm.x=" /  - ","",_xlpm.x))</f>
        <v/>
      </c>
    </row>
    <row r="1378" spans="1:35" x14ac:dyDescent="0.3">
      <c r="A1378">
        <v>1361</v>
      </c>
      <c r="E1378" t="str">
        <f>_xlfn.LET(_xlpm.x,_xlfn.XLOOKUP(D1378,beans!$A$2:$A$300,beans!$H$2:$H$300,""),IF(_xlpm.x="","",_xlpm.x))</f>
        <v/>
      </c>
      <c r="F1378" s="22" t="str">
        <f>_xlfn.XLOOKUP(E1378,menu!$A$2:$A$37,menu!$B$2:$B$37,"")</f>
        <v/>
      </c>
      <c r="G1378" t="str">
        <f>_xlfn.XLOOKUP(E1378,menu!$A$2:$A$37,menu!$C$2:$C$37,"")</f>
        <v/>
      </c>
      <c r="H1378" t="str">
        <f>_xlfn.LET(_xlpm.x,_xlfn.XLOOKUP(_xlfn.XLOOKUP(D1378,beans!$A$2:$A$300,beans!$I$2:$I$300),menu!$E$2:$E$20,menu!$F$2:$F$20),IF(_xlpm.x="","",_xlpm.x))</f>
        <v/>
      </c>
      <c r="T1378" s="68" t="str">
        <f t="shared" si="146"/>
        <v/>
      </c>
      <c r="U1378" t="str">
        <f t="shared" si="142"/>
        <v/>
      </c>
      <c r="V1378">
        <f t="shared" si="147"/>
        <v>0</v>
      </c>
      <c r="W1378" t="str">
        <f t="shared" si="143"/>
        <v/>
      </c>
      <c r="AB1378" s="28" t="str">
        <f t="shared" si="144"/>
        <v xml:space="preserve"> </v>
      </c>
      <c r="AE1378" s="61" t="str">
        <f t="shared" si="145"/>
        <v/>
      </c>
      <c r="AF1378" s="77" t="str">
        <f>_xlfn.XLOOKUP(AD1378,menu!$K$2:$K$9,menu!$J$2:$J$9,"",1)</f>
        <v/>
      </c>
      <c r="AG1378" s="80" t="str">
        <f>_xlfn.XLOOKUP(AH1378,menu!$O$2:$O$9,menu!$H$2:$H$9,"")</f>
        <v/>
      </c>
      <c r="AI1378" t="str">
        <f>_xlfn.LET(_xlpm.x,_xlfn.CONCAT(_xlfn.XLOOKUP(D1378,beans!$A$2:$A$300,beans!$J$2:$J$300,"")," / ",_xlfn.XLOOKUP(D1378,beans!$A$2:$A$300,beans!$K$2:$K$300,"")," - ",_xlfn.XLOOKUP(D1378,beans!$A$2:$A$300,beans!$L$2:$L$300,"")),IF(_xlpm.x=" /  - ","",_xlpm.x))</f>
        <v/>
      </c>
    </row>
    <row r="1379" spans="1:35" x14ac:dyDescent="0.3">
      <c r="A1379">
        <v>1362</v>
      </c>
      <c r="E1379" t="str">
        <f>_xlfn.LET(_xlpm.x,_xlfn.XLOOKUP(D1379,beans!$A$2:$A$300,beans!$H$2:$H$300,""),IF(_xlpm.x="","",_xlpm.x))</f>
        <v/>
      </c>
      <c r="F1379" s="22" t="str">
        <f>_xlfn.XLOOKUP(E1379,menu!$A$2:$A$37,menu!$B$2:$B$37,"")</f>
        <v/>
      </c>
      <c r="G1379" t="str">
        <f>_xlfn.XLOOKUP(E1379,menu!$A$2:$A$37,menu!$C$2:$C$37,"")</f>
        <v/>
      </c>
      <c r="H1379" t="str">
        <f>_xlfn.LET(_xlpm.x,_xlfn.XLOOKUP(_xlfn.XLOOKUP(D1379,beans!$A$2:$A$300,beans!$I$2:$I$300),menu!$E$2:$E$20,menu!$F$2:$F$20),IF(_xlpm.x="","",_xlpm.x))</f>
        <v/>
      </c>
      <c r="T1379" s="68" t="str">
        <f t="shared" si="146"/>
        <v/>
      </c>
      <c r="U1379" t="str">
        <f t="shared" si="142"/>
        <v/>
      </c>
      <c r="V1379">
        <f t="shared" si="147"/>
        <v>0</v>
      </c>
      <c r="W1379" t="str">
        <f t="shared" si="143"/>
        <v/>
      </c>
      <c r="AB1379" s="28" t="str">
        <f t="shared" si="144"/>
        <v xml:space="preserve"> </v>
      </c>
      <c r="AE1379" s="61" t="str">
        <f t="shared" si="145"/>
        <v/>
      </c>
      <c r="AF1379" s="77" t="str">
        <f>_xlfn.XLOOKUP(AD1379,menu!$K$2:$K$9,menu!$J$2:$J$9,"",1)</f>
        <v/>
      </c>
      <c r="AG1379" s="80" t="str">
        <f>_xlfn.XLOOKUP(AH1379,menu!$O$2:$O$9,menu!$H$2:$H$9,"")</f>
        <v/>
      </c>
      <c r="AI1379" t="str">
        <f>_xlfn.LET(_xlpm.x,_xlfn.CONCAT(_xlfn.XLOOKUP(D1379,beans!$A$2:$A$300,beans!$J$2:$J$300,"")," / ",_xlfn.XLOOKUP(D1379,beans!$A$2:$A$300,beans!$K$2:$K$300,"")," - ",_xlfn.XLOOKUP(D1379,beans!$A$2:$A$300,beans!$L$2:$L$300,"")),IF(_xlpm.x=" /  - ","",_xlpm.x))</f>
        <v/>
      </c>
    </row>
    <row r="1380" spans="1:35" x14ac:dyDescent="0.3">
      <c r="A1380">
        <v>1363</v>
      </c>
      <c r="E1380" t="str">
        <f>_xlfn.LET(_xlpm.x,_xlfn.XLOOKUP(D1380,beans!$A$2:$A$300,beans!$H$2:$H$300,""),IF(_xlpm.x="","",_xlpm.x))</f>
        <v/>
      </c>
      <c r="F1380" s="22" t="str">
        <f>_xlfn.XLOOKUP(E1380,menu!$A$2:$A$37,menu!$B$2:$B$37,"")</f>
        <v/>
      </c>
      <c r="G1380" t="str">
        <f>_xlfn.XLOOKUP(E1380,menu!$A$2:$A$37,menu!$C$2:$C$37,"")</f>
        <v/>
      </c>
      <c r="H1380" t="str">
        <f>_xlfn.LET(_xlpm.x,_xlfn.XLOOKUP(_xlfn.XLOOKUP(D1380,beans!$A$2:$A$300,beans!$I$2:$I$300),menu!$E$2:$E$20,menu!$F$2:$F$20),IF(_xlpm.x="","",_xlpm.x))</f>
        <v/>
      </c>
      <c r="T1380" s="68" t="str">
        <f t="shared" si="146"/>
        <v/>
      </c>
      <c r="U1380" t="str">
        <f t="shared" si="142"/>
        <v/>
      </c>
      <c r="V1380">
        <f t="shared" si="147"/>
        <v>0</v>
      </c>
      <c r="W1380" t="str">
        <f t="shared" si="143"/>
        <v/>
      </c>
      <c r="AB1380" s="28" t="str">
        <f t="shared" si="144"/>
        <v xml:space="preserve"> </v>
      </c>
      <c r="AE1380" s="61" t="str">
        <f t="shared" si="145"/>
        <v/>
      </c>
      <c r="AF1380" s="77" t="str">
        <f>_xlfn.XLOOKUP(AD1380,menu!$K$2:$K$9,menu!$J$2:$J$9,"",1)</f>
        <v/>
      </c>
      <c r="AG1380" s="80" t="str">
        <f>_xlfn.XLOOKUP(AH1380,menu!$O$2:$O$9,menu!$H$2:$H$9,"")</f>
        <v/>
      </c>
      <c r="AI1380" t="str">
        <f>_xlfn.LET(_xlpm.x,_xlfn.CONCAT(_xlfn.XLOOKUP(D1380,beans!$A$2:$A$300,beans!$J$2:$J$300,"")," / ",_xlfn.XLOOKUP(D1380,beans!$A$2:$A$300,beans!$K$2:$K$300,"")," - ",_xlfn.XLOOKUP(D1380,beans!$A$2:$A$300,beans!$L$2:$L$300,"")),IF(_xlpm.x=" /  - ","",_xlpm.x))</f>
        <v/>
      </c>
    </row>
    <row r="1381" spans="1:35" x14ac:dyDescent="0.3">
      <c r="A1381">
        <v>1364</v>
      </c>
      <c r="E1381" t="str">
        <f>_xlfn.LET(_xlpm.x,_xlfn.XLOOKUP(D1381,beans!$A$2:$A$300,beans!$H$2:$H$300,""),IF(_xlpm.x="","",_xlpm.x))</f>
        <v/>
      </c>
      <c r="F1381" s="22" t="str">
        <f>_xlfn.XLOOKUP(E1381,menu!$A$2:$A$37,menu!$B$2:$B$37,"")</f>
        <v/>
      </c>
      <c r="G1381" t="str">
        <f>_xlfn.XLOOKUP(E1381,menu!$A$2:$A$37,menu!$C$2:$C$37,"")</f>
        <v/>
      </c>
      <c r="H1381" t="str">
        <f>_xlfn.LET(_xlpm.x,_xlfn.XLOOKUP(_xlfn.XLOOKUP(D1381,beans!$A$2:$A$300,beans!$I$2:$I$300),menu!$E$2:$E$20,menu!$F$2:$F$20),IF(_xlpm.x="","",_xlpm.x))</f>
        <v/>
      </c>
      <c r="T1381" s="68" t="str">
        <f t="shared" si="146"/>
        <v/>
      </c>
      <c r="U1381" t="str">
        <f t="shared" si="142"/>
        <v/>
      </c>
      <c r="V1381">
        <f t="shared" si="147"/>
        <v>0</v>
      </c>
      <c r="W1381" t="str">
        <f t="shared" si="143"/>
        <v/>
      </c>
      <c r="AB1381" s="28" t="str">
        <f t="shared" si="144"/>
        <v xml:space="preserve"> </v>
      </c>
      <c r="AE1381" s="61" t="str">
        <f t="shared" si="145"/>
        <v/>
      </c>
      <c r="AF1381" s="77" t="str">
        <f>_xlfn.XLOOKUP(AD1381,menu!$K$2:$K$9,menu!$J$2:$J$9,"",1)</f>
        <v/>
      </c>
      <c r="AG1381" s="80" t="str">
        <f>_xlfn.XLOOKUP(AH1381,menu!$O$2:$O$9,menu!$H$2:$H$9,"")</f>
        <v/>
      </c>
      <c r="AI1381" t="str">
        <f>_xlfn.LET(_xlpm.x,_xlfn.CONCAT(_xlfn.XLOOKUP(D1381,beans!$A$2:$A$300,beans!$J$2:$J$300,"")," / ",_xlfn.XLOOKUP(D1381,beans!$A$2:$A$300,beans!$K$2:$K$300,"")," - ",_xlfn.XLOOKUP(D1381,beans!$A$2:$A$300,beans!$L$2:$L$300,"")),IF(_xlpm.x=" /  - ","",_xlpm.x))</f>
        <v/>
      </c>
    </row>
    <row r="1382" spans="1:35" x14ac:dyDescent="0.3">
      <c r="A1382">
        <v>1365</v>
      </c>
      <c r="E1382" t="str">
        <f>_xlfn.LET(_xlpm.x,_xlfn.XLOOKUP(D1382,beans!$A$2:$A$300,beans!$H$2:$H$300,""),IF(_xlpm.x="","",_xlpm.x))</f>
        <v/>
      </c>
      <c r="F1382" s="22" t="str">
        <f>_xlfn.XLOOKUP(E1382,menu!$A$2:$A$37,menu!$B$2:$B$37,"")</f>
        <v/>
      </c>
      <c r="G1382" t="str">
        <f>_xlfn.XLOOKUP(E1382,menu!$A$2:$A$37,menu!$C$2:$C$37,"")</f>
        <v/>
      </c>
      <c r="H1382" t="str">
        <f>_xlfn.LET(_xlpm.x,_xlfn.XLOOKUP(_xlfn.XLOOKUP(D1382,beans!$A$2:$A$300,beans!$I$2:$I$300),menu!$E$2:$E$20,menu!$F$2:$F$20),IF(_xlpm.x="","",_xlpm.x))</f>
        <v/>
      </c>
      <c r="T1382" s="68" t="str">
        <f t="shared" si="146"/>
        <v/>
      </c>
      <c r="U1382" t="str">
        <f t="shared" si="142"/>
        <v/>
      </c>
      <c r="V1382">
        <f t="shared" si="147"/>
        <v>0</v>
      </c>
      <c r="W1382" t="str">
        <f t="shared" si="143"/>
        <v/>
      </c>
      <c r="AB1382" s="28" t="str">
        <f t="shared" si="144"/>
        <v xml:space="preserve"> </v>
      </c>
      <c r="AE1382" s="61" t="str">
        <f t="shared" si="145"/>
        <v/>
      </c>
      <c r="AF1382" s="77" t="str">
        <f>_xlfn.XLOOKUP(AD1382,menu!$K$2:$K$9,menu!$J$2:$J$9,"",1)</f>
        <v/>
      </c>
      <c r="AG1382" s="80" t="str">
        <f>_xlfn.XLOOKUP(AH1382,menu!$O$2:$O$9,menu!$H$2:$H$9,"")</f>
        <v/>
      </c>
      <c r="AI1382" t="str">
        <f>_xlfn.LET(_xlpm.x,_xlfn.CONCAT(_xlfn.XLOOKUP(D1382,beans!$A$2:$A$300,beans!$J$2:$J$300,"")," / ",_xlfn.XLOOKUP(D1382,beans!$A$2:$A$300,beans!$K$2:$K$300,"")," - ",_xlfn.XLOOKUP(D1382,beans!$A$2:$A$300,beans!$L$2:$L$300,"")),IF(_xlpm.x=" /  - ","",_xlpm.x))</f>
        <v/>
      </c>
    </row>
    <row r="1383" spans="1:35" x14ac:dyDescent="0.3">
      <c r="A1383">
        <v>1366</v>
      </c>
      <c r="E1383" t="str">
        <f>_xlfn.LET(_xlpm.x,_xlfn.XLOOKUP(D1383,beans!$A$2:$A$300,beans!$H$2:$H$300,""),IF(_xlpm.x="","",_xlpm.x))</f>
        <v/>
      </c>
      <c r="F1383" s="22" t="str">
        <f>_xlfn.XLOOKUP(E1383,menu!$A$2:$A$37,menu!$B$2:$B$37,"")</f>
        <v/>
      </c>
      <c r="G1383" t="str">
        <f>_xlfn.XLOOKUP(E1383,menu!$A$2:$A$37,menu!$C$2:$C$37,"")</f>
        <v/>
      </c>
      <c r="H1383" t="str">
        <f>_xlfn.LET(_xlpm.x,_xlfn.XLOOKUP(_xlfn.XLOOKUP(D1383,beans!$A$2:$A$300,beans!$I$2:$I$300),menu!$E$2:$E$20,menu!$F$2:$F$20),IF(_xlpm.x="","",_xlpm.x))</f>
        <v/>
      </c>
      <c r="T1383" s="68" t="str">
        <f t="shared" si="146"/>
        <v/>
      </c>
      <c r="U1383" t="str">
        <f t="shared" si="142"/>
        <v/>
      </c>
      <c r="V1383">
        <f t="shared" si="147"/>
        <v>0</v>
      </c>
      <c r="W1383" t="str">
        <f t="shared" si="143"/>
        <v/>
      </c>
      <c r="AB1383" s="28" t="str">
        <f t="shared" si="144"/>
        <v xml:space="preserve"> </v>
      </c>
      <c r="AE1383" s="61" t="str">
        <f t="shared" si="145"/>
        <v/>
      </c>
      <c r="AF1383" s="77" t="str">
        <f>_xlfn.XLOOKUP(AD1383,menu!$K$2:$K$9,menu!$J$2:$J$9,"",1)</f>
        <v/>
      </c>
      <c r="AG1383" s="80" t="str">
        <f>_xlfn.XLOOKUP(AH1383,menu!$O$2:$O$9,menu!$H$2:$H$9,"")</f>
        <v/>
      </c>
      <c r="AI1383" t="str">
        <f>_xlfn.LET(_xlpm.x,_xlfn.CONCAT(_xlfn.XLOOKUP(D1383,beans!$A$2:$A$300,beans!$J$2:$J$300,"")," / ",_xlfn.XLOOKUP(D1383,beans!$A$2:$A$300,beans!$K$2:$K$300,"")," - ",_xlfn.XLOOKUP(D1383,beans!$A$2:$A$300,beans!$L$2:$L$300,"")),IF(_xlpm.x=" /  - ","",_xlpm.x))</f>
        <v/>
      </c>
    </row>
    <row r="1384" spans="1:35" x14ac:dyDescent="0.3">
      <c r="A1384">
        <v>1367</v>
      </c>
      <c r="E1384" t="str">
        <f>_xlfn.LET(_xlpm.x,_xlfn.XLOOKUP(D1384,beans!$A$2:$A$300,beans!$H$2:$H$300,""),IF(_xlpm.x="","",_xlpm.x))</f>
        <v/>
      </c>
      <c r="F1384" s="22" t="str">
        <f>_xlfn.XLOOKUP(E1384,menu!$A$2:$A$37,menu!$B$2:$B$37,"")</f>
        <v/>
      </c>
      <c r="G1384" t="str">
        <f>_xlfn.XLOOKUP(E1384,menu!$A$2:$A$37,menu!$C$2:$C$37,"")</f>
        <v/>
      </c>
      <c r="H1384" t="str">
        <f>_xlfn.LET(_xlpm.x,_xlfn.XLOOKUP(_xlfn.XLOOKUP(D1384,beans!$A$2:$A$300,beans!$I$2:$I$300),menu!$E$2:$E$20,menu!$F$2:$F$20),IF(_xlpm.x="","",_xlpm.x))</f>
        <v/>
      </c>
      <c r="T1384" s="68" t="str">
        <f t="shared" si="146"/>
        <v/>
      </c>
      <c r="U1384" t="str">
        <f t="shared" si="142"/>
        <v/>
      </c>
      <c r="V1384">
        <f t="shared" si="147"/>
        <v>0</v>
      </c>
      <c r="W1384" t="str">
        <f t="shared" si="143"/>
        <v/>
      </c>
      <c r="AB1384" s="28" t="str">
        <f t="shared" si="144"/>
        <v xml:space="preserve"> </v>
      </c>
      <c r="AE1384" s="61" t="str">
        <f t="shared" si="145"/>
        <v/>
      </c>
      <c r="AF1384" s="77" t="str">
        <f>_xlfn.XLOOKUP(AD1384,menu!$K$2:$K$9,menu!$J$2:$J$9,"",1)</f>
        <v/>
      </c>
      <c r="AG1384" s="80" t="str">
        <f>_xlfn.XLOOKUP(AH1384,menu!$O$2:$O$9,menu!$H$2:$H$9,"")</f>
        <v/>
      </c>
      <c r="AI1384" t="str">
        <f>_xlfn.LET(_xlpm.x,_xlfn.CONCAT(_xlfn.XLOOKUP(D1384,beans!$A$2:$A$300,beans!$J$2:$J$300,"")," / ",_xlfn.XLOOKUP(D1384,beans!$A$2:$A$300,beans!$K$2:$K$300,"")," - ",_xlfn.XLOOKUP(D1384,beans!$A$2:$A$300,beans!$L$2:$L$300,"")),IF(_xlpm.x=" /  - ","",_xlpm.x))</f>
        <v/>
      </c>
    </row>
    <row r="1385" spans="1:35" x14ac:dyDescent="0.3">
      <c r="A1385">
        <v>1368</v>
      </c>
      <c r="E1385" t="str">
        <f>_xlfn.LET(_xlpm.x,_xlfn.XLOOKUP(D1385,beans!$A$2:$A$300,beans!$H$2:$H$300,""),IF(_xlpm.x="","",_xlpm.x))</f>
        <v/>
      </c>
      <c r="F1385" s="22" t="str">
        <f>_xlfn.XLOOKUP(E1385,menu!$A$2:$A$37,menu!$B$2:$B$37,"")</f>
        <v/>
      </c>
      <c r="G1385" t="str">
        <f>_xlfn.XLOOKUP(E1385,menu!$A$2:$A$37,menu!$C$2:$C$37,"")</f>
        <v/>
      </c>
      <c r="H1385" t="str">
        <f>_xlfn.LET(_xlpm.x,_xlfn.XLOOKUP(_xlfn.XLOOKUP(D1385,beans!$A$2:$A$300,beans!$I$2:$I$300),menu!$E$2:$E$20,menu!$F$2:$F$20),IF(_xlpm.x="","",_xlpm.x))</f>
        <v/>
      </c>
      <c r="T1385" s="68" t="str">
        <f t="shared" si="146"/>
        <v/>
      </c>
      <c r="U1385" t="str">
        <f t="shared" si="142"/>
        <v/>
      </c>
      <c r="V1385">
        <f t="shared" si="147"/>
        <v>0</v>
      </c>
      <c r="W1385" t="str">
        <f t="shared" si="143"/>
        <v/>
      </c>
      <c r="AB1385" s="28" t="str">
        <f t="shared" si="144"/>
        <v xml:space="preserve"> </v>
      </c>
      <c r="AE1385" s="61" t="str">
        <f t="shared" si="145"/>
        <v/>
      </c>
      <c r="AF1385" s="77" t="str">
        <f>_xlfn.XLOOKUP(AD1385,menu!$K$2:$K$9,menu!$J$2:$J$9,"",1)</f>
        <v/>
      </c>
      <c r="AG1385" s="80" t="str">
        <f>_xlfn.XLOOKUP(AH1385,menu!$O$2:$O$9,menu!$H$2:$H$9,"")</f>
        <v/>
      </c>
      <c r="AI1385" t="str">
        <f>_xlfn.LET(_xlpm.x,_xlfn.CONCAT(_xlfn.XLOOKUP(D1385,beans!$A$2:$A$300,beans!$J$2:$J$300,"")," / ",_xlfn.XLOOKUP(D1385,beans!$A$2:$A$300,beans!$K$2:$K$300,"")," - ",_xlfn.XLOOKUP(D1385,beans!$A$2:$A$300,beans!$L$2:$L$300,"")),IF(_xlpm.x=" /  - ","",_xlpm.x))</f>
        <v/>
      </c>
    </row>
    <row r="1386" spans="1:35" x14ac:dyDescent="0.3">
      <c r="A1386">
        <v>1369</v>
      </c>
      <c r="E1386" t="str">
        <f>_xlfn.LET(_xlpm.x,_xlfn.XLOOKUP(D1386,beans!$A$2:$A$300,beans!$H$2:$H$300,""),IF(_xlpm.x="","",_xlpm.x))</f>
        <v/>
      </c>
      <c r="F1386" s="22" t="str">
        <f>_xlfn.XLOOKUP(E1386,menu!$A$2:$A$37,menu!$B$2:$B$37,"")</f>
        <v/>
      </c>
      <c r="G1386" t="str">
        <f>_xlfn.XLOOKUP(E1386,menu!$A$2:$A$37,menu!$C$2:$C$37,"")</f>
        <v/>
      </c>
      <c r="H1386" t="str">
        <f>_xlfn.LET(_xlpm.x,_xlfn.XLOOKUP(_xlfn.XLOOKUP(D1386,beans!$A$2:$A$300,beans!$I$2:$I$300),menu!$E$2:$E$20,menu!$F$2:$F$20),IF(_xlpm.x="","",_xlpm.x))</f>
        <v/>
      </c>
      <c r="T1386" s="68" t="str">
        <f t="shared" si="146"/>
        <v/>
      </c>
      <c r="U1386" t="str">
        <f t="shared" si="142"/>
        <v/>
      </c>
      <c r="V1386">
        <f t="shared" si="147"/>
        <v>0</v>
      </c>
      <c r="W1386" t="str">
        <f t="shared" si="143"/>
        <v/>
      </c>
      <c r="AB1386" s="28" t="str">
        <f t="shared" si="144"/>
        <v xml:space="preserve"> </v>
      </c>
      <c r="AE1386" s="61" t="str">
        <f t="shared" si="145"/>
        <v/>
      </c>
      <c r="AF1386" s="77" t="str">
        <f>_xlfn.XLOOKUP(AD1386,menu!$K$2:$K$9,menu!$J$2:$J$9,"",1)</f>
        <v/>
      </c>
      <c r="AG1386" s="80" t="str">
        <f>_xlfn.XLOOKUP(AH1386,menu!$O$2:$O$9,menu!$H$2:$H$9,"")</f>
        <v/>
      </c>
      <c r="AI1386" t="str">
        <f>_xlfn.LET(_xlpm.x,_xlfn.CONCAT(_xlfn.XLOOKUP(D1386,beans!$A$2:$A$300,beans!$J$2:$J$300,"")," / ",_xlfn.XLOOKUP(D1386,beans!$A$2:$A$300,beans!$K$2:$K$300,"")," - ",_xlfn.XLOOKUP(D1386,beans!$A$2:$A$300,beans!$L$2:$L$300,"")),IF(_xlpm.x=" /  - ","",_xlpm.x))</f>
        <v/>
      </c>
    </row>
    <row r="1387" spans="1:35" x14ac:dyDescent="0.3">
      <c r="A1387">
        <v>1370</v>
      </c>
      <c r="E1387" t="str">
        <f>_xlfn.LET(_xlpm.x,_xlfn.XLOOKUP(D1387,beans!$A$2:$A$300,beans!$H$2:$H$300,""),IF(_xlpm.x="","",_xlpm.x))</f>
        <v/>
      </c>
      <c r="F1387" s="22" t="str">
        <f>_xlfn.XLOOKUP(E1387,menu!$A$2:$A$37,menu!$B$2:$B$37,"")</f>
        <v/>
      </c>
      <c r="G1387" t="str">
        <f>_xlfn.XLOOKUP(E1387,menu!$A$2:$A$37,menu!$C$2:$C$37,"")</f>
        <v/>
      </c>
      <c r="H1387" t="str">
        <f>_xlfn.LET(_xlpm.x,_xlfn.XLOOKUP(_xlfn.XLOOKUP(D1387,beans!$A$2:$A$300,beans!$I$2:$I$300),menu!$E$2:$E$20,menu!$F$2:$F$20),IF(_xlpm.x="","",_xlpm.x))</f>
        <v/>
      </c>
      <c r="T1387" s="68" t="str">
        <f t="shared" si="146"/>
        <v/>
      </c>
      <c r="U1387" t="str">
        <f t="shared" si="142"/>
        <v/>
      </c>
      <c r="V1387">
        <f t="shared" si="147"/>
        <v>0</v>
      </c>
      <c r="W1387" t="str">
        <f t="shared" si="143"/>
        <v/>
      </c>
      <c r="AB1387" s="28" t="str">
        <f t="shared" si="144"/>
        <v xml:space="preserve"> </v>
      </c>
      <c r="AE1387" s="61" t="str">
        <f t="shared" si="145"/>
        <v/>
      </c>
      <c r="AF1387" s="77" t="str">
        <f>_xlfn.XLOOKUP(AD1387,menu!$K$2:$K$9,menu!$J$2:$J$9,"",1)</f>
        <v/>
      </c>
      <c r="AG1387" s="80" t="str">
        <f>_xlfn.XLOOKUP(AH1387,menu!$O$2:$O$9,menu!$H$2:$H$9,"")</f>
        <v/>
      </c>
      <c r="AI1387" t="str">
        <f>_xlfn.LET(_xlpm.x,_xlfn.CONCAT(_xlfn.XLOOKUP(D1387,beans!$A$2:$A$300,beans!$J$2:$J$300,"")," / ",_xlfn.XLOOKUP(D1387,beans!$A$2:$A$300,beans!$K$2:$K$300,"")," - ",_xlfn.XLOOKUP(D1387,beans!$A$2:$A$300,beans!$L$2:$L$300,"")),IF(_xlpm.x=" /  - ","",_xlpm.x))</f>
        <v/>
      </c>
    </row>
    <row r="1388" spans="1:35" x14ac:dyDescent="0.3">
      <c r="A1388">
        <v>1371</v>
      </c>
      <c r="E1388" t="str">
        <f>_xlfn.LET(_xlpm.x,_xlfn.XLOOKUP(D1388,beans!$A$2:$A$300,beans!$H$2:$H$300,""),IF(_xlpm.x="","",_xlpm.x))</f>
        <v/>
      </c>
      <c r="F1388" s="22" t="str">
        <f>_xlfn.XLOOKUP(E1388,menu!$A$2:$A$37,menu!$B$2:$B$37,"")</f>
        <v/>
      </c>
      <c r="G1388" t="str">
        <f>_xlfn.XLOOKUP(E1388,menu!$A$2:$A$37,menu!$C$2:$C$37,"")</f>
        <v/>
      </c>
      <c r="H1388" t="str">
        <f>_xlfn.LET(_xlpm.x,_xlfn.XLOOKUP(_xlfn.XLOOKUP(D1388,beans!$A$2:$A$300,beans!$I$2:$I$300),menu!$E$2:$E$20,menu!$F$2:$F$20),IF(_xlpm.x="","",_xlpm.x))</f>
        <v/>
      </c>
      <c r="T1388" s="68" t="str">
        <f t="shared" si="146"/>
        <v/>
      </c>
      <c r="U1388" t="str">
        <f t="shared" si="142"/>
        <v/>
      </c>
      <c r="V1388">
        <f t="shared" si="147"/>
        <v>0</v>
      </c>
      <c r="W1388" t="str">
        <f t="shared" si="143"/>
        <v/>
      </c>
      <c r="AB1388" s="28" t="str">
        <f t="shared" si="144"/>
        <v xml:space="preserve"> </v>
      </c>
      <c r="AE1388" s="61" t="str">
        <f t="shared" si="145"/>
        <v/>
      </c>
      <c r="AF1388" s="77" t="str">
        <f>_xlfn.XLOOKUP(AD1388,menu!$K$2:$K$9,menu!$J$2:$J$9,"",1)</f>
        <v/>
      </c>
      <c r="AG1388" s="80" t="str">
        <f>_xlfn.XLOOKUP(AH1388,menu!$O$2:$O$9,menu!$H$2:$H$9,"")</f>
        <v/>
      </c>
      <c r="AI1388" t="str">
        <f>_xlfn.LET(_xlpm.x,_xlfn.CONCAT(_xlfn.XLOOKUP(D1388,beans!$A$2:$A$300,beans!$J$2:$J$300,"")," / ",_xlfn.XLOOKUP(D1388,beans!$A$2:$A$300,beans!$K$2:$K$300,"")," - ",_xlfn.XLOOKUP(D1388,beans!$A$2:$A$300,beans!$L$2:$L$300,"")),IF(_xlpm.x=" /  - ","",_xlpm.x))</f>
        <v/>
      </c>
    </row>
    <row r="1389" spans="1:35" x14ac:dyDescent="0.3">
      <c r="A1389">
        <v>1372</v>
      </c>
      <c r="E1389" t="str">
        <f>_xlfn.LET(_xlpm.x,_xlfn.XLOOKUP(D1389,beans!$A$2:$A$300,beans!$H$2:$H$300,""),IF(_xlpm.x="","",_xlpm.x))</f>
        <v/>
      </c>
      <c r="F1389" s="22" t="str">
        <f>_xlfn.XLOOKUP(E1389,menu!$A$2:$A$37,menu!$B$2:$B$37,"")</f>
        <v/>
      </c>
      <c r="G1389" t="str">
        <f>_xlfn.XLOOKUP(E1389,menu!$A$2:$A$37,menu!$C$2:$C$37,"")</f>
        <v/>
      </c>
      <c r="H1389" t="str">
        <f>_xlfn.LET(_xlpm.x,_xlfn.XLOOKUP(_xlfn.XLOOKUP(D1389,beans!$A$2:$A$300,beans!$I$2:$I$300),menu!$E$2:$E$20,menu!$F$2:$F$20),IF(_xlpm.x="","",_xlpm.x))</f>
        <v/>
      </c>
      <c r="T1389" s="68" t="str">
        <f t="shared" si="146"/>
        <v/>
      </c>
      <c r="U1389" t="str">
        <f t="shared" si="142"/>
        <v/>
      </c>
      <c r="V1389">
        <f t="shared" si="147"/>
        <v>0</v>
      </c>
      <c r="W1389" t="str">
        <f t="shared" si="143"/>
        <v/>
      </c>
      <c r="AB1389" s="28" t="str">
        <f t="shared" si="144"/>
        <v xml:space="preserve"> </v>
      </c>
      <c r="AE1389" s="61" t="str">
        <f t="shared" si="145"/>
        <v/>
      </c>
      <c r="AF1389" s="77" t="str">
        <f>_xlfn.XLOOKUP(AD1389,menu!$K$2:$K$9,menu!$J$2:$J$9,"",1)</f>
        <v/>
      </c>
      <c r="AG1389" s="80" t="str">
        <f>_xlfn.XLOOKUP(AH1389,menu!$O$2:$O$9,menu!$H$2:$H$9,"")</f>
        <v/>
      </c>
      <c r="AI1389" t="str">
        <f>_xlfn.LET(_xlpm.x,_xlfn.CONCAT(_xlfn.XLOOKUP(D1389,beans!$A$2:$A$300,beans!$J$2:$J$300,"")," / ",_xlfn.XLOOKUP(D1389,beans!$A$2:$A$300,beans!$K$2:$K$300,"")," - ",_xlfn.XLOOKUP(D1389,beans!$A$2:$A$300,beans!$L$2:$L$300,"")),IF(_xlpm.x=" /  - ","",_xlpm.x))</f>
        <v/>
      </c>
    </row>
    <row r="1390" spans="1:35" x14ac:dyDescent="0.3">
      <c r="A1390">
        <v>1373</v>
      </c>
      <c r="E1390" t="str">
        <f>_xlfn.LET(_xlpm.x,_xlfn.XLOOKUP(D1390,beans!$A$2:$A$300,beans!$H$2:$H$300,""),IF(_xlpm.x="","",_xlpm.x))</f>
        <v/>
      </c>
      <c r="F1390" s="22" t="str">
        <f>_xlfn.XLOOKUP(E1390,menu!$A$2:$A$37,menu!$B$2:$B$37,"")</f>
        <v/>
      </c>
      <c r="G1390" t="str">
        <f>_xlfn.XLOOKUP(E1390,menu!$A$2:$A$37,menu!$C$2:$C$37,"")</f>
        <v/>
      </c>
      <c r="H1390" t="str">
        <f>_xlfn.LET(_xlpm.x,_xlfn.XLOOKUP(_xlfn.XLOOKUP(D1390,beans!$A$2:$A$300,beans!$I$2:$I$300),menu!$E$2:$E$20,menu!$F$2:$F$20),IF(_xlpm.x="","",_xlpm.x))</f>
        <v/>
      </c>
      <c r="T1390" s="68" t="str">
        <f t="shared" si="146"/>
        <v/>
      </c>
      <c r="U1390" t="str">
        <f t="shared" si="142"/>
        <v/>
      </c>
      <c r="V1390">
        <f t="shared" si="147"/>
        <v>0</v>
      </c>
      <c r="W1390" t="str">
        <f t="shared" si="143"/>
        <v/>
      </c>
      <c r="AB1390" s="28" t="str">
        <f t="shared" si="144"/>
        <v xml:space="preserve"> </v>
      </c>
      <c r="AE1390" s="61" t="str">
        <f t="shared" si="145"/>
        <v/>
      </c>
      <c r="AF1390" s="77" t="str">
        <f>_xlfn.XLOOKUP(AD1390,menu!$K$2:$K$9,menu!$J$2:$J$9,"",1)</f>
        <v/>
      </c>
      <c r="AG1390" s="80" t="str">
        <f>_xlfn.XLOOKUP(AH1390,menu!$O$2:$O$9,menu!$H$2:$H$9,"")</f>
        <v/>
      </c>
      <c r="AI1390" t="str">
        <f>_xlfn.LET(_xlpm.x,_xlfn.CONCAT(_xlfn.XLOOKUP(D1390,beans!$A$2:$A$300,beans!$J$2:$J$300,"")," / ",_xlfn.XLOOKUP(D1390,beans!$A$2:$A$300,beans!$K$2:$K$300,"")," - ",_xlfn.XLOOKUP(D1390,beans!$A$2:$A$300,beans!$L$2:$L$300,"")),IF(_xlpm.x=" /  - ","",_xlpm.x))</f>
        <v/>
      </c>
    </row>
    <row r="1391" spans="1:35" x14ac:dyDescent="0.3">
      <c r="A1391">
        <v>1374</v>
      </c>
      <c r="E1391" t="str">
        <f>_xlfn.LET(_xlpm.x,_xlfn.XLOOKUP(D1391,beans!$A$2:$A$300,beans!$H$2:$H$300,""),IF(_xlpm.x="","",_xlpm.x))</f>
        <v/>
      </c>
      <c r="F1391" s="22" t="str">
        <f>_xlfn.XLOOKUP(E1391,menu!$A$2:$A$37,menu!$B$2:$B$37,"")</f>
        <v/>
      </c>
      <c r="G1391" t="str">
        <f>_xlfn.XLOOKUP(E1391,menu!$A$2:$A$37,menu!$C$2:$C$37,"")</f>
        <v/>
      </c>
      <c r="H1391" t="str">
        <f>_xlfn.LET(_xlpm.x,_xlfn.XLOOKUP(_xlfn.XLOOKUP(D1391,beans!$A$2:$A$300,beans!$I$2:$I$300),menu!$E$2:$E$20,menu!$F$2:$F$20),IF(_xlpm.x="","",_xlpm.x))</f>
        <v/>
      </c>
      <c r="T1391" s="68" t="str">
        <f t="shared" si="146"/>
        <v/>
      </c>
      <c r="U1391" t="str">
        <f t="shared" si="142"/>
        <v/>
      </c>
      <c r="V1391">
        <f t="shared" si="147"/>
        <v>0</v>
      </c>
      <c r="W1391" t="str">
        <f t="shared" si="143"/>
        <v/>
      </c>
      <c r="AB1391" s="28" t="str">
        <f t="shared" si="144"/>
        <v xml:space="preserve"> </v>
      </c>
      <c r="AE1391" s="61" t="str">
        <f t="shared" si="145"/>
        <v/>
      </c>
      <c r="AF1391" s="77" t="str">
        <f>_xlfn.XLOOKUP(AD1391,menu!$K$2:$K$9,menu!$J$2:$J$9,"",1)</f>
        <v/>
      </c>
      <c r="AG1391" s="80" t="str">
        <f>_xlfn.XLOOKUP(AH1391,menu!$O$2:$O$9,menu!$H$2:$H$9,"")</f>
        <v/>
      </c>
      <c r="AI1391" t="str">
        <f>_xlfn.LET(_xlpm.x,_xlfn.CONCAT(_xlfn.XLOOKUP(D1391,beans!$A$2:$A$300,beans!$J$2:$J$300,"")," / ",_xlfn.XLOOKUP(D1391,beans!$A$2:$A$300,beans!$K$2:$K$300,"")," - ",_xlfn.XLOOKUP(D1391,beans!$A$2:$A$300,beans!$L$2:$L$300,"")),IF(_xlpm.x=" /  - ","",_xlpm.x))</f>
        <v/>
      </c>
    </row>
    <row r="1392" spans="1:35" x14ac:dyDescent="0.3">
      <c r="A1392">
        <v>1375</v>
      </c>
      <c r="E1392" t="str">
        <f>_xlfn.LET(_xlpm.x,_xlfn.XLOOKUP(D1392,beans!$A$2:$A$300,beans!$H$2:$H$300,""),IF(_xlpm.x="","",_xlpm.x))</f>
        <v/>
      </c>
      <c r="F1392" s="22" t="str">
        <f>_xlfn.XLOOKUP(E1392,menu!$A$2:$A$37,menu!$B$2:$B$37,"")</f>
        <v/>
      </c>
      <c r="G1392" t="str">
        <f>_xlfn.XLOOKUP(E1392,menu!$A$2:$A$37,menu!$C$2:$C$37,"")</f>
        <v/>
      </c>
      <c r="H1392" t="str">
        <f>_xlfn.LET(_xlpm.x,_xlfn.XLOOKUP(_xlfn.XLOOKUP(D1392,beans!$A$2:$A$300,beans!$I$2:$I$300),menu!$E$2:$E$20,menu!$F$2:$F$20),IF(_xlpm.x="","",_xlpm.x))</f>
        <v/>
      </c>
      <c r="T1392" s="68" t="str">
        <f t="shared" si="146"/>
        <v/>
      </c>
      <c r="U1392" t="str">
        <f t="shared" si="142"/>
        <v/>
      </c>
      <c r="V1392">
        <f t="shared" si="147"/>
        <v>0</v>
      </c>
      <c r="W1392" t="str">
        <f t="shared" si="143"/>
        <v/>
      </c>
      <c r="AB1392" s="28" t="str">
        <f t="shared" si="144"/>
        <v xml:space="preserve"> </v>
      </c>
      <c r="AE1392" s="61" t="str">
        <f t="shared" si="145"/>
        <v/>
      </c>
      <c r="AF1392" s="77" t="str">
        <f>_xlfn.XLOOKUP(AD1392,menu!$K$2:$K$9,menu!$J$2:$J$9,"",1)</f>
        <v/>
      </c>
      <c r="AG1392" s="80" t="str">
        <f>_xlfn.XLOOKUP(AH1392,menu!$O$2:$O$9,menu!$H$2:$H$9,"")</f>
        <v/>
      </c>
      <c r="AI1392" t="str">
        <f>_xlfn.LET(_xlpm.x,_xlfn.CONCAT(_xlfn.XLOOKUP(D1392,beans!$A$2:$A$300,beans!$J$2:$J$300,"")," / ",_xlfn.XLOOKUP(D1392,beans!$A$2:$A$300,beans!$K$2:$K$300,"")," - ",_xlfn.XLOOKUP(D1392,beans!$A$2:$A$300,beans!$L$2:$L$300,"")),IF(_xlpm.x=" /  - ","",_xlpm.x))</f>
        <v/>
      </c>
    </row>
    <row r="1393" spans="1:35" x14ac:dyDescent="0.3">
      <c r="A1393">
        <v>1376</v>
      </c>
      <c r="E1393" t="str">
        <f>_xlfn.LET(_xlpm.x,_xlfn.XLOOKUP(D1393,beans!$A$2:$A$300,beans!$H$2:$H$300,""),IF(_xlpm.x="","",_xlpm.x))</f>
        <v/>
      </c>
      <c r="F1393" s="22" t="str">
        <f>_xlfn.XLOOKUP(E1393,menu!$A$2:$A$37,menu!$B$2:$B$37,"")</f>
        <v/>
      </c>
      <c r="G1393" t="str">
        <f>_xlfn.XLOOKUP(E1393,menu!$A$2:$A$37,menu!$C$2:$C$37,"")</f>
        <v/>
      </c>
      <c r="H1393" t="str">
        <f>_xlfn.LET(_xlpm.x,_xlfn.XLOOKUP(_xlfn.XLOOKUP(D1393,beans!$A$2:$A$300,beans!$I$2:$I$300),menu!$E$2:$E$20,menu!$F$2:$F$20),IF(_xlpm.x="","",_xlpm.x))</f>
        <v/>
      </c>
      <c r="T1393" s="68" t="str">
        <f t="shared" si="146"/>
        <v/>
      </c>
      <c r="U1393" t="str">
        <f t="shared" si="142"/>
        <v/>
      </c>
      <c r="V1393">
        <f t="shared" si="147"/>
        <v>0</v>
      </c>
      <c r="W1393" t="str">
        <f t="shared" si="143"/>
        <v/>
      </c>
      <c r="AB1393" s="28" t="str">
        <f t="shared" si="144"/>
        <v xml:space="preserve"> </v>
      </c>
      <c r="AE1393" s="61" t="str">
        <f t="shared" si="145"/>
        <v/>
      </c>
      <c r="AF1393" s="77" t="str">
        <f>_xlfn.XLOOKUP(AD1393,menu!$K$2:$K$9,menu!$J$2:$J$9,"",1)</f>
        <v/>
      </c>
      <c r="AG1393" s="80" t="str">
        <f>_xlfn.XLOOKUP(AH1393,menu!$O$2:$O$9,menu!$H$2:$H$9,"")</f>
        <v/>
      </c>
      <c r="AI1393" t="str">
        <f>_xlfn.LET(_xlpm.x,_xlfn.CONCAT(_xlfn.XLOOKUP(D1393,beans!$A$2:$A$300,beans!$J$2:$J$300,"")," / ",_xlfn.XLOOKUP(D1393,beans!$A$2:$A$300,beans!$K$2:$K$300,"")," - ",_xlfn.XLOOKUP(D1393,beans!$A$2:$A$300,beans!$L$2:$L$300,"")),IF(_xlpm.x=" /  - ","",_xlpm.x))</f>
        <v/>
      </c>
    </row>
    <row r="1394" spans="1:35" x14ac:dyDescent="0.3">
      <c r="A1394">
        <v>1377</v>
      </c>
      <c r="E1394" t="str">
        <f>_xlfn.LET(_xlpm.x,_xlfn.XLOOKUP(D1394,beans!$A$2:$A$300,beans!$H$2:$H$300,""),IF(_xlpm.x="","",_xlpm.x))</f>
        <v/>
      </c>
      <c r="F1394" s="22" t="str">
        <f>_xlfn.XLOOKUP(E1394,menu!$A$2:$A$37,menu!$B$2:$B$37,"")</f>
        <v/>
      </c>
      <c r="G1394" t="str">
        <f>_xlfn.XLOOKUP(E1394,menu!$A$2:$A$37,menu!$C$2:$C$37,"")</f>
        <v/>
      </c>
      <c r="H1394" t="str">
        <f>_xlfn.LET(_xlpm.x,_xlfn.XLOOKUP(_xlfn.XLOOKUP(D1394,beans!$A$2:$A$300,beans!$I$2:$I$300),menu!$E$2:$E$20,menu!$F$2:$F$20),IF(_xlpm.x="","",_xlpm.x))</f>
        <v/>
      </c>
      <c r="T1394" s="68" t="str">
        <f t="shared" si="146"/>
        <v/>
      </c>
      <c r="U1394" t="str">
        <f t="shared" si="142"/>
        <v/>
      </c>
      <c r="V1394">
        <f t="shared" si="147"/>
        <v>0</v>
      </c>
      <c r="W1394" t="str">
        <f t="shared" si="143"/>
        <v/>
      </c>
      <c r="AB1394" s="28" t="str">
        <f t="shared" si="144"/>
        <v xml:space="preserve"> </v>
      </c>
      <c r="AE1394" s="61" t="str">
        <f t="shared" si="145"/>
        <v/>
      </c>
      <c r="AF1394" s="77" t="str">
        <f>_xlfn.XLOOKUP(AD1394,menu!$K$2:$K$9,menu!$J$2:$J$9,"",1)</f>
        <v/>
      </c>
      <c r="AG1394" s="80" t="str">
        <f>_xlfn.XLOOKUP(AH1394,menu!$O$2:$O$9,menu!$H$2:$H$9,"")</f>
        <v/>
      </c>
      <c r="AI1394" t="str">
        <f>_xlfn.LET(_xlpm.x,_xlfn.CONCAT(_xlfn.XLOOKUP(D1394,beans!$A$2:$A$300,beans!$J$2:$J$300,"")," / ",_xlfn.XLOOKUP(D1394,beans!$A$2:$A$300,beans!$K$2:$K$300,"")," - ",_xlfn.XLOOKUP(D1394,beans!$A$2:$A$300,beans!$L$2:$L$300,"")),IF(_xlpm.x=" /  - ","",_xlpm.x))</f>
        <v/>
      </c>
    </row>
    <row r="1395" spans="1:35" x14ac:dyDescent="0.3">
      <c r="A1395">
        <v>1378</v>
      </c>
      <c r="E1395" t="str">
        <f>_xlfn.LET(_xlpm.x,_xlfn.XLOOKUP(D1395,beans!$A$2:$A$300,beans!$H$2:$H$300,""),IF(_xlpm.x="","",_xlpm.x))</f>
        <v/>
      </c>
      <c r="F1395" s="22" t="str">
        <f>_xlfn.XLOOKUP(E1395,menu!$A$2:$A$37,menu!$B$2:$B$37,"")</f>
        <v/>
      </c>
      <c r="G1395" t="str">
        <f>_xlfn.XLOOKUP(E1395,menu!$A$2:$A$37,menu!$C$2:$C$37,"")</f>
        <v/>
      </c>
      <c r="H1395" t="str">
        <f>_xlfn.LET(_xlpm.x,_xlfn.XLOOKUP(_xlfn.XLOOKUP(D1395,beans!$A$2:$A$300,beans!$I$2:$I$300),menu!$E$2:$E$20,menu!$F$2:$F$20),IF(_xlpm.x="","",_xlpm.x))</f>
        <v/>
      </c>
      <c r="T1395" s="68" t="str">
        <f t="shared" si="146"/>
        <v/>
      </c>
      <c r="U1395" t="str">
        <f t="shared" si="142"/>
        <v/>
      </c>
      <c r="V1395">
        <f t="shared" si="147"/>
        <v>0</v>
      </c>
      <c r="W1395" t="str">
        <f t="shared" si="143"/>
        <v/>
      </c>
      <c r="AB1395" s="28" t="str">
        <f t="shared" si="144"/>
        <v xml:space="preserve"> </v>
      </c>
      <c r="AE1395" s="61" t="str">
        <f t="shared" si="145"/>
        <v/>
      </c>
      <c r="AF1395" s="77" t="str">
        <f>_xlfn.XLOOKUP(AD1395,menu!$K$2:$K$9,menu!$J$2:$J$9,"",1)</f>
        <v/>
      </c>
      <c r="AG1395" s="80" t="str">
        <f>_xlfn.XLOOKUP(AH1395,menu!$O$2:$O$9,menu!$H$2:$H$9,"")</f>
        <v/>
      </c>
      <c r="AI1395" t="str">
        <f>_xlfn.LET(_xlpm.x,_xlfn.CONCAT(_xlfn.XLOOKUP(D1395,beans!$A$2:$A$300,beans!$J$2:$J$300,"")," / ",_xlfn.XLOOKUP(D1395,beans!$A$2:$A$300,beans!$K$2:$K$300,"")," - ",_xlfn.XLOOKUP(D1395,beans!$A$2:$A$300,beans!$L$2:$L$300,"")),IF(_xlpm.x=" /  - ","",_xlpm.x))</f>
        <v/>
      </c>
    </row>
    <row r="1396" spans="1:35" x14ac:dyDescent="0.3">
      <c r="A1396">
        <v>1379</v>
      </c>
      <c r="E1396" t="str">
        <f>_xlfn.LET(_xlpm.x,_xlfn.XLOOKUP(D1396,beans!$A$2:$A$300,beans!$H$2:$H$300,""),IF(_xlpm.x="","",_xlpm.x))</f>
        <v/>
      </c>
      <c r="F1396" s="22" t="str">
        <f>_xlfn.XLOOKUP(E1396,menu!$A$2:$A$37,menu!$B$2:$B$37,"")</f>
        <v/>
      </c>
      <c r="G1396" t="str">
        <f>_xlfn.XLOOKUP(E1396,menu!$A$2:$A$37,menu!$C$2:$C$37,"")</f>
        <v/>
      </c>
      <c r="H1396" t="str">
        <f>_xlfn.LET(_xlpm.x,_xlfn.XLOOKUP(_xlfn.XLOOKUP(D1396,beans!$A$2:$A$300,beans!$I$2:$I$300),menu!$E$2:$E$20,menu!$F$2:$F$20),IF(_xlpm.x="","",_xlpm.x))</f>
        <v/>
      </c>
      <c r="T1396" s="68" t="str">
        <f t="shared" si="146"/>
        <v/>
      </c>
      <c r="U1396" t="str">
        <f t="shared" si="142"/>
        <v/>
      </c>
      <c r="V1396">
        <f t="shared" si="147"/>
        <v>0</v>
      </c>
      <c r="W1396" t="str">
        <f t="shared" si="143"/>
        <v/>
      </c>
      <c r="AB1396" s="28" t="str">
        <f t="shared" si="144"/>
        <v xml:space="preserve"> </v>
      </c>
      <c r="AE1396" s="61" t="str">
        <f t="shared" si="145"/>
        <v/>
      </c>
      <c r="AF1396" s="77" t="str">
        <f>_xlfn.XLOOKUP(AD1396,menu!$K$2:$K$9,menu!$J$2:$J$9,"",1)</f>
        <v/>
      </c>
      <c r="AG1396" s="80" t="str">
        <f>_xlfn.XLOOKUP(AH1396,menu!$O$2:$O$9,menu!$H$2:$H$9,"")</f>
        <v/>
      </c>
      <c r="AI1396" t="str">
        <f>_xlfn.LET(_xlpm.x,_xlfn.CONCAT(_xlfn.XLOOKUP(D1396,beans!$A$2:$A$300,beans!$J$2:$J$300,"")," / ",_xlfn.XLOOKUP(D1396,beans!$A$2:$A$300,beans!$K$2:$K$300,"")," - ",_xlfn.XLOOKUP(D1396,beans!$A$2:$A$300,beans!$L$2:$L$300,"")),IF(_xlpm.x=" /  - ","",_xlpm.x))</f>
        <v/>
      </c>
    </row>
    <row r="1397" spans="1:35" x14ac:dyDescent="0.3">
      <c r="A1397">
        <v>1380</v>
      </c>
      <c r="E1397" t="str">
        <f>_xlfn.LET(_xlpm.x,_xlfn.XLOOKUP(D1397,beans!$A$2:$A$300,beans!$H$2:$H$300,""),IF(_xlpm.x="","",_xlpm.x))</f>
        <v/>
      </c>
      <c r="F1397" s="22" t="str">
        <f>_xlfn.XLOOKUP(E1397,menu!$A$2:$A$37,menu!$B$2:$B$37,"")</f>
        <v/>
      </c>
      <c r="G1397" t="str">
        <f>_xlfn.XLOOKUP(E1397,menu!$A$2:$A$37,menu!$C$2:$C$37,"")</f>
        <v/>
      </c>
      <c r="H1397" t="str">
        <f>_xlfn.LET(_xlpm.x,_xlfn.XLOOKUP(_xlfn.XLOOKUP(D1397,beans!$A$2:$A$300,beans!$I$2:$I$300),menu!$E$2:$E$20,menu!$F$2:$F$20),IF(_xlpm.x="","",_xlpm.x))</f>
        <v/>
      </c>
      <c r="T1397" s="68" t="str">
        <f t="shared" si="146"/>
        <v/>
      </c>
      <c r="U1397" t="str">
        <f t="shared" si="142"/>
        <v/>
      </c>
      <c r="V1397">
        <f t="shared" si="147"/>
        <v>0</v>
      </c>
      <c r="W1397" t="str">
        <f t="shared" si="143"/>
        <v/>
      </c>
      <c r="AB1397" s="28" t="str">
        <f t="shared" si="144"/>
        <v xml:space="preserve"> </v>
      </c>
      <c r="AE1397" s="61" t="str">
        <f t="shared" si="145"/>
        <v/>
      </c>
      <c r="AF1397" s="77" t="str">
        <f>_xlfn.XLOOKUP(AD1397,menu!$K$2:$K$9,menu!$J$2:$J$9,"",1)</f>
        <v/>
      </c>
      <c r="AG1397" s="80" t="str">
        <f>_xlfn.XLOOKUP(AH1397,menu!$O$2:$O$9,menu!$H$2:$H$9,"")</f>
        <v/>
      </c>
      <c r="AI1397" t="str">
        <f>_xlfn.LET(_xlpm.x,_xlfn.CONCAT(_xlfn.XLOOKUP(D1397,beans!$A$2:$A$300,beans!$J$2:$J$300,"")," / ",_xlfn.XLOOKUP(D1397,beans!$A$2:$A$300,beans!$K$2:$K$300,"")," - ",_xlfn.XLOOKUP(D1397,beans!$A$2:$A$300,beans!$L$2:$L$300,"")),IF(_xlpm.x=" /  - ","",_xlpm.x))</f>
        <v/>
      </c>
    </row>
    <row r="1398" spans="1:35" x14ac:dyDescent="0.3">
      <c r="A1398">
        <v>1381</v>
      </c>
      <c r="E1398" t="str">
        <f>_xlfn.LET(_xlpm.x,_xlfn.XLOOKUP(D1398,beans!$A$2:$A$300,beans!$H$2:$H$300,""),IF(_xlpm.x="","",_xlpm.x))</f>
        <v/>
      </c>
      <c r="F1398" s="22" t="str">
        <f>_xlfn.XLOOKUP(E1398,menu!$A$2:$A$37,menu!$B$2:$B$37,"")</f>
        <v/>
      </c>
      <c r="G1398" t="str">
        <f>_xlfn.XLOOKUP(E1398,menu!$A$2:$A$37,menu!$C$2:$C$37,"")</f>
        <v/>
      </c>
      <c r="H1398" t="str">
        <f>_xlfn.LET(_xlpm.x,_xlfn.XLOOKUP(_xlfn.XLOOKUP(D1398,beans!$A$2:$A$300,beans!$I$2:$I$300),menu!$E$2:$E$20,menu!$F$2:$F$20),IF(_xlpm.x="","",_xlpm.x))</f>
        <v/>
      </c>
      <c r="T1398" s="68" t="str">
        <f t="shared" si="146"/>
        <v/>
      </c>
      <c r="U1398" t="str">
        <f t="shared" si="142"/>
        <v/>
      </c>
      <c r="V1398">
        <f t="shared" si="147"/>
        <v>0</v>
      </c>
      <c r="W1398" t="str">
        <f t="shared" si="143"/>
        <v/>
      </c>
      <c r="AB1398" s="28" t="str">
        <f t="shared" si="144"/>
        <v xml:space="preserve"> </v>
      </c>
      <c r="AE1398" s="61" t="str">
        <f t="shared" si="145"/>
        <v/>
      </c>
      <c r="AF1398" s="77" t="str">
        <f>_xlfn.XLOOKUP(AD1398,menu!$K$2:$K$9,menu!$J$2:$J$9,"",1)</f>
        <v/>
      </c>
      <c r="AG1398" s="80" t="str">
        <f>_xlfn.XLOOKUP(AH1398,menu!$O$2:$O$9,menu!$H$2:$H$9,"")</f>
        <v/>
      </c>
      <c r="AI1398" t="str">
        <f>_xlfn.LET(_xlpm.x,_xlfn.CONCAT(_xlfn.XLOOKUP(D1398,beans!$A$2:$A$300,beans!$J$2:$J$300,"")," / ",_xlfn.XLOOKUP(D1398,beans!$A$2:$A$300,beans!$K$2:$K$300,"")," - ",_xlfn.XLOOKUP(D1398,beans!$A$2:$A$300,beans!$L$2:$L$300,"")),IF(_xlpm.x=" /  - ","",_xlpm.x))</f>
        <v/>
      </c>
    </row>
    <row r="1399" spans="1:35" x14ac:dyDescent="0.3">
      <c r="A1399">
        <v>1382</v>
      </c>
      <c r="E1399" t="str">
        <f>_xlfn.LET(_xlpm.x,_xlfn.XLOOKUP(D1399,beans!$A$2:$A$300,beans!$H$2:$H$300,""),IF(_xlpm.x="","",_xlpm.x))</f>
        <v/>
      </c>
      <c r="F1399" s="22" t="str">
        <f>_xlfn.XLOOKUP(E1399,menu!$A$2:$A$37,menu!$B$2:$B$37,"")</f>
        <v/>
      </c>
      <c r="G1399" t="str">
        <f>_xlfn.XLOOKUP(E1399,menu!$A$2:$A$37,menu!$C$2:$C$37,"")</f>
        <v/>
      </c>
      <c r="H1399" t="str">
        <f>_xlfn.LET(_xlpm.x,_xlfn.XLOOKUP(_xlfn.XLOOKUP(D1399,beans!$A$2:$A$300,beans!$I$2:$I$300),menu!$E$2:$E$20,menu!$F$2:$F$20),IF(_xlpm.x="","",_xlpm.x))</f>
        <v/>
      </c>
      <c r="T1399" s="68" t="str">
        <f t="shared" si="146"/>
        <v/>
      </c>
      <c r="U1399" t="str">
        <f t="shared" si="142"/>
        <v/>
      </c>
      <c r="V1399">
        <f t="shared" si="147"/>
        <v>0</v>
      </c>
      <c r="W1399" t="str">
        <f t="shared" si="143"/>
        <v/>
      </c>
      <c r="AB1399" s="28" t="str">
        <f t="shared" si="144"/>
        <v xml:space="preserve"> </v>
      </c>
      <c r="AE1399" s="61" t="str">
        <f t="shared" si="145"/>
        <v/>
      </c>
      <c r="AF1399" s="77" t="str">
        <f>_xlfn.XLOOKUP(AD1399,menu!$K$2:$K$9,menu!$J$2:$J$9,"",1)</f>
        <v/>
      </c>
      <c r="AG1399" s="80" t="str">
        <f>_xlfn.XLOOKUP(AH1399,menu!$O$2:$O$9,menu!$H$2:$H$9,"")</f>
        <v/>
      </c>
      <c r="AI1399" t="str">
        <f>_xlfn.LET(_xlpm.x,_xlfn.CONCAT(_xlfn.XLOOKUP(D1399,beans!$A$2:$A$300,beans!$J$2:$J$300,"")," / ",_xlfn.XLOOKUP(D1399,beans!$A$2:$A$300,beans!$K$2:$K$300,"")," - ",_xlfn.XLOOKUP(D1399,beans!$A$2:$A$300,beans!$L$2:$L$300,"")),IF(_xlpm.x=" /  - ","",_xlpm.x))</f>
        <v/>
      </c>
    </row>
    <row r="1400" spans="1:35" x14ac:dyDescent="0.3">
      <c r="A1400">
        <v>1383</v>
      </c>
      <c r="E1400" t="str">
        <f>_xlfn.LET(_xlpm.x,_xlfn.XLOOKUP(D1400,beans!$A$2:$A$300,beans!$H$2:$H$300,""),IF(_xlpm.x="","",_xlpm.x))</f>
        <v/>
      </c>
      <c r="F1400" s="22" t="str">
        <f>_xlfn.XLOOKUP(E1400,menu!$A$2:$A$37,menu!$B$2:$B$37,"")</f>
        <v/>
      </c>
      <c r="G1400" t="str">
        <f>_xlfn.XLOOKUP(E1400,menu!$A$2:$A$37,menu!$C$2:$C$37,"")</f>
        <v/>
      </c>
      <c r="H1400" t="str">
        <f>_xlfn.LET(_xlpm.x,_xlfn.XLOOKUP(_xlfn.XLOOKUP(D1400,beans!$A$2:$A$300,beans!$I$2:$I$300),menu!$E$2:$E$20,menu!$F$2:$F$20),IF(_xlpm.x="","",_xlpm.x))</f>
        <v/>
      </c>
      <c r="T1400" s="68" t="str">
        <f t="shared" si="146"/>
        <v/>
      </c>
      <c r="U1400" t="str">
        <f t="shared" si="142"/>
        <v/>
      </c>
      <c r="V1400">
        <f t="shared" si="147"/>
        <v>0</v>
      </c>
      <c r="W1400" t="str">
        <f t="shared" si="143"/>
        <v/>
      </c>
      <c r="AB1400" s="28" t="str">
        <f t="shared" si="144"/>
        <v xml:space="preserve"> </v>
      </c>
      <c r="AE1400" s="61" t="str">
        <f t="shared" si="145"/>
        <v/>
      </c>
      <c r="AF1400" s="77" t="str">
        <f>_xlfn.XLOOKUP(AD1400,menu!$K$2:$K$9,menu!$J$2:$J$9,"",1)</f>
        <v/>
      </c>
      <c r="AG1400" s="80" t="str">
        <f>_xlfn.XLOOKUP(AH1400,menu!$O$2:$O$9,menu!$H$2:$H$9,"")</f>
        <v/>
      </c>
      <c r="AI1400" t="str">
        <f>_xlfn.LET(_xlpm.x,_xlfn.CONCAT(_xlfn.XLOOKUP(D1400,beans!$A$2:$A$300,beans!$J$2:$J$300,"")," / ",_xlfn.XLOOKUP(D1400,beans!$A$2:$A$300,beans!$K$2:$K$300,"")," - ",_xlfn.XLOOKUP(D1400,beans!$A$2:$A$300,beans!$L$2:$L$300,"")),IF(_xlpm.x=" /  - ","",_xlpm.x))</f>
        <v/>
      </c>
    </row>
    <row r="1401" spans="1:35" x14ac:dyDescent="0.3">
      <c r="A1401">
        <v>1384</v>
      </c>
      <c r="E1401" t="str">
        <f>_xlfn.LET(_xlpm.x,_xlfn.XLOOKUP(D1401,beans!$A$2:$A$300,beans!$H$2:$H$300,""),IF(_xlpm.x="","",_xlpm.x))</f>
        <v/>
      </c>
      <c r="F1401" s="22" t="str">
        <f>_xlfn.XLOOKUP(E1401,menu!$A$2:$A$37,menu!$B$2:$B$37,"")</f>
        <v/>
      </c>
      <c r="G1401" t="str">
        <f>_xlfn.XLOOKUP(E1401,menu!$A$2:$A$37,menu!$C$2:$C$37,"")</f>
        <v/>
      </c>
      <c r="H1401" t="str">
        <f>_xlfn.LET(_xlpm.x,_xlfn.XLOOKUP(_xlfn.XLOOKUP(D1401,beans!$A$2:$A$300,beans!$I$2:$I$300),menu!$E$2:$E$20,menu!$F$2:$F$20),IF(_xlpm.x="","",_xlpm.x))</f>
        <v/>
      </c>
      <c r="T1401" s="68" t="str">
        <f t="shared" si="146"/>
        <v/>
      </c>
      <c r="U1401" t="str">
        <f t="shared" si="142"/>
        <v/>
      </c>
      <c r="V1401">
        <f t="shared" si="147"/>
        <v>0</v>
      </c>
      <c r="W1401" t="str">
        <f t="shared" si="143"/>
        <v/>
      </c>
      <c r="AB1401" s="28" t="str">
        <f t="shared" si="144"/>
        <v xml:space="preserve"> </v>
      </c>
      <c r="AE1401" s="61" t="str">
        <f t="shared" si="145"/>
        <v/>
      </c>
      <c r="AF1401" s="77" t="str">
        <f>_xlfn.XLOOKUP(AD1401,menu!$K$2:$K$9,menu!$J$2:$J$9,"",1)</f>
        <v/>
      </c>
      <c r="AG1401" s="80" t="str">
        <f>_xlfn.XLOOKUP(AH1401,menu!$O$2:$O$9,menu!$H$2:$H$9,"")</f>
        <v/>
      </c>
      <c r="AI1401" t="str">
        <f>_xlfn.LET(_xlpm.x,_xlfn.CONCAT(_xlfn.XLOOKUP(D1401,beans!$A$2:$A$300,beans!$J$2:$J$300,"")," / ",_xlfn.XLOOKUP(D1401,beans!$A$2:$A$300,beans!$K$2:$K$300,"")," - ",_xlfn.XLOOKUP(D1401,beans!$A$2:$A$300,beans!$L$2:$L$300,"")),IF(_xlpm.x=" /  - ","",_xlpm.x))</f>
        <v/>
      </c>
    </row>
    <row r="1402" spans="1:35" x14ac:dyDescent="0.3">
      <c r="A1402">
        <v>1385</v>
      </c>
      <c r="E1402" t="str">
        <f>_xlfn.LET(_xlpm.x,_xlfn.XLOOKUP(D1402,beans!$A$2:$A$300,beans!$H$2:$H$300,""),IF(_xlpm.x="","",_xlpm.x))</f>
        <v/>
      </c>
      <c r="F1402" s="22" t="str">
        <f>_xlfn.XLOOKUP(E1402,menu!$A$2:$A$37,menu!$B$2:$B$37,"")</f>
        <v/>
      </c>
      <c r="G1402" t="str">
        <f>_xlfn.XLOOKUP(E1402,menu!$A$2:$A$37,menu!$C$2:$C$37,"")</f>
        <v/>
      </c>
      <c r="H1402" t="str">
        <f>_xlfn.LET(_xlpm.x,_xlfn.XLOOKUP(_xlfn.XLOOKUP(D1402,beans!$A$2:$A$300,beans!$I$2:$I$300),menu!$E$2:$E$20,menu!$F$2:$F$20),IF(_xlpm.x="","",_xlpm.x))</f>
        <v/>
      </c>
      <c r="T1402" s="68" t="str">
        <f t="shared" si="146"/>
        <v/>
      </c>
      <c r="U1402" t="str">
        <f t="shared" si="142"/>
        <v/>
      </c>
      <c r="V1402">
        <f t="shared" si="147"/>
        <v>0</v>
      </c>
      <c r="W1402" t="str">
        <f t="shared" si="143"/>
        <v/>
      </c>
      <c r="AB1402" s="28" t="str">
        <f t="shared" si="144"/>
        <v xml:space="preserve"> </v>
      </c>
      <c r="AE1402" s="61" t="str">
        <f t="shared" si="145"/>
        <v/>
      </c>
      <c r="AF1402" s="77" t="str">
        <f>_xlfn.XLOOKUP(AD1402,menu!$K$2:$K$9,menu!$J$2:$J$9,"",1)</f>
        <v/>
      </c>
      <c r="AG1402" s="80" t="str">
        <f>_xlfn.XLOOKUP(AH1402,menu!$O$2:$O$9,menu!$H$2:$H$9,"")</f>
        <v/>
      </c>
      <c r="AI1402" t="str">
        <f>_xlfn.LET(_xlpm.x,_xlfn.CONCAT(_xlfn.XLOOKUP(D1402,beans!$A$2:$A$300,beans!$J$2:$J$300,"")," / ",_xlfn.XLOOKUP(D1402,beans!$A$2:$A$300,beans!$K$2:$K$300,"")," - ",_xlfn.XLOOKUP(D1402,beans!$A$2:$A$300,beans!$L$2:$L$300,"")),IF(_xlpm.x=" /  - ","",_xlpm.x))</f>
        <v/>
      </c>
    </row>
    <row r="1403" spans="1:35" x14ac:dyDescent="0.3">
      <c r="A1403">
        <v>1386</v>
      </c>
      <c r="E1403" t="str">
        <f>_xlfn.LET(_xlpm.x,_xlfn.XLOOKUP(D1403,beans!$A$2:$A$300,beans!$H$2:$H$300,""),IF(_xlpm.x="","",_xlpm.x))</f>
        <v/>
      </c>
      <c r="F1403" s="22" t="str">
        <f>_xlfn.XLOOKUP(E1403,menu!$A$2:$A$37,menu!$B$2:$B$37,"")</f>
        <v/>
      </c>
      <c r="G1403" t="str">
        <f>_xlfn.XLOOKUP(E1403,menu!$A$2:$A$37,menu!$C$2:$C$37,"")</f>
        <v/>
      </c>
      <c r="H1403" t="str">
        <f>_xlfn.LET(_xlpm.x,_xlfn.XLOOKUP(_xlfn.XLOOKUP(D1403,beans!$A$2:$A$300,beans!$I$2:$I$300),menu!$E$2:$E$20,menu!$F$2:$F$20),IF(_xlpm.x="","",_xlpm.x))</f>
        <v/>
      </c>
      <c r="T1403" s="68" t="str">
        <f t="shared" si="146"/>
        <v/>
      </c>
      <c r="U1403" t="str">
        <f t="shared" si="142"/>
        <v/>
      </c>
      <c r="V1403">
        <f t="shared" si="147"/>
        <v>0</v>
      </c>
      <c r="W1403" t="str">
        <f t="shared" si="143"/>
        <v/>
      </c>
      <c r="AB1403" s="28" t="str">
        <f t="shared" si="144"/>
        <v xml:space="preserve"> </v>
      </c>
      <c r="AE1403" s="61" t="str">
        <f t="shared" si="145"/>
        <v/>
      </c>
      <c r="AF1403" s="77" t="str">
        <f>_xlfn.XLOOKUP(AD1403,menu!$K$2:$K$9,menu!$J$2:$J$9,"",1)</f>
        <v/>
      </c>
      <c r="AG1403" s="80" t="str">
        <f>_xlfn.XLOOKUP(AH1403,menu!$O$2:$O$9,menu!$H$2:$H$9,"")</f>
        <v/>
      </c>
      <c r="AI1403" t="str">
        <f>_xlfn.LET(_xlpm.x,_xlfn.CONCAT(_xlfn.XLOOKUP(D1403,beans!$A$2:$A$300,beans!$J$2:$J$300,"")," / ",_xlfn.XLOOKUP(D1403,beans!$A$2:$A$300,beans!$K$2:$K$300,"")," - ",_xlfn.XLOOKUP(D1403,beans!$A$2:$A$300,beans!$L$2:$L$300,"")),IF(_xlpm.x=" /  - ","",_xlpm.x))</f>
        <v/>
      </c>
    </row>
    <row r="1404" spans="1:35" x14ac:dyDescent="0.3">
      <c r="A1404">
        <v>1387</v>
      </c>
      <c r="E1404" t="str">
        <f>_xlfn.LET(_xlpm.x,_xlfn.XLOOKUP(D1404,beans!$A$2:$A$300,beans!$H$2:$H$300,""),IF(_xlpm.x="","",_xlpm.x))</f>
        <v/>
      </c>
      <c r="F1404" s="22" t="str">
        <f>_xlfn.XLOOKUP(E1404,menu!$A$2:$A$37,menu!$B$2:$B$37,"")</f>
        <v/>
      </c>
      <c r="G1404" t="str">
        <f>_xlfn.XLOOKUP(E1404,menu!$A$2:$A$37,menu!$C$2:$C$37,"")</f>
        <v/>
      </c>
      <c r="H1404" t="str">
        <f>_xlfn.LET(_xlpm.x,_xlfn.XLOOKUP(_xlfn.XLOOKUP(D1404,beans!$A$2:$A$300,beans!$I$2:$I$300),menu!$E$2:$E$20,menu!$F$2:$F$20),IF(_xlpm.x="","",_xlpm.x))</f>
        <v/>
      </c>
      <c r="T1404" s="68" t="str">
        <f t="shared" si="146"/>
        <v/>
      </c>
      <c r="U1404" t="str">
        <f t="shared" si="142"/>
        <v/>
      </c>
      <c r="V1404">
        <f t="shared" si="147"/>
        <v>0</v>
      </c>
      <c r="W1404" t="str">
        <f t="shared" si="143"/>
        <v/>
      </c>
      <c r="AB1404" s="28" t="str">
        <f t="shared" si="144"/>
        <v xml:space="preserve"> </v>
      </c>
      <c r="AE1404" s="61" t="str">
        <f t="shared" si="145"/>
        <v/>
      </c>
      <c r="AF1404" s="77" t="str">
        <f>_xlfn.XLOOKUP(AD1404,menu!$K$2:$K$9,menu!$J$2:$J$9,"",1)</f>
        <v/>
      </c>
      <c r="AG1404" s="80" t="str">
        <f>_xlfn.XLOOKUP(AH1404,menu!$O$2:$O$9,menu!$H$2:$H$9,"")</f>
        <v/>
      </c>
      <c r="AI1404" t="str">
        <f>_xlfn.LET(_xlpm.x,_xlfn.CONCAT(_xlfn.XLOOKUP(D1404,beans!$A$2:$A$300,beans!$J$2:$J$300,"")," / ",_xlfn.XLOOKUP(D1404,beans!$A$2:$A$300,beans!$K$2:$K$300,"")," - ",_xlfn.XLOOKUP(D1404,beans!$A$2:$A$300,beans!$L$2:$L$300,"")),IF(_xlpm.x=" /  - ","",_xlpm.x))</f>
        <v/>
      </c>
    </row>
    <row r="1405" spans="1:35" x14ac:dyDescent="0.3">
      <c r="A1405">
        <v>1388</v>
      </c>
      <c r="E1405" t="str">
        <f>_xlfn.LET(_xlpm.x,_xlfn.XLOOKUP(D1405,beans!$A$2:$A$300,beans!$H$2:$H$300,""),IF(_xlpm.x="","",_xlpm.x))</f>
        <v/>
      </c>
      <c r="F1405" s="22" t="str">
        <f>_xlfn.XLOOKUP(E1405,menu!$A$2:$A$37,menu!$B$2:$B$37,"")</f>
        <v/>
      </c>
      <c r="G1405" t="str">
        <f>_xlfn.XLOOKUP(E1405,menu!$A$2:$A$37,menu!$C$2:$C$37,"")</f>
        <v/>
      </c>
      <c r="H1405" t="str">
        <f>_xlfn.LET(_xlpm.x,_xlfn.XLOOKUP(_xlfn.XLOOKUP(D1405,beans!$A$2:$A$300,beans!$I$2:$I$300),menu!$E$2:$E$20,menu!$F$2:$F$20),IF(_xlpm.x="","",_xlpm.x))</f>
        <v/>
      </c>
      <c r="T1405" s="68" t="str">
        <f t="shared" si="146"/>
        <v/>
      </c>
      <c r="U1405" t="str">
        <f t="shared" si="142"/>
        <v/>
      </c>
      <c r="V1405">
        <f t="shared" si="147"/>
        <v>0</v>
      </c>
      <c r="W1405" t="str">
        <f t="shared" si="143"/>
        <v/>
      </c>
      <c r="AB1405" s="28" t="str">
        <f t="shared" si="144"/>
        <v xml:space="preserve"> </v>
      </c>
      <c r="AE1405" s="61" t="str">
        <f t="shared" si="145"/>
        <v/>
      </c>
      <c r="AF1405" s="77" t="str">
        <f>_xlfn.XLOOKUP(AD1405,menu!$K$2:$K$9,menu!$J$2:$J$9,"",1)</f>
        <v/>
      </c>
      <c r="AG1405" s="80" t="str">
        <f>_xlfn.XLOOKUP(AH1405,menu!$O$2:$O$9,menu!$H$2:$H$9,"")</f>
        <v/>
      </c>
      <c r="AI1405" t="str">
        <f>_xlfn.LET(_xlpm.x,_xlfn.CONCAT(_xlfn.XLOOKUP(D1405,beans!$A$2:$A$300,beans!$J$2:$J$300,"")," / ",_xlfn.XLOOKUP(D1405,beans!$A$2:$A$300,beans!$K$2:$K$300,"")," - ",_xlfn.XLOOKUP(D1405,beans!$A$2:$A$300,beans!$L$2:$L$300,"")),IF(_xlpm.x=" /  - ","",_xlpm.x))</f>
        <v/>
      </c>
    </row>
    <row r="1406" spans="1:35" x14ac:dyDescent="0.3">
      <c r="A1406">
        <v>1389</v>
      </c>
      <c r="E1406" t="str">
        <f>_xlfn.LET(_xlpm.x,_xlfn.XLOOKUP(D1406,beans!$A$2:$A$300,beans!$H$2:$H$300,""),IF(_xlpm.x="","",_xlpm.x))</f>
        <v/>
      </c>
      <c r="F1406" s="22" t="str">
        <f>_xlfn.XLOOKUP(E1406,menu!$A$2:$A$37,menu!$B$2:$B$37,"")</f>
        <v/>
      </c>
      <c r="G1406" t="str">
        <f>_xlfn.XLOOKUP(E1406,menu!$A$2:$A$37,menu!$C$2:$C$37,"")</f>
        <v/>
      </c>
      <c r="H1406" t="str">
        <f>_xlfn.LET(_xlpm.x,_xlfn.XLOOKUP(_xlfn.XLOOKUP(D1406,beans!$A$2:$A$300,beans!$I$2:$I$300),menu!$E$2:$E$20,menu!$F$2:$F$20),IF(_xlpm.x="","",_xlpm.x))</f>
        <v/>
      </c>
      <c r="T1406" s="68" t="str">
        <f t="shared" si="146"/>
        <v/>
      </c>
      <c r="U1406" t="str">
        <f t="shared" si="142"/>
        <v/>
      </c>
      <c r="V1406">
        <f t="shared" si="147"/>
        <v>0</v>
      </c>
      <c r="W1406" t="str">
        <f t="shared" si="143"/>
        <v/>
      </c>
      <c r="AB1406" s="28" t="str">
        <f t="shared" si="144"/>
        <v xml:space="preserve"> </v>
      </c>
      <c r="AE1406" s="61" t="str">
        <f t="shared" si="145"/>
        <v/>
      </c>
      <c r="AF1406" s="77" t="str">
        <f>_xlfn.XLOOKUP(AD1406,menu!$K$2:$K$9,menu!$J$2:$J$9,"",1)</f>
        <v/>
      </c>
      <c r="AG1406" s="80" t="str">
        <f>_xlfn.XLOOKUP(AH1406,menu!$O$2:$O$9,menu!$H$2:$H$9,"")</f>
        <v/>
      </c>
      <c r="AI1406" t="str">
        <f>_xlfn.LET(_xlpm.x,_xlfn.CONCAT(_xlfn.XLOOKUP(D1406,beans!$A$2:$A$300,beans!$J$2:$J$300,"")," / ",_xlfn.XLOOKUP(D1406,beans!$A$2:$A$300,beans!$K$2:$K$300,"")," - ",_xlfn.XLOOKUP(D1406,beans!$A$2:$A$300,beans!$L$2:$L$300,"")),IF(_xlpm.x=" /  - ","",_xlpm.x))</f>
        <v/>
      </c>
    </row>
    <row r="1407" spans="1:35" x14ac:dyDescent="0.3">
      <c r="A1407">
        <v>1390</v>
      </c>
      <c r="E1407" t="str">
        <f>_xlfn.LET(_xlpm.x,_xlfn.XLOOKUP(D1407,beans!$A$2:$A$300,beans!$H$2:$H$300,""),IF(_xlpm.x="","",_xlpm.x))</f>
        <v/>
      </c>
      <c r="F1407" s="22" t="str">
        <f>_xlfn.XLOOKUP(E1407,menu!$A$2:$A$37,menu!$B$2:$B$37,"")</f>
        <v/>
      </c>
      <c r="G1407" t="str">
        <f>_xlfn.XLOOKUP(E1407,menu!$A$2:$A$37,menu!$C$2:$C$37,"")</f>
        <v/>
      </c>
      <c r="H1407" t="str">
        <f>_xlfn.LET(_xlpm.x,_xlfn.XLOOKUP(_xlfn.XLOOKUP(D1407,beans!$A$2:$A$300,beans!$I$2:$I$300),menu!$E$2:$E$20,menu!$F$2:$F$20),IF(_xlpm.x="","",_xlpm.x))</f>
        <v/>
      </c>
      <c r="T1407" s="68" t="str">
        <f t="shared" si="146"/>
        <v/>
      </c>
      <c r="U1407" t="str">
        <f t="shared" si="142"/>
        <v/>
      </c>
      <c r="V1407">
        <f t="shared" si="147"/>
        <v>0</v>
      </c>
      <c r="W1407" t="str">
        <f t="shared" si="143"/>
        <v/>
      </c>
      <c r="AB1407" s="28" t="str">
        <f t="shared" si="144"/>
        <v xml:space="preserve"> </v>
      </c>
      <c r="AE1407" s="61" t="str">
        <f t="shared" si="145"/>
        <v/>
      </c>
      <c r="AF1407" s="77" t="str">
        <f>_xlfn.XLOOKUP(AD1407,menu!$K$2:$K$9,menu!$J$2:$J$9,"",1)</f>
        <v/>
      </c>
      <c r="AG1407" s="80" t="str">
        <f>_xlfn.XLOOKUP(AH1407,menu!$O$2:$O$9,menu!$H$2:$H$9,"")</f>
        <v/>
      </c>
      <c r="AI1407" t="str">
        <f>_xlfn.LET(_xlpm.x,_xlfn.CONCAT(_xlfn.XLOOKUP(D1407,beans!$A$2:$A$300,beans!$J$2:$J$300,"")," / ",_xlfn.XLOOKUP(D1407,beans!$A$2:$A$300,beans!$K$2:$K$300,"")," - ",_xlfn.XLOOKUP(D1407,beans!$A$2:$A$300,beans!$L$2:$L$300,"")),IF(_xlpm.x=" /  - ","",_xlpm.x))</f>
        <v/>
      </c>
    </row>
    <row r="1408" spans="1:35" x14ac:dyDescent="0.3">
      <c r="A1408">
        <v>1391</v>
      </c>
      <c r="E1408" t="str">
        <f>_xlfn.LET(_xlpm.x,_xlfn.XLOOKUP(D1408,beans!$A$2:$A$300,beans!$H$2:$H$300,""),IF(_xlpm.x="","",_xlpm.x))</f>
        <v/>
      </c>
      <c r="F1408" s="22" t="str">
        <f>_xlfn.XLOOKUP(E1408,menu!$A$2:$A$37,menu!$B$2:$B$37,"")</f>
        <v/>
      </c>
      <c r="G1408" t="str">
        <f>_xlfn.XLOOKUP(E1408,menu!$A$2:$A$37,menu!$C$2:$C$37,"")</f>
        <v/>
      </c>
      <c r="H1408" t="str">
        <f>_xlfn.LET(_xlpm.x,_xlfn.XLOOKUP(_xlfn.XLOOKUP(D1408,beans!$A$2:$A$300,beans!$I$2:$I$300),menu!$E$2:$E$20,menu!$F$2:$F$20),IF(_xlpm.x="","",_xlpm.x))</f>
        <v/>
      </c>
      <c r="T1408" s="68" t="str">
        <f t="shared" si="146"/>
        <v/>
      </c>
      <c r="U1408" t="str">
        <f t="shared" si="142"/>
        <v/>
      </c>
      <c r="V1408">
        <f t="shared" si="147"/>
        <v>0</v>
      </c>
      <c r="W1408" t="str">
        <f t="shared" si="143"/>
        <v/>
      </c>
      <c r="AB1408" s="28" t="str">
        <f t="shared" si="144"/>
        <v xml:space="preserve"> </v>
      </c>
      <c r="AE1408" s="61" t="str">
        <f t="shared" si="145"/>
        <v/>
      </c>
      <c r="AF1408" s="77" t="str">
        <f>_xlfn.XLOOKUP(AD1408,menu!$K$2:$K$9,menu!$J$2:$J$9,"",1)</f>
        <v/>
      </c>
      <c r="AG1408" s="80" t="str">
        <f>_xlfn.XLOOKUP(AH1408,menu!$O$2:$O$9,menu!$H$2:$H$9,"")</f>
        <v/>
      </c>
      <c r="AI1408" t="str">
        <f>_xlfn.LET(_xlpm.x,_xlfn.CONCAT(_xlfn.XLOOKUP(D1408,beans!$A$2:$A$300,beans!$J$2:$J$300,"")," / ",_xlfn.XLOOKUP(D1408,beans!$A$2:$A$300,beans!$K$2:$K$300,"")," - ",_xlfn.XLOOKUP(D1408,beans!$A$2:$A$300,beans!$L$2:$L$300,"")),IF(_xlpm.x=" /  - ","",_xlpm.x))</f>
        <v/>
      </c>
    </row>
    <row r="1409" spans="1:35" x14ac:dyDescent="0.3">
      <c r="A1409">
        <v>1392</v>
      </c>
      <c r="E1409" t="str">
        <f>_xlfn.LET(_xlpm.x,_xlfn.XLOOKUP(D1409,beans!$A$2:$A$300,beans!$H$2:$H$300,""),IF(_xlpm.x="","",_xlpm.x))</f>
        <v/>
      </c>
      <c r="F1409" s="22" t="str">
        <f>_xlfn.XLOOKUP(E1409,menu!$A$2:$A$37,menu!$B$2:$B$37,"")</f>
        <v/>
      </c>
      <c r="G1409" t="str">
        <f>_xlfn.XLOOKUP(E1409,menu!$A$2:$A$37,menu!$C$2:$C$37,"")</f>
        <v/>
      </c>
      <c r="H1409" t="str">
        <f>_xlfn.LET(_xlpm.x,_xlfn.XLOOKUP(_xlfn.XLOOKUP(D1409,beans!$A$2:$A$300,beans!$I$2:$I$300),menu!$E$2:$E$20,menu!$F$2:$F$20),IF(_xlpm.x="","",_xlpm.x))</f>
        <v/>
      </c>
      <c r="T1409" s="68" t="str">
        <f t="shared" si="146"/>
        <v/>
      </c>
      <c r="U1409" t="str">
        <f t="shared" si="142"/>
        <v/>
      </c>
      <c r="V1409">
        <f t="shared" si="147"/>
        <v>0</v>
      </c>
      <c r="W1409" t="str">
        <f t="shared" si="143"/>
        <v/>
      </c>
      <c r="AB1409" s="28" t="str">
        <f t="shared" si="144"/>
        <v xml:space="preserve"> </v>
      </c>
      <c r="AE1409" s="61" t="str">
        <f t="shared" si="145"/>
        <v/>
      </c>
      <c r="AF1409" s="77" t="str">
        <f>_xlfn.XLOOKUP(AD1409,menu!$K$2:$K$9,menu!$J$2:$J$9,"",1)</f>
        <v/>
      </c>
      <c r="AG1409" s="80" t="str">
        <f>_xlfn.XLOOKUP(AH1409,menu!$O$2:$O$9,menu!$H$2:$H$9,"")</f>
        <v/>
      </c>
      <c r="AI1409" t="str">
        <f>_xlfn.LET(_xlpm.x,_xlfn.CONCAT(_xlfn.XLOOKUP(D1409,beans!$A$2:$A$300,beans!$J$2:$J$300,"")," / ",_xlfn.XLOOKUP(D1409,beans!$A$2:$A$300,beans!$K$2:$K$300,"")," - ",_xlfn.XLOOKUP(D1409,beans!$A$2:$A$300,beans!$L$2:$L$300,"")),IF(_xlpm.x=" /  - ","",_xlpm.x))</f>
        <v/>
      </c>
    </row>
    <row r="1410" spans="1:35" x14ac:dyDescent="0.3">
      <c r="A1410">
        <v>1393</v>
      </c>
      <c r="E1410" t="str">
        <f>_xlfn.LET(_xlpm.x,_xlfn.XLOOKUP(D1410,beans!$A$2:$A$300,beans!$H$2:$H$300,""),IF(_xlpm.x="","",_xlpm.x))</f>
        <v/>
      </c>
      <c r="F1410" s="22" t="str">
        <f>_xlfn.XLOOKUP(E1410,menu!$A$2:$A$37,menu!$B$2:$B$37,"")</f>
        <v/>
      </c>
      <c r="G1410" t="str">
        <f>_xlfn.XLOOKUP(E1410,menu!$A$2:$A$37,menu!$C$2:$C$37,"")</f>
        <v/>
      </c>
      <c r="H1410" t="str">
        <f>_xlfn.LET(_xlpm.x,_xlfn.XLOOKUP(_xlfn.XLOOKUP(D1410,beans!$A$2:$A$300,beans!$I$2:$I$300),menu!$E$2:$E$20,menu!$F$2:$F$20),IF(_xlpm.x="","",_xlpm.x))</f>
        <v/>
      </c>
      <c r="T1410" s="68" t="str">
        <f t="shared" si="146"/>
        <v/>
      </c>
      <c r="U1410" t="str">
        <f t="shared" ref="U1410:U1473" si="148">_xlfn.LET(_xlpm.x,(TIMEVALUE("0:"&amp;SUBSTITUTE(R1410,"'",":"))-TIMEVALUE("0:"&amp;SUBSTITUTE(P1410,"'",":")))*86400,IF(_xlpm.x=0,"",ROUND(_xlpm.x,2)))</f>
        <v/>
      </c>
      <c r="V1410">
        <f t="shared" si="147"/>
        <v>0</v>
      </c>
      <c r="W1410" t="str">
        <f t="shared" ref="W1410:W1473" si="149">_xlfn.LET(_xlpm.x,(TIMEVALUE("0:"&amp;SUBSTITUTE(R1410,"'",":"))-TIMEVALUE("0:"&amp;SUBSTITUTE(P1410,"'",":")))*86400,IF(_xlpm.x=0,"",ROUND(_xlpm.x/((TIMEVALUE("0:"&amp;SUBSTITUTE(R1410,"'",":"))-TIMEVALUE("0:0:0"))*864),2)))</f>
        <v/>
      </c>
      <c r="AB1410" s="28" t="str">
        <f t="shared" ref="AB1410:AB1473" si="150">IF(Y1410 &gt; 0,(B1410-Y1410)/B1410," ")</f>
        <v xml:space="preserve"> </v>
      </c>
      <c r="AE1410" s="61" t="str">
        <f t="shared" ref="AE1410:AE1473" si="151">_xlfn.LET(_xlpm.x,AD1410-AC1410,IF(_xlpm.x=0,"",_xlpm.x))</f>
        <v/>
      </c>
      <c r="AF1410" s="77" t="str">
        <f>_xlfn.XLOOKUP(AD1410,menu!$K$2:$K$9,menu!$J$2:$J$9,"",1)</f>
        <v/>
      </c>
      <c r="AG1410" s="80" t="str">
        <f>_xlfn.XLOOKUP(AH1410,menu!$O$2:$O$9,menu!$H$2:$H$9,"")</f>
        <v/>
      </c>
      <c r="AI1410" t="str">
        <f>_xlfn.LET(_xlpm.x,_xlfn.CONCAT(_xlfn.XLOOKUP(D1410,beans!$A$2:$A$300,beans!$J$2:$J$300,"")," / ",_xlfn.XLOOKUP(D1410,beans!$A$2:$A$300,beans!$K$2:$K$300,"")," - ",_xlfn.XLOOKUP(D1410,beans!$A$2:$A$300,beans!$L$2:$L$300,"")),IF(_xlpm.x=" /  - ","",_xlpm.x))</f>
        <v/>
      </c>
    </row>
    <row r="1411" spans="1:35" x14ac:dyDescent="0.3">
      <c r="A1411">
        <v>1394</v>
      </c>
      <c r="E1411" t="str">
        <f>_xlfn.LET(_xlpm.x,_xlfn.XLOOKUP(D1411,beans!$A$2:$A$300,beans!$H$2:$H$300,""),IF(_xlpm.x="","",_xlpm.x))</f>
        <v/>
      </c>
      <c r="F1411" s="22" t="str">
        <f>_xlfn.XLOOKUP(E1411,menu!$A$2:$A$37,menu!$B$2:$B$37,"")</f>
        <v/>
      </c>
      <c r="G1411" t="str">
        <f>_xlfn.XLOOKUP(E1411,menu!$A$2:$A$37,menu!$C$2:$C$37,"")</f>
        <v/>
      </c>
      <c r="H1411" t="str">
        <f>_xlfn.LET(_xlpm.x,_xlfn.XLOOKUP(_xlfn.XLOOKUP(D1411,beans!$A$2:$A$300,beans!$I$2:$I$300),menu!$E$2:$E$20,menu!$F$2:$F$20),IF(_xlpm.x="","",_xlpm.x))</f>
        <v/>
      </c>
      <c r="T1411" s="68" t="str">
        <f t="shared" ref="T1411:T1474" si="152">_xlfn.LET(_xlpm.x,S1411-Q1411,IF(_xlpm.x=0,"",_xlpm.x))</f>
        <v/>
      </c>
      <c r="U1411" t="str">
        <f t="shared" si="148"/>
        <v/>
      </c>
      <c r="V1411">
        <f t="shared" ref="V1411:V1474" si="153">IFERROR(ROUND(T1411*60/U1411,1), )</f>
        <v>0</v>
      </c>
      <c r="W1411" t="str">
        <f t="shared" si="149"/>
        <v/>
      </c>
      <c r="AB1411" s="28" t="str">
        <f t="shared" si="150"/>
        <v xml:space="preserve"> </v>
      </c>
      <c r="AE1411" s="61" t="str">
        <f t="shared" si="151"/>
        <v/>
      </c>
      <c r="AF1411" s="77" t="str">
        <f>_xlfn.XLOOKUP(AD1411,menu!$K$2:$K$9,menu!$J$2:$J$9,"",1)</f>
        <v/>
      </c>
      <c r="AG1411" s="80" t="str">
        <f>_xlfn.XLOOKUP(AH1411,menu!$O$2:$O$9,menu!$H$2:$H$9,"")</f>
        <v/>
      </c>
      <c r="AI1411" t="str">
        <f>_xlfn.LET(_xlpm.x,_xlfn.CONCAT(_xlfn.XLOOKUP(D1411,beans!$A$2:$A$300,beans!$J$2:$J$300,"")," / ",_xlfn.XLOOKUP(D1411,beans!$A$2:$A$300,beans!$K$2:$K$300,"")," - ",_xlfn.XLOOKUP(D1411,beans!$A$2:$A$300,beans!$L$2:$L$300,"")),IF(_xlpm.x=" /  - ","",_xlpm.x))</f>
        <v/>
      </c>
    </row>
    <row r="1412" spans="1:35" x14ac:dyDescent="0.3">
      <c r="A1412">
        <v>1395</v>
      </c>
      <c r="E1412" t="str">
        <f>_xlfn.LET(_xlpm.x,_xlfn.XLOOKUP(D1412,beans!$A$2:$A$300,beans!$H$2:$H$300,""),IF(_xlpm.x="","",_xlpm.x))</f>
        <v/>
      </c>
      <c r="F1412" s="22" t="str">
        <f>_xlfn.XLOOKUP(E1412,menu!$A$2:$A$37,menu!$B$2:$B$37,"")</f>
        <v/>
      </c>
      <c r="G1412" t="str">
        <f>_xlfn.XLOOKUP(E1412,menu!$A$2:$A$37,menu!$C$2:$C$37,"")</f>
        <v/>
      </c>
      <c r="H1412" t="str">
        <f>_xlfn.LET(_xlpm.x,_xlfn.XLOOKUP(_xlfn.XLOOKUP(D1412,beans!$A$2:$A$300,beans!$I$2:$I$300),menu!$E$2:$E$20,menu!$F$2:$F$20),IF(_xlpm.x="","",_xlpm.x))</f>
        <v/>
      </c>
      <c r="T1412" s="68" t="str">
        <f t="shared" si="152"/>
        <v/>
      </c>
      <c r="U1412" t="str">
        <f t="shared" si="148"/>
        <v/>
      </c>
      <c r="V1412">
        <f t="shared" si="153"/>
        <v>0</v>
      </c>
      <c r="W1412" t="str">
        <f t="shared" si="149"/>
        <v/>
      </c>
      <c r="AB1412" s="28" t="str">
        <f t="shared" si="150"/>
        <v xml:space="preserve"> </v>
      </c>
      <c r="AE1412" s="61" t="str">
        <f t="shared" si="151"/>
        <v/>
      </c>
      <c r="AF1412" s="77" t="str">
        <f>_xlfn.XLOOKUP(AD1412,menu!$K$2:$K$9,menu!$J$2:$J$9,"",1)</f>
        <v/>
      </c>
      <c r="AG1412" s="80" t="str">
        <f>_xlfn.XLOOKUP(AH1412,menu!$O$2:$O$9,menu!$H$2:$H$9,"")</f>
        <v/>
      </c>
      <c r="AI1412" t="str">
        <f>_xlfn.LET(_xlpm.x,_xlfn.CONCAT(_xlfn.XLOOKUP(D1412,beans!$A$2:$A$300,beans!$J$2:$J$300,"")," / ",_xlfn.XLOOKUP(D1412,beans!$A$2:$A$300,beans!$K$2:$K$300,"")," - ",_xlfn.XLOOKUP(D1412,beans!$A$2:$A$300,beans!$L$2:$L$300,"")),IF(_xlpm.x=" /  - ","",_xlpm.x))</f>
        <v/>
      </c>
    </row>
    <row r="1413" spans="1:35" x14ac:dyDescent="0.3">
      <c r="A1413">
        <v>1396</v>
      </c>
      <c r="E1413" t="str">
        <f>_xlfn.LET(_xlpm.x,_xlfn.XLOOKUP(D1413,beans!$A$2:$A$300,beans!$H$2:$H$300,""),IF(_xlpm.x="","",_xlpm.x))</f>
        <v/>
      </c>
      <c r="F1413" s="22" t="str">
        <f>_xlfn.XLOOKUP(E1413,menu!$A$2:$A$37,menu!$B$2:$B$37,"")</f>
        <v/>
      </c>
      <c r="G1413" t="str">
        <f>_xlfn.XLOOKUP(E1413,menu!$A$2:$A$37,menu!$C$2:$C$37,"")</f>
        <v/>
      </c>
      <c r="H1413" t="str">
        <f>_xlfn.LET(_xlpm.x,_xlfn.XLOOKUP(_xlfn.XLOOKUP(D1413,beans!$A$2:$A$300,beans!$I$2:$I$300),menu!$E$2:$E$20,menu!$F$2:$F$20),IF(_xlpm.x="","",_xlpm.x))</f>
        <v/>
      </c>
      <c r="T1413" s="68" t="str">
        <f t="shared" si="152"/>
        <v/>
      </c>
      <c r="U1413" t="str">
        <f t="shared" si="148"/>
        <v/>
      </c>
      <c r="V1413">
        <f t="shared" si="153"/>
        <v>0</v>
      </c>
      <c r="W1413" t="str">
        <f t="shared" si="149"/>
        <v/>
      </c>
      <c r="AB1413" s="28" t="str">
        <f t="shared" si="150"/>
        <v xml:space="preserve"> </v>
      </c>
      <c r="AE1413" s="61" t="str">
        <f t="shared" si="151"/>
        <v/>
      </c>
      <c r="AF1413" s="77" t="str">
        <f>_xlfn.XLOOKUP(AD1413,menu!$K$2:$K$9,menu!$J$2:$J$9,"",1)</f>
        <v/>
      </c>
      <c r="AG1413" s="80" t="str">
        <f>_xlfn.XLOOKUP(AH1413,menu!$O$2:$O$9,menu!$H$2:$H$9,"")</f>
        <v/>
      </c>
      <c r="AI1413" t="str">
        <f>_xlfn.LET(_xlpm.x,_xlfn.CONCAT(_xlfn.XLOOKUP(D1413,beans!$A$2:$A$300,beans!$J$2:$J$300,"")," / ",_xlfn.XLOOKUP(D1413,beans!$A$2:$A$300,beans!$K$2:$K$300,"")," - ",_xlfn.XLOOKUP(D1413,beans!$A$2:$A$300,beans!$L$2:$L$300,"")),IF(_xlpm.x=" /  - ","",_xlpm.x))</f>
        <v/>
      </c>
    </row>
    <row r="1414" spans="1:35" x14ac:dyDescent="0.3">
      <c r="A1414">
        <v>1397</v>
      </c>
      <c r="E1414" t="str">
        <f>_xlfn.LET(_xlpm.x,_xlfn.XLOOKUP(D1414,beans!$A$2:$A$300,beans!$H$2:$H$300,""),IF(_xlpm.x="","",_xlpm.x))</f>
        <v/>
      </c>
      <c r="F1414" s="22" t="str">
        <f>_xlfn.XLOOKUP(E1414,menu!$A$2:$A$37,menu!$B$2:$B$37,"")</f>
        <v/>
      </c>
      <c r="G1414" t="str">
        <f>_xlfn.XLOOKUP(E1414,menu!$A$2:$A$37,menu!$C$2:$C$37,"")</f>
        <v/>
      </c>
      <c r="H1414" t="str">
        <f>_xlfn.LET(_xlpm.x,_xlfn.XLOOKUP(_xlfn.XLOOKUP(D1414,beans!$A$2:$A$300,beans!$I$2:$I$300),menu!$E$2:$E$20,menu!$F$2:$F$20),IF(_xlpm.x="","",_xlpm.x))</f>
        <v/>
      </c>
      <c r="T1414" s="68" t="str">
        <f t="shared" si="152"/>
        <v/>
      </c>
      <c r="U1414" t="str">
        <f t="shared" si="148"/>
        <v/>
      </c>
      <c r="V1414">
        <f t="shared" si="153"/>
        <v>0</v>
      </c>
      <c r="W1414" t="str">
        <f t="shared" si="149"/>
        <v/>
      </c>
      <c r="AB1414" s="28" t="str">
        <f t="shared" si="150"/>
        <v xml:space="preserve"> </v>
      </c>
      <c r="AE1414" s="61" t="str">
        <f t="shared" si="151"/>
        <v/>
      </c>
      <c r="AF1414" s="77" t="str">
        <f>_xlfn.XLOOKUP(AD1414,menu!$K$2:$K$9,menu!$J$2:$J$9,"",1)</f>
        <v/>
      </c>
      <c r="AG1414" s="80" t="str">
        <f>_xlfn.XLOOKUP(AH1414,menu!$O$2:$O$9,menu!$H$2:$H$9,"")</f>
        <v/>
      </c>
      <c r="AI1414" t="str">
        <f>_xlfn.LET(_xlpm.x,_xlfn.CONCAT(_xlfn.XLOOKUP(D1414,beans!$A$2:$A$300,beans!$J$2:$J$300,"")," / ",_xlfn.XLOOKUP(D1414,beans!$A$2:$A$300,beans!$K$2:$K$300,"")," - ",_xlfn.XLOOKUP(D1414,beans!$A$2:$A$300,beans!$L$2:$L$300,"")),IF(_xlpm.x=" /  - ","",_xlpm.x))</f>
        <v/>
      </c>
    </row>
    <row r="1415" spans="1:35" x14ac:dyDescent="0.3">
      <c r="A1415">
        <v>1398</v>
      </c>
      <c r="E1415" t="str">
        <f>_xlfn.LET(_xlpm.x,_xlfn.XLOOKUP(D1415,beans!$A$2:$A$300,beans!$H$2:$H$300,""),IF(_xlpm.x="","",_xlpm.x))</f>
        <v/>
      </c>
      <c r="F1415" s="22" t="str">
        <f>_xlfn.XLOOKUP(E1415,menu!$A$2:$A$37,menu!$B$2:$B$37,"")</f>
        <v/>
      </c>
      <c r="G1415" t="str">
        <f>_xlfn.XLOOKUP(E1415,menu!$A$2:$A$37,menu!$C$2:$C$37,"")</f>
        <v/>
      </c>
      <c r="H1415" t="str">
        <f>_xlfn.LET(_xlpm.x,_xlfn.XLOOKUP(_xlfn.XLOOKUP(D1415,beans!$A$2:$A$300,beans!$I$2:$I$300),menu!$E$2:$E$20,menu!$F$2:$F$20),IF(_xlpm.x="","",_xlpm.x))</f>
        <v/>
      </c>
      <c r="T1415" s="68" t="str">
        <f t="shared" si="152"/>
        <v/>
      </c>
      <c r="U1415" t="str">
        <f t="shared" si="148"/>
        <v/>
      </c>
      <c r="V1415">
        <f t="shared" si="153"/>
        <v>0</v>
      </c>
      <c r="W1415" t="str">
        <f t="shared" si="149"/>
        <v/>
      </c>
      <c r="AB1415" s="28" t="str">
        <f t="shared" si="150"/>
        <v xml:space="preserve"> </v>
      </c>
      <c r="AE1415" s="61" t="str">
        <f t="shared" si="151"/>
        <v/>
      </c>
      <c r="AF1415" s="77" t="str">
        <f>_xlfn.XLOOKUP(AD1415,menu!$K$2:$K$9,menu!$J$2:$J$9,"",1)</f>
        <v/>
      </c>
      <c r="AG1415" s="80" t="str">
        <f>_xlfn.XLOOKUP(AH1415,menu!$O$2:$O$9,menu!$H$2:$H$9,"")</f>
        <v/>
      </c>
      <c r="AI1415" t="str">
        <f>_xlfn.LET(_xlpm.x,_xlfn.CONCAT(_xlfn.XLOOKUP(D1415,beans!$A$2:$A$300,beans!$J$2:$J$300,"")," / ",_xlfn.XLOOKUP(D1415,beans!$A$2:$A$300,beans!$K$2:$K$300,"")," - ",_xlfn.XLOOKUP(D1415,beans!$A$2:$A$300,beans!$L$2:$L$300,"")),IF(_xlpm.x=" /  - ","",_xlpm.x))</f>
        <v/>
      </c>
    </row>
    <row r="1416" spans="1:35" x14ac:dyDescent="0.3">
      <c r="A1416">
        <v>1399</v>
      </c>
      <c r="E1416" t="str">
        <f>_xlfn.LET(_xlpm.x,_xlfn.XLOOKUP(D1416,beans!$A$2:$A$300,beans!$H$2:$H$300,""),IF(_xlpm.x="","",_xlpm.x))</f>
        <v/>
      </c>
      <c r="F1416" s="22" t="str">
        <f>_xlfn.XLOOKUP(E1416,menu!$A$2:$A$37,menu!$B$2:$B$37,"")</f>
        <v/>
      </c>
      <c r="G1416" t="str">
        <f>_xlfn.XLOOKUP(E1416,menu!$A$2:$A$37,menu!$C$2:$C$37,"")</f>
        <v/>
      </c>
      <c r="H1416" t="str">
        <f>_xlfn.LET(_xlpm.x,_xlfn.XLOOKUP(_xlfn.XLOOKUP(D1416,beans!$A$2:$A$300,beans!$I$2:$I$300),menu!$E$2:$E$20,menu!$F$2:$F$20),IF(_xlpm.x="","",_xlpm.x))</f>
        <v/>
      </c>
      <c r="T1416" s="68" t="str">
        <f t="shared" si="152"/>
        <v/>
      </c>
      <c r="U1416" t="str">
        <f t="shared" si="148"/>
        <v/>
      </c>
      <c r="V1416">
        <f t="shared" si="153"/>
        <v>0</v>
      </c>
      <c r="W1416" t="str">
        <f t="shared" si="149"/>
        <v/>
      </c>
      <c r="AB1416" s="28" t="str">
        <f t="shared" si="150"/>
        <v xml:space="preserve"> </v>
      </c>
      <c r="AE1416" s="61" t="str">
        <f t="shared" si="151"/>
        <v/>
      </c>
      <c r="AF1416" s="77" t="str">
        <f>_xlfn.XLOOKUP(AD1416,menu!$K$2:$K$9,menu!$J$2:$J$9,"",1)</f>
        <v/>
      </c>
      <c r="AG1416" s="80" t="str">
        <f>_xlfn.XLOOKUP(AH1416,menu!$O$2:$O$9,menu!$H$2:$H$9,"")</f>
        <v/>
      </c>
      <c r="AI1416" t="str">
        <f>_xlfn.LET(_xlpm.x,_xlfn.CONCAT(_xlfn.XLOOKUP(D1416,beans!$A$2:$A$300,beans!$J$2:$J$300,"")," / ",_xlfn.XLOOKUP(D1416,beans!$A$2:$A$300,beans!$K$2:$K$300,"")," - ",_xlfn.XLOOKUP(D1416,beans!$A$2:$A$300,beans!$L$2:$L$300,"")),IF(_xlpm.x=" /  - ","",_xlpm.x))</f>
        <v/>
      </c>
    </row>
    <row r="1417" spans="1:35" x14ac:dyDescent="0.3">
      <c r="A1417">
        <v>1400</v>
      </c>
      <c r="E1417" t="str">
        <f>_xlfn.LET(_xlpm.x,_xlfn.XLOOKUP(D1417,beans!$A$2:$A$300,beans!$H$2:$H$300,""),IF(_xlpm.x="","",_xlpm.x))</f>
        <v/>
      </c>
      <c r="F1417" s="22" t="str">
        <f>_xlfn.XLOOKUP(E1417,menu!$A$2:$A$37,menu!$B$2:$B$37,"")</f>
        <v/>
      </c>
      <c r="G1417" t="str">
        <f>_xlfn.XLOOKUP(E1417,menu!$A$2:$A$37,menu!$C$2:$C$37,"")</f>
        <v/>
      </c>
      <c r="H1417" t="str">
        <f>_xlfn.LET(_xlpm.x,_xlfn.XLOOKUP(_xlfn.XLOOKUP(D1417,beans!$A$2:$A$300,beans!$I$2:$I$300),menu!$E$2:$E$20,menu!$F$2:$F$20),IF(_xlpm.x="","",_xlpm.x))</f>
        <v/>
      </c>
      <c r="T1417" s="68" t="str">
        <f t="shared" si="152"/>
        <v/>
      </c>
      <c r="U1417" t="str">
        <f t="shared" si="148"/>
        <v/>
      </c>
      <c r="V1417">
        <f t="shared" si="153"/>
        <v>0</v>
      </c>
      <c r="W1417" t="str">
        <f t="shared" si="149"/>
        <v/>
      </c>
      <c r="AB1417" s="28" t="str">
        <f t="shared" si="150"/>
        <v xml:space="preserve"> </v>
      </c>
      <c r="AE1417" s="61" t="str">
        <f t="shared" si="151"/>
        <v/>
      </c>
      <c r="AF1417" s="77" t="str">
        <f>_xlfn.XLOOKUP(AD1417,menu!$K$2:$K$9,menu!$J$2:$J$9,"",1)</f>
        <v/>
      </c>
      <c r="AG1417" s="80" t="str">
        <f>_xlfn.XLOOKUP(AH1417,menu!$O$2:$O$9,menu!$H$2:$H$9,"")</f>
        <v/>
      </c>
      <c r="AI1417" t="str">
        <f>_xlfn.LET(_xlpm.x,_xlfn.CONCAT(_xlfn.XLOOKUP(D1417,beans!$A$2:$A$300,beans!$J$2:$J$300,"")," / ",_xlfn.XLOOKUP(D1417,beans!$A$2:$A$300,beans!$K$2:$K$300,"")," - ",_xlfn.XLOOKUP(D1417,beans!$A$2:$A$300,beans!$L$2:$L$300,"")),IF(_xlpm.x=" /  - ","",_xlpm.x))</f>
        <v/>
      </c>
    </row>
    <row r="1418" spans="1:35" x14ac:dyDescent="0.3">
      <c r="A1418">
        <v>1401</v>
      </c>
      <c r="E1418" t="str">
        <f>_xlfn.LET(_xlpm.x,_xlfn.XLOOKUP(D1418,beans!$A$2:$A$300,beans!$H$2:$H$300,""),IF(_xlpm.x="","",_xlpm.x))</f>
        <v/>
      </c>
      <c r="F1418" s="22" t="str">
        <f>_xlfn.XLOOKUP(E1418,menu!$A$2:$A$37,menu!$B$2:$B$37,"")</f>
        <v/>
      </c>
      <c r="G1418" t="str">
        <f>_xlfn.XLOOKUP(E1418,menu!$A$2:$A$37,menu!$C$2:$C$37,"")</f>
        <v/>
      </c>
      <c r="H1418" t="str">
        <f>_xlfn.LET(_xlpm.x,_xlfn.XLOOKUP(_xlfn.XLOOKUP(D1418,beans!$A$2:$A$300,beans!$I$2:$I$300),menu!$E$2:$E$20,menu!$F$2:$F$20),IF(_xlpm.x="","",_xlpm.x))</f>
        <v/>
      </c>
      <c r="T1418" s="68" t="str">
        <f t="shared" si="152"/>
        <v/>
      </c>
      <c r="U1418" t="str">
        <f t="shared" si="148"/>
        <v/>
      </c>
      <c r="V1418">
        <f t="shared" si="153"/>
        <v>0</v>
      </c>
      <c r="W1418" t="str">
        <f t="shared" si="149"/>
        <v/>
      </c>
      <c r="AB1418" s="28" t="str">
        <f t="shared" si="150"/>
        <v xml:space="preserve"> </v>
      </c>
      <c r="AE1418" s="61" t="str">
        <f t="shared" si="151"/>
        <v/>
      </c>
      <c r="AF1418" s="77" t="str">
        <f>_xlfn.XLOOKUP(AD1418,menu!$K$2:$K$9,menu!$J$2:$J$9,"",1)</f>
        <v/>
      </c>
      <c r="AG1418" s="80" t="str">
        <f>_xlfn.XLOOKUP(AH1418,menu!$O$2:$O$9,menu!$H$2:$H$9,"")</f>
        <v/>
      </c>
      <c r="AI1418" t="str">
        <f>_xlfn.LET(_xlpm.x,_xlfn.CONCAT(_xlfn.XLOOKUP(D1418,beans!$A$2:$A$300,beans!$J$2:$J$300,"")," / ",_xlfn.XLOOKUP(D1418,beans!$A$2:$A$300,beans!$K$2:$K$300,"")," - ",_xlfn.XLOOKUP(D1418,beans!$A$2:$A$300,beans!$L$2:$L$300,"")),IF(_xlpm.x=" /  - ","",_xlpm.x))</f>
        <v/>
      </c>
    </row>
    <row r="1419" spans="1:35" x14ac:dyDescent="0.3">
      <c r="A1419">
        <v>1402</v>
      </c>
      <c r="E1419" t="str">
        <f>_xlfn.LET(_xlpm.x,_xlfn.XLOOKUP(D1419,beans!$A$2:$A$300,beans!$H$2:$H$300,""),IF(_xlpm.x="","",_xlpm.x))</f>
        <v/>
      </c>
      <c r="F1419" s="22" t="str">
        <f>_xlfn.XLOOKUP(E1419,menu!$A$2:$A$37,menu!$B$2:$B$37,"")</f>
        <v/>
      </c>
      <c r="G1419" t="str">
        <f>_xlfn.XLOOKUP(E1419,menu!$A$2:$A$37,menu!$C$2:$C$37,"")</f>
        <v/>
      </c>
      <c r="H1419" t="str">
        <f>_xlfn.LET(_xlpm.x,_xlfn.XLOOKUP(_xlfn.XLOOKUP(D1419,beans!$A$2:$A$300,beans!$I$2:$I$300),menu!$E$2:$E$20,menu!$F$2:$F$20),IF(_xlpm.x="","",_xlpm.x))</f>
        <v/>
      </c>
      <c r="T1419" s="68" t="str">
        <f t="shared" si="152"/>
        <v/>
      </c>
      <c r="U1419" t="str">
        <f t="shared" si="148"/>
        <v/>
      </c>
      <c r="V1419">
        <f t="shared" si="153"/>
        <v>0</v>
      </c>
      <c r="W1419" t="str">
        <f t="shared" si="149"/>
        <v/>
      </c>
      <c r="AB1419" s="28" t="str">
        <f t="shared" si="150"/>
        <v xml:space="preserve"> </v>
      </c>
      <c r="AE1419" s="61" t="str">
        <f t="shared" si="151"/>
        <v/>
      </c>
      <c r="AF1419" s="77" t="str">
        <f>_xlfn.XLOOKUP(AD1419,menu!$K$2:$K$9,menu!$J$2:$J$9,"",1)</f>
        <v/>
      </c>
      <c r="AG1419" s="80" t="str">
        <f>_xlfn.XLOOKUP(AH1419,menu!$O$2:$O$9,menu!$H$2:$H$9,"")</f>
        <v/>
      </c>
      <c r="AI1419" t="str">
        <f>_xlfn.LET(_xlpm.x,_xlfn.CONCAT(_xlfn.XLOOKUP(D1419,beans!$A$2:$A$300,beans!$J$2:$J$300,"")," / ",_xlfn.XLOOKUP(D1419,beans!$A$2:$A$300,beans!$K$2:$K$300,"")," - ",_xlfn.XLOOKUP(D1419,beans!$A$2:$A$300,beans!$L$2:$L$300,"")),IF(_xlpm.x=" /  - ","",_xlpm.x))</f>
        <v/>
      </c>
    </row>
    <row r="1420" spans="1:35" x14ac:dyDescent="0.3">
      <c r="A1420">
        <v>1403</v>
      </c>
      <c r="E1420" t="str">
        <f>_xlfn.LET(_xlpm.x,_xlfn.XLOOKUP(D1420,beans!$A$2:$A$300,beans!$H$2:$H$300,""),IF(_xlpm.x="","",_xlpm.x))</f>
        <v/>
      </c>
      <c r="F1420" s="22" t="str">
        <f>_xlfn.XLOOKUP(E1420,menu!$A$2:$A$37,menu!$B$2:$B$37,"")</f>
        <v/>
      </c>
      <c r="G1420" t="str">
        <f>_xlfn.XLOOKUP(E1420,menu!$A$2:$A$37,menu!$C$2:$C$37,"")</f>
        <v/>
      </c>
      <c r="H1420" t="str">
        <f>_xlfn.LET(_xlpm.x,_xlfn.XLOOKUP(_xlfn.XLOOKUP(D1420,beans!$A$2:$A$300,beans!$I$2:$I$300),menu!$E$2:$E$20,menu!$F$2:$F$20),IF(_xlpm.x="","",_xlpm.x))</f>
        <v/>
      </c>
      <c r="T1420" s="68" t="str">
        <f t="shared" si="152"/>
        <v/>
      </c>
      <c r="U1420" t="str">
        <f t="shared" si="148"/>
        <v/>
      </c>
      <c r="V1420">
        <f t="shared" si="153"/>
        <v>0</v>
      </c>
      <c r="W1420" t="str">
        <f t="shared" si="149"/>
        <v/>
      </c>
      <c r="AB1420" s="28" t="str">
        <f t="shared" si="150"/>
        <v xml:space="preserve"> </v>
      </c>
      <c r="AE1420" s="61" t="str">
        <f t="shared" si="151"/>
        <v/>
      </c>
      <c r="AF1420" s="77" t="str">
        <f>_xlfn.XLOOKUP(AD1420,menu!$K$2:$K$9,menu!$J$2:$J$9,"",1)</f>
        <v/>
      </c>
      <c r="AG1420" s="80" t="str">
        <f>_xlfn.XLOOKUP(AH1420,menu!$O$2:$O$9,menu!$H$2:$H$9,"")</f>
        <v/>
      </c>
      <c r="AI1420" t="str">
        <f>_xlfn.LET(_xlpm.x,_xlfn.CONCAT(_xlfn.XLOOKUP(D1420,beans!$A$2:$A$300,beans!$J$2:$J$300,"")," / ",_xlfn.XLOOKUP(D1420,beans!$A$2:$A$300,beans!$K$2:$K$300,"")," - ",_xlfn.XLOOKUP(D1420,beans!$A$2:$A$300,beans!$L$2:$L$300,"")),IF(_xlpm.x=" /  - ","",_xlpm.x))</f>
        <v/>
      </c>
    </row>
    <row r="1421" spans="1:35" x14ac:dyDescent="0.3">
      <c r="A1421">
        <v>1404</v>
      </c>
      <c r="E1421" t="str">
        <f>_xlfn.LET(_xlpm.x,_xlfn.XLOOKUP(D1421,beans!$A$2:$A$300,beans!$H$2:$H$300,""),IF(_xlpm.x="","",_xlpm.x))</f>
        <v/>
      </c>
      <c r="F1421" s="22" t="str">
        <f>_xlfn.XLOOKUP(E1421,menu!$A$2:$A$37,menu!$B$2:$B$37,"")</f>
        <v/>
      </c>
      <c r="G1421" t="str">
        <f>_xlfn.XLOOKUP(E1421,menu!$A$2:$A$37,menu!$C$2:$C$37,"")</f>
        <v/>
      </c>
      <c r="H1421" t="str">
        <f>_xlfn.LET(_xlpm.x,_xlfn.XLOOKUP(_xlfn.XLOOKUP(D1421,beans!$A$2:$A$300,beans!$I$2:$I$300),menu!$E$2:$E$20,menu!$F$2:$F$20),IF(_xlpm.x="","",_xlpm.x))</f>
        <v/>
      </c>
      <c r="T1421" s="68" t="str">
        <f t="shared" si="152"/>
        <v/>
      </c>
      <c r="U1421" t="str">
        <f t="shared" si="148"/>
        <v/>
      </c>
      <c r="V1421">
        <f t="shared" si="153"/>
        <v>0</v>
      </c>
      <c r="W1421" t="str">
        <f t="shared" si="149"/>
        <v/>
      </c>
      <c r="AB1421" s="28" t="str">
        <f t="shared" si="150"/>
        <v xml:space="preserve"> </v>
      </c>
      <c r="AE1421" s="61" t="str">
        <f t="shared" si="151"/>
        <v/>
      </c>
      <c r="AF1421" s="77" t="str">
        <f>_xlfn.XLOOKUP(AD1421,menu!$K$2:$K$9,menu!$J$2:$J$9,"",1)</f>
        <v/>
      </c>
      <c r="AG1421" s="80" t="str">
        <f>_xlfn.XLOOKUP(AH1421,menu!$O$2:$O$9,menu!$H$2:$H$9,"")</f>
        <v/>
      </c>
      <c r="AI1421" t="str">
        <f>_xlfn.LET(_xlpm.x,_xlfn.CONCAT(_xlfn.XLOOKUP(D1421,beans!$A$2:$A$300,beans!$J$2:$J$300,"")," / ",_xlfn.XLOOKUP(D1421,beans!$A$2:$A$300,beans!$K$2:$K$300,"")," - ",_xlfn.XLOOKUP(D1421,beans!$A$2:$A$300,beans!$L$2:$L$300,"")),IF(_xlpm.x=" /  - ","",_xlpm.x))</f>
        <v/>
      </c>
    </row>
    <row r="1422" spans="1:35" x14ac:dyDescent="0.3">
      <c r="A1422">
        <v>1405</v>
      </c>
      <c r="E1422" t="str">
        <f>_xlfn.LET(_xlpm.x,_xlfn.XLOOKUP(D1422,beans!$A$2:$A$300,beans!$H$2:$H$300,""),IF(_xlpm.x="","",_xlpm.x))</f>
        <v/>
      </c>
      <c r="F1422" s="22" t="str">
        <f>_xlfn.XLOOKUP(E1422,menu!$A$2:$A$37,menu!$B$2:$B$37,"")</f>
        <v/>
      </c>
      <c r="G1422" t="str">
        <f>_xlfn.XLOOKUP(E1422,menu!$A$2:$A$37,menu!$C$2:$C$37,"")</f>
        <v/>
      </c>
      <c r="H1422" t="str">
        <f>_xlfn.LET(_xlpm.x,_xlfn.XLOOKUP(_xlfn.XLOOKUP(D1422,beans!$A$2:$A$300,beans!$I$2:$I$300),menu!$E$2:$E$20,menu!$F$2:$F$20),IF(_xlpm.x="","",_xlpm.x))</f>
        <v/>
      </c>
      <c r="T1422" s="68" t="str">
        <f t="shared" si="152"/>
        <v/>
      </c>
      <c r="U1422" t="str">
        <f t="shared" si="148"/>
        <v/>
      </c>
      <c r="V1422">
        <f t="shared" si="153"/>
        <v>0</v>
      </c>
      <c r="W1422" t="str">
        <f t="shared" si="149"/>
        <v/>
      </c>
      <c r="AB1422" s="28" t="str">
        <f t="shared" si="150"/>
        <v xml:space="preserve"> </v>
      </c>
      <c r="AE1422" s="61" t="str">
        <f t="shared" si="151"/>
        <v/>
      </c>
      <c r="AF1422" s="77" t="str">
        <f>_xlfn.XLOOKUP(AD1422,menu!$K$2:$K$9,menu!$J$2:$J$9,"",1)</f>
        <v/>
      </c>
      <c r="AG1422" s="80" t="str">
        <f>_xlfn.XLOOKUP(AH1422,menu!$O$2:$O$9,menu!$H$2:$H$9,"")</f>
        <v/>
      </c>
      <c r="AI1422" t="str">
        <f>_xlfn.LET(_xlpm.x,_xlfn.CONCAT(_xlfn.XLOOKUP(D1422,beans!$A$2:$A$300,beans!$J$2:$J$300,"")," / ",_xlfn.XLOOKUP(D1422,beans!$A$2:$A$300,beans!$K$2:$K$300,"")," - ",_xlfn.XLOOKUP(D1422,beans!$A$2:$A$300,beans!$L$2:$L$300,"")),IF(_xlpm.x=" /  - ","",_xlpm.x))</f>
        <v/>
      </c>
    </row>
    <row r="1423" spans="1:35" x14ac:dyDescent="0.3">
      <c r="A1423">
        <v>1406</v>
      </c>
      <c r="E1423" t="str">
        <f>_xlfn.LET(_xlpm.x,_xlfn.XLOOKUP(D1423,beans!$A$2:$A$300,beans!$H$2:$H$300,""),IF(_xlpm.x="","",_xlpm.x))</f>
        <v/>
      </c>
      <c r="F1423" s="22" t="str">
        <f>_xlfn.XLOOKUP(E1423,menu!$A$2:$A$37,menu!$B$2:$B$37,"")</f>
        <v/>
      </c>
      <c r="G1423" t="str">
        <f>_xlfn.XLOOKUP(E1423,menu!$A$2:$A$37,menu!$C$2:$C$37,"")</f>
        <v/>
      </c>
      <c r="H1423" t="str">
        <f>_xlfn.LET(_xlpm.x,_xlfn.XLOOKUP(_xlfn.XLOOKUP(D1423,beans!$A$2:$A$300,beans!$I$2:$I$300),menu!$E$2:$E$20,menu!$F$2:$F$20),IF(_xlpm.x="","",_xlpm.x))</f>
        <v/>
      </c>
      <c r="T1423" s="68" t="str">
        <f t="shared" si="152"/>
        <v/>
      </c>
      <c r="U1423" t="str">
        <f t="shared" si="148"/>
        <v/>
      </c>
      <c r="V1423">
        <f t="shared" si="153"/>
        <v>0</v>
      </c>
      <c r="W1423" t="str">
        <f t="shared" si="149"/>
        <v/>
      </c>
      <c r="AB1423" s="28" t="str">
        <f t="shared" si="150"/>
        <v xml:space="preserve"> </v>
      </c>
      <c r="AE1423" s="61" t="str">
        <f t="shared" si="151"/>
        <v/>
      </c>
      <c r="AF1423" s="77" t="str">
        <f>_xlfn.XLOOKUP(AD1423,menu!$K$2:$K$9,menu!$J$2:$J$9,"",1)</f>
        <v/>
      </c>
      <c r="AG1423" s="80" t="str">
        <f>_xlfn.XLOOKUP(AH1423,menu!$O$2:$O$9,menu!$H$2:$H$9,"")</f>
        <v/>
      </c>
      <c r="AI1423" t="str">
        <f>_xlfn.LET(_xlpm.x,_xlfn.CONCAT(_xlfn.XLOOKUP(D1423,beans!$A$2:$A$300,beans!$J$2:$J$300,"")," / ",_xlfn.XLOOKUP(D1423,beans!$A$2:$A$300,beans!$K$2:$K$300,"")," - ",_xlfn.XLOOKUP(D1423,beans!$A$2:$A$300,beans!$L$2:$L$300,"")),IF(_xlpm.x=" /  - ","",_xlpm.x))</f>
        <v/>
      </c>
    </row>
    <row r="1424" spans="1:35" x14ac:dyDescent="0.3">
      <c r="A1424">
        <v>1407</v>
      </c>
      <c r="E1424" t="str">
        <f>_xlfn.LET(_xlpm.x,_xlfn.XLOOKUP(D1424,beans!$A$2:$A$300,beans!$H$2:$H$300,""),IF(_xlpm.x="","",_xlpm.x))</f>
        <v/>
      </c>
      <c r="F1424" s="22" t="str">
        <f>_xlfn.XLOOKUP(E1424,menu!$A$2:$A$37,menu!$B$2:$B$37,"")</f>
        <v/>
      </c>
      <c r="G1424" t="str">
        <f>_xlfn.XLOOKUP(E1424,menu!$A$2:$A$37,menu!$C$2:$C$37,"")</f>
        <v/>
      </c>
      <c r="H1424" t="str">
        <f>_xlfn.LET(_xlpm.x,_xlfn.XLOOKUP(_xlfn.XLOOKUP(D1424,beans!$A$2:$A$300,beans!$I$2:$I$300),menu!$E$2:$E$20,menu!$F$2:$F$20),IF(_xlpm.x="","",_xlpm.x))</f>
        <v/>
      </c>
      <c r="T1424" s="68" t="str">
        <f t="shared" si="152"/>
        <v/>
      </c>
      <c r="U1424" t="str">
        <f t="shared" si="148"/>
        <v/>
      </c>
      <c r="V1424">
        <f t="shared" si="153"/>
        <v>0</v>
      </c>
      <c r="W1424" t="str">
        <f t="shared" si="149"/>
        <v/>
      </c>
      <c r="AB1424" s="28" t="str">
        <f t="shared" si="150"/>
        <v xml:space="preserve"> </v>
      </c>
      <c r="AE1424" s="61" t="str">
        <f t="shared" si="151"/>
        <v/>
      </c>
      <c r="AF1424" s="77" t="str">
        <f>_xlfn.XLOOKUP(AD1424,menu!$K$2:$K$9,menu!$J$2:$J$9,"",1)</f>
        <v/>
      </c>
      <c r="AG1424" s="80" t="str">
        <f>_xlfn.XLOOKUP(AH1424,menu!$O$2:$O$9,menu!$H$2:$H$9,"")</f>
        <v/>
      </c>
      <c r="AI1424" t="str">
        <f>_xlfn.LET(_xlpm.x,_xlfn.CONCAT(_xlfn.XLOOKUP(D1424,beans!$A$2:$A$300,beans!$J$2:$J$300,"")," / ",_xlfn.XLOOKUP(D1424,beans!$A$2:$A$300,beans!$K$2:$K$300,"")," - ",_xlfn.XLOOKUP(D1424,beans!$A$2:$A$300,beans!$L$2:$L$300,"")),IF(_xlpm.x=" /  - ","",_xlpm.x))</f>
        <v/>
      </c>
    </row>
    <row r="1425" spans="1:35" x14ac:dyDescent="0.3">
      <c r="A1425">
        <v>1408</v>
      </c>
      <c r="E1425" t="str">
        <f>_xlfn.LET(_xlpm.x,_xlfn.XLOOKUP(D1425,beans!$A$2:$A$300,beans!$H$2:$H$300,""),IF(_xlpm.x="","",_xlpm.x))</f>
        <v/>
      </c>
      <c r="F1425" s="22" t="str">
        <f>_xlfn.XLOOKUP(E1425,menu!$A$2:$A$37,menu!$B$2:$B$37,"")</f>
        <v/>
      </c>
      <c r="G1425" t="str">
        <f>_xlfn.XLOOKUP(E1425,menu!$A$2:$A$37,menu!$C$2:$C$37,"")</f>
        <v/>
      </c>
      <c r="H1425" t="str">
        <f>_xlfn.LET(_xlpm.x,_xlfn.XLOOKUP(_xlfn.XLOOKUP(D1425,beans!$A$2:$A$300,beans!$I$2:$I$300),menu!$E$2:$E$20,menu!$F$2:$F$20),IF(_xlpm.x="","",_xlpm.x))</f>
        <v/>
      </c>
      <c r="T1425" s="68" t="str">
        <f t="shared" si="152"/>
        <v/>
      </c>
      <c r="U1425" t="str">
        <f t="shared" si="148"/>
        <v/>
      </c>
      <c r="V1425">
        <f t="shared" si="153"/>
        <v>0</v>
      </c>
      <c r="W1425" t="str">
        <f t="shared" si="149"/>
        <v/>
      </c>
      <c r="AB1425" s="28" t="str">
        <f t="shared" si="150"/>
        <v xml:space="preserve"> </v>
      </c>
      <c r="AE1425" s="61" t="str">
        <f t="shared" si="151"/>
        <v/>
      </c>
      <c r="AF1425" s="77" t="str">
        <f>_xlfn.XLOOKUP(AD1425,menu!$K$2:$K$9,menu!$J$2:$J$9,"",1)</f>
        <v/>
      </c>
      <c r="AG1425" s="80" t="str">
        <f>_xlfn.XLOOKUP(AH1425,menu!$O$2:$O$9,menu!$H$2:$H$9,"")</f>
        <v/>
      </c>
      <c r="AI1425" t="str">
        <f>_xlfn.LET(_xlpm.x,_xlfn.CONCAT(_xlfn.XLOOKUP(D1425,beans!$A$2:$A$300,beans!$J$2:$J$300,"")," / ",_xlfn.XLOOKUP(D1425,beans!$A$2:$A$300,beans!$K$2:$K$300,"")," - ",_xlfn.XLOOKUP(D1425,beans!$A$2:$A$300,beans!$L$2:$L$300,"")),IF(_xlpm.x=" /  - ","",_xlpm.x))</f>
        <v/>
      </c>
    </row>
    <row r="1426" spans="1:35" x14ac:dyDescent="0.3">
      <c r="A1426">
        <v>1409</v>
      </c>
      <c r="E1426" t="str">
        <f>_xlfn.LET(_xlpm.x,_xlfn.XLOOKUP(D1426,beans!$A$2:$A$300,beans!$H$2:$H$300,""),IF(_xlpm.x="","",_xlpm.x))</f>
        <v/>
      </c>
      <c r="F1426" s="22" t="str">
        <f>_xlfn.XLOOKUP(E1426,menu!$A$2:$A$37,menu!$B$2:$B$37,"")</f>
        <v/>
      </c>
      <c r="G1426" t="str">
        <f>_xlfn.XLOOKUP(E1426,menu!$A$2:$A$37,menu!$C$2:$C$37,"")</f>
        <v/>
      </c>
      <c r="H1426" t="str">
        <f>_xlfn.LET(_xlpm.x,_xlfn.XLOOKUP(_xlfn.XLOOKUP(D1426,beans!$A$2:$A$300,beans!$I$2:$I$300),menu!$E$2:$E$20,menu!$F$2:$F$20),IF(_xlpm.x="","",_xlpm.x))</f>
        <v/>
      </c>
      <c r="T1426" s="68" t="str">
        <f t="shared" si="152"/>
        <v/>
      </c>
      <c r="U1426" t="str">
        <f t="shared" si="148"/>
        <v/>
      </c>
      <c r="V1426">
        <f t="shared" si="153"/>
        <v>0</v>
      </c>
      <c r="W1426" t="str">
        <f t="shared" si="149"/>
        <v/>
      </c>
      <c r="AB1426" s="28" t="str">
        <f t="shared" si="150"/>
        <v xml:space="preserve"> </v>
      </c>
      <c r="AE1426" s="61" t="str">
        <f t="shared" si="151"/>
        <v/>
      </c>
      <c r="AF1426" s="77" t="str">
        <f>_xlfn.XLOOKUP(AD1426,menu!$K$2:$K$9,menu!$J$2:$J$9,"",1)</f>
        <v/>
      </c>
      <c r="AG1426" s="80" t="str">
        <f>_xlfn.XLOOKUP(AH1426,menu!$O$2:$O$9,menu!$H$2:$H$9,"")</f>
        <v/>
      </c>
      <c r="AI1426" t="str">
        <f>_xlfn.LET(_xlpm.x,_xlfn.CONCAT(_xlfn.XLOOKUP(D1426,beans!$A$2:$A$300,beans!$J$2:$J$300,"")," / ",_xlfn.XLOOKUP(D1426,beans!$A$2:$A$300,beans!$K$2:$K$300,"")," - ",_xlfn.XLOOKUP(D1426,beans!$A$2:$A$300,beans!$L$2:$L$300,"")),IF(_xlpm.x=" /  - ","",_xlpm.x))</f>
        <v/>
      </c>
    </row>
    <row r="1427" spans="1:35" x14ac:dyDescent="0.3">
      <c r="A1427">
        <v>1410</v>
      </c>
      <c r="E1427" t="str">
        <f>_xlfn.LET(_xlpm.x,_xlfn.XLOOKUP(D1427,beans!$A$2:$A$300,beans!$H$2:$H$300,""),IF(_xlpm.x="","",_xlpm.x))</f>
        <v/>
      </c>
      <c r="F1427" s="22" t="str">
        <f>_xlfn.XLOOKUP(E1427,menu!$A$2:$A$37,menu!$B$2:$B$37,"")</f>
        <v/>
      </c>
      <c r="G1427" t="str">
        <f>_xlfn.XLOOKUP(E1427,menu!$A$2:$A$37,menu!$C$2:$C$37,"")</f>
        <v/>
      </c>
      <c r="H1427" t="str">
        <f>_xlfn.LET(_xlpm.x,_xlfn.XLOOKUP(_xlfn.XLOOKUP(D1427,beans!$A$2:$A$300,beans!$I$2:$I$300),menu!$E$2:$E$20,menu!$F$2:$F$20),IF(_xlpm.x="","",_xlpm.x))</f>
        <v/>
      </c>
      <c r="T1427" s="68" t="str">
        <f t="shared" si="152"/>
        <v/>
      </c>
      <c r="U1427" t="str">
        <f t="shared" si="148"/>
        <v/>
      </c>
      <c r="V1427">
        <f t="shared" si="153"/>
        <v>0</v>
      </c>
      <c r="W1427" t="str">
        <f t="shared" si="149"/>
        <v/>
      </c>
      <c r="AB1427" s="28" t="str">
        <f t="shared" si="150"/>
        <v xml:space="preserve"> </v>
      </c>
      <c r="AE1427" s="61" t="str">
        <f t="shared" si="151"/>
        <v/>
      </c>
      <c r="AF1427" s="77" t="str">
        <f>_xlfn.XLOOKUP(AD1427,menu!$K$2:$K$9,menu!$J$2:$J$9,"",1)</f>
        <v/>
      </c>
      <c r="AG1427" s="80" t="str">
        <f>_xlfn.XLOOKUP(AH1427,menu!$O$2:$O$9,menu!$H$2:$H$9,"")</f>
        <v/>
      </c>
      <c r="AI1427" t="str">
        <f>_xlfn.LET(_xlpm.x,_xlfn.CONCAT(_xlfn.XLOOKUP(D1427,beans!$A$2:$A$300,beans!$J$2:$J$300,"")," / ",_xlfn.XLOOKUP(D1427,beans!$A$2:$A$300,beans!$K$2:$K$300,"")," - ",_xlfn.XLOOKUP(D1427,beans!$A$2:$A$300,beans!$L$2:$L$300,"")),IF(_xlpm.x=" /  - ","",_xlpm.x))</f>
        <v/>
      </c>
    </row>
    <row r="1428" spans="1:35" x14ac:dyDescent="0.3">
      <c r="A1428">
        <v>1411</v>
      </c>
      <c r="E1428" t="str">
        <f>_xlfn.LET(_xlpm.x,_xlfn.XLOOKUP(D1428,beans!$A$2:$A$300,beans!$H$2:$H$300,""),IF(_xlpm.x="","",_xlpm.x))</f>
        <v/>
      </c>
      <c r="F1428" s="22" t="str">
        <f>_xlfn.XLOOKUP(E1428,menu!$A$2:$A$37,menu!$B$2:$B$37,"")</f>
        <v/>
      </c>
      <c r="G1428" t="str">
        <f>_xlfn.XLOOKUP(E1428,menu!$A$2:$A$37,menu!$C$2:$C$37,"")</f>
        <v/>
      </c>
      <c r="H1428" t="str">
        <f>_xlfn.LET(_xlpm.x,_xlfn.XLOOKUP(_xlfn.XLOOKUP(D1428,beans!$A$2:$A$300,beans!$I$2:$I$300),menu!$E$2:$E$20,menu!$F$2:$F$20),IF(_xlpm.x="","",_xlpm.x))</f>
        <v/>
      </c>
      <c r="T1428" s="68" t="str">
        <f t="shared" si="152"/>
        <v/>
      </c>
      <c r="U1428" t="str">
        <f t="shared" si="148"/>
        <v/>
      </c>
      <c r="V1428">
        <f t="shared" si="153"/>
        <v>0</v>
      </c>
      <c r="W1428" t="str">
        <f t="shared" si="149"/>
        <v/>
      </c>
      <c r="AB1428" s="28" t="str">
        <f t="shared" si="150"/>
        <v xml:space="preserve"> </v>
      </c>
      <c r="AE1428" s="61" t="str">
        <f t="shared" si="151"/>
        <v/>
      </c>
      <c r="AF1428" s="77" t="str">
        <f>_xlfn.XLOOKUP(AD1428,menu!$K$2:$K$9,menu!$J$2:$J$9,"",1)</f>
        <v/>
      </c>
      <c r="AG1428" s="80" t="str">
        <f>_xlfn.XLOOKUP(AH1428,menu!$O$2:$O$9,menu!$H$2:$H$9,"")</f>
        <v/>
      </c>
      <c r="AI1428" t="str">
        <f>_xlfn.LET(_xlpm.x,_xlfn.CONCAT(_xlfn.XLOOKUP(D1428,beans!$A$2:$A$300,beans!$J$2:$J$300,"")," / ",_xlfn.XLOOKUP(D1428,beans!$A$2:$A$300,beans!$K$2:$K$300,"")," - ",_xlfn.XLOOKUP(D1428,beans!$A$2:$A$300,beans!$L$2:$L$300,"")),IF(_xlpm.x=" /  - ","",_xlpm.x))</f>
        <v/>
      </c>
    </row>
    <row r="1429" spans="1:35" x14ac:dyDescent="0.3">
      <c r="A1429">
        <v>1412</v>
      </c>
      <c r="E1429" t="str">
        <f>_xlfn.LET(_xlpm.x,_xlfn.XLOOKUP(D1429,beans!$A$2:$A$300,beans!$H$2:$H$300,""),IF(_xlpm.x="","",_xlpm.x))</f>
        <v/>
      </c>
      <c r="F1429" s="22" t="str">
        <f>_xlfn.XLOOKUP(E1429,menu!$A$2:$A$37,menu!$B$2:$B$37,"")</f>
        <v/>
      </c>
      <c r="G1429" t="str">
        <f>_xlfn.XLOOKUP(E1429,menu!$A$2:$A$37,menu!$C$2:$C$37,"")</f>
        <v/>
      </c>
      <c r="H1429" t="str">
        <f>_xlfn.LET(_xlpm.x,_xlfn.XLOOKUP(_xlfn.XLOOKUP(D1429,beans!$A$2:$A$300,beans!$I$2:$I$300),menu!$E$2:$E$20,menu!$F$2:$F$20),IF(_xlpm.x="","",_xlpm.x))</f>
        <v/>
      </c>
      <c r="T1429" s="68" t="str">
        <f t="shared" si="152"/>
        <v/>
      </c>
      <c r="U1429" t="str">
        <f t="shared" si="148"/>
        <v/>
      </c>
      <c r="V1429">
        <f t="shared" si="153"/>
        <v>0</v>
      </c>
      <c r="W1429" t="str">
        <f t="shared" si="149"/>
        <v/>
      </c>
      <c r="AB1429" s="28" t="str">
        <f t="shared" si="150"/>
        <v xml:space="preserve"> </v>
      </c>
      <c r="AE1429" s="61" t="str">
        <f t="shared" si="151"/>
        <v/>
      </c>
      <c r="AF1429" s="77" t="str">
        <f>_xlfn.XLOOKUP(AD1429,menu!$K$2:$K$9,menu!$J$2:$J$9,"",1)</f>
        <v/>
      </c>
      <c r="AG1429" s="80" t="str">
        <f>_xlfn.XLOOKUP(AH1429,menu!$O$2:$O$9,menu!$H$2:$H$9,"")</f>
        <v/>
      </c>
      <c r="AI1429" t="str">
        <f>_xlfn.LET(_xlpm.x,_xlfn.CONCAT(_xlfn.XLOOKUP(D1429,beans!$A$2:$A$300,beans!$J$2:$J$300,"")," / ",_xlfn.XLOOKUP(D1429,beans!$A$2:$A$300,beans!$K$2:$K$300,"")," - ",_xlfn.XLOOKUP(D1429,beans!$A$2:$A$300,beans!$L$2:$L$300,"")),IF(_xlpm.x=" /  - ","",_xlpm.x))</f>
        <v/>
      </c>
    </row>
    <row r="1430" spans="1:35" x14ac:dyDescent="0.3">
      <c r="A1430">
        <v>1413</v>
      </c>
      <c r="E1430" t="str">
        <f>_xlfn.LET(_xlpm.x,_xlfn.XLOOKUP(D1430,beans!$A$2:$A$300,beans!$H$2:$H$300,""),IF(_xlpm.x="","",_xlpm.x))</f>
        <v/>
      </c>
      <c r="F1430" s="22" t="str">
        <f>_xlfn.XLOOKUP(E1430,menu!$A$2:$A$37,menu!$B$2:$B$37,"")</f>
        <v/>
      </c>
      <c r="G1430" t="str">
        <f>_xlfn.XLOOKUP(E1430,menu!$A$2:$A$37,menu!$C$2:$C$37,"")</f>
        <v/>
      </c>
      <c r="H1430" t="str">
        <f>_xlfn.LET(_xlpm.x,_xlfn.XLOOKUP(_xlfn.XLOOKUP(D1430,beans!$A$2:$A$300,beans!$I$2:$I$300),menu!$E$2:$E$20,menu!$F$2:$F$20),IF(_xlpm.x="","",_xlpm.x))</f>
        <v/>
      </c>
      <c r="T1430" s="68" t="str">
        <f t="shared" si="152"/>
        <v/>
      </c>
      <c r="U1430" t="str">
        <f t="shared" si="148"/>
        <v/>
      </c>
      <c r="V1430">
        <f t="shared" si="153"/>
        <v>0</v>
      </c>
      <c r="W1430" t="str">
        <f t="shared" si="149"/>
        <v/>
      </c>
      <c r="AB1430" s="28" t="str">
        <f t="shared" si="150"/>
        <v xml:space="preserve"> </v>
      </c>
      <c r="AE1430" s="61" t="str">
        <f t="shared" si="151"/>
        <v/>
      </c>
      <c r="AF1430" s="77" t="str">
        <f>_xlfn.XLOOKUP(AD1430,menu!$K$2:$K$9,menu!$J$2:$J$9,"",1)</f>
        <v/>
      </c>
      <c r="AG1430" s="80" t="str">
        <f>_xlfn.XLOOKUP(AH1430,menu!$O$2:$O$9,menu!$H$2:$H$9,"")</f>
        <v/>
      </c>
      <c r="AI1430" t="str">
        <f>_xlfn.LET(_xlpm.x,_xlfn.CONCAT(_xlfn.XLOOKUP(D1430,beans!$A$2:$A$300,beans!$J$2:$J$300,"")," / ",_xlfn.XLOOKUP(D1430,beans!$A$2:$A$300,beans!$K$2:$K$300,"")," - ",_xlfn.XLOOKUP(D1430,beans!$A$2:$A$300,beans!$L$2:$L$300,"")),IF(_xlpm.x=" /  - ","",_xlpm.x))</f>
        <v/>
      </c>
    </row>
    <row r="1431" spans="1:35" x14ac:dyDescent="0.3">
      <c r="A1431">
        <v>1414</v>
      </c>
      <c r="E1431" t="str">
        <f>_xlfn.LET(_xlpm.x,_xlfn.XLOOKUP(D1431,beans!$A$2:$A$300,beans!$H$2:$H$300,""),IF(_xlpm.x="","",_xlpm.x))</f>
        <v/>
      </c>
      <c r="F1431" s="22" t="str">
        <f>_xlfn.XLOOKUP(E1431,menu!$A$2:$A$37,menu!$B$2:$B$37,"")</f>
        <v/>
      </c>
      <c r="G1431" t="str">
        <f>_xlfn.XLOOKUP(E1431,menu!$A$2:$A$37,menu!$C$2:$C$37,"")</f>
        <v/>
      </c>
      <c r="H1431" t="str">
        <f>_xlfn.LET(_xlpm.x,_xlfn.XLOOKUP(_xlfn.XLOOKUP(D1431,beans!$A$2:$A$300,beans!$I$2:$I$300),menu!$E$2:$E$20,menu!$F$2:$F$20),IF(_xlpm.x="","",_xlpm.x))</f>
        <v/>
      </c>
      <c r="T1431" s="68" t="str">
        <f t="shared" si="152"/>
        <v/>
      </c>
      <c r="U1431" t="str">
        <f t="shared" si="148"/>
        <v/>
      </c>
      <c r="V1431">
        <f t="shared" si="153"/>
        <v>0</v>
      </c>
      <c r="W1431" t="str">
        <f t="shared" si="149"/>
        <v/>
      </c>
      <c r="AB1431" s="28" t="str">
        <f t="shared" si="150"/>
        <v xml:space="preserve"> </v>
      </c>
      <c r="AE1431" s="61" t="str">
        <f t="shared" si="151"/>
        <v/>
      </c>
      <c r="AF1431" s="77" t="str">
        <f>_xlfn.XLOOKUP(AD1431,menu!$K$2:$K$9,menu!$J$2:$J$9,"",1)</f>
        <v/>
      </c>
      <c r="AG1431" s="80" t="str">
        <f>_xlfn.XLOOKUP(AH1431,menu!$O$2:$O$9,menu!$H$2:$H$9,"")</f>
        <v/>
      </c>
      <c r="AI1431" t="str">
        <f>_xlfn.LET(_xlpm.x,_xlfn.CONCAT(_xlfn.XLOOKUP(D1431,beans!$A$2:$A$300,beans!$J$2:$J$300,"")," / ",_xlfn.XLOOKUP(D1431,beans!$A$2:$A$300,beans!$K$2:$K$300,"")," - ",_xlfn.XLOOKUP(D1431,beans!$A$2:$A$300,beans!$L$2:$L$300,"")),IF(_xlpm.x=" /  - ","",_xlpm.x))</f>
        <v/>
      </c>
    </row>
    <row r="1432" spans="1:35" x14ac:dyDescent="0.3">
      <c r="A1432">
        <v>1415</v>
      </c>
      <c r="E1432" t="str">
        <f>_xlfn.LET(_xlpm.x,_xlfn.XLOOKUP(D1432,beans!$A$2:$A$300,beans!$H$2:$H$300,""),IF(_xlpm.x="","",_xlpm.x))</f>
        <v/>
      </c>
      <c r="F1432" s="22" t="str">
        <f>_xlfn.XLOOKUP(E1432,menu!$A$2:$A$37,menu!$B$2:$B$37,"")</f>
        <v/>
      </c>
      <c r="G1432" t="str">
        <f>_xlfn.XLOOKUP(E1432,menu!$A$2:$A$37,menu!$C$2:$C$37,"")</f>
        <v/>
      </c>
      <c r="H1432" t="str">
        <f>_xlfn.LET(_xlpm.x,_xlfn.XLOOKUP(_xlfn.XLOOKUP(D1432,beans!$A$2:$A$300,beans!$I$2:$I$300),menu!$E$2:$E$20,menu!$F$2:$F$20),IF(_xlpm.x="","",_xlpm.x))</f>
        <v/>
      </c>
      <c r="T1432" s="68" t="str">
        <f t="shared" si="152"/>
        <v/>
      </c>
      <c r="U1432" t="str">
        <f t="shared" si="148"/>
        <v/>
      </c>
      <c r="V1432">
        <f t="shared" si="153"/>
        <v>0</v>
      </c>
      <c r="W1432" t="str">
        <f t="shared" si="149"/>
        <v/>
      </c>
      <c r="AB1432" s="28" t="str">
        <f t="shared" si="150"/>
        <v xml:space="preserve"> </v>
      </c>
      <c r="AE1432" s="61" t="str">
        <f t="shared" si="151"/>
        <v/>
      </c>
      <c r="AF1432" s="77" t="str">
        <f>_xlfn.XLOOKUP(AD1432,menu!$K$2:$K$9,menu!$J$2:$J$9,"",1)</f>
        <v/>
      </c>
      <c r="AG1432" s="80" t="str">
        <f>_xlfn.XLOOKUP(AH1432,menu!$O$2:$O$9,menu!$H$2:$H$9,"")</f>
        <v/>
      </c>
      <c r="AI1432" t="str">
        <f>_xlfn.LET(_xlpm.x,_xlfn.CONCAT(_xlfn.XLOOKUP(D1432,beans!$A$2:$A$300,beans!$J$2:$J$300,"")," / ",_xlfn.XLOOKUP(D1432,beans!$A$2:$A$300,beans!$K$2:$K$300,"")," - ",_xlfn.XLOOKUP(D1432,beans!$A$2:$A$300,beans!$L$2:$L$300,"")),IF(_xlpm.x=" /  - ","",_xlpm.x))</f>
        <v/>
      </c>
    </row>
    <row r="1433" spans="1:35" x14ac:dyDescent="0.3">
      <c r="A1433">
        <v>1416</v>
      </c>
      <c r="E1433" t="str">
        <f>_xlfn.LET(_xlpm.x,_xlfn.XLOOKUP(D1433,beans!$A$2:$A$300,beans!$H$2:$H$300,""),IF(_xlpm.x="","",_xlpm.x))</f>
        <v/>
      </c>
      <c r="F1433" s="22" t="str">
        <f>_xlfn.XLOOKUP(E1433,menu!$A$2:$A$37,menu!$B$2:$B$37,"")</f>
        <v/>
      </c>
      <c r="G1433" t="str">
        <f>_xlfn.XLOOKUP(E1433,menu!$A$2:$A$37,menu!$C$2:$C$37,"")</f>
        <v/>
      </c>
      <c r="H1433" t="str">
        <f>_xlfn.LET(_xlpm.x,_xlfn.XLOOKUP(_xlfn.XLOOKUP(D1433,beans!$A$2:$A$300,beans!$I$2:$I$300),menu!$E$2:$E$20,menu!$F$2:$F$20),IF(_xlpm.x="","",_xlpm.x))</f>
        <v/>
      </c>
      <c r="T1433" s="68" t="str">
        <f t="shared" si="152"/>
        <v/>
      </c>
      <c r="U1433" t="str">
        <f t="shared" si="148"/>
        <v/>
      </c>
      <c r="V1433">
        <f t="shared" si="153"/>
        <v>0</v>
      </c>
      <c r="W1433" t="str">
        <f t="shared" si="149"/>
        <v/>
      </c>
      <c r="AB1433" s="28" t="str">
        <f t="shared" si="150"/>
        <v xml:space="preserve"> </v>
      </c>
      <c r="AE1433" s="61" t="str">
        <f t="shared" si="151"/>
        <v/>
      </c>
      <c r="AF1433" s="77" t="str">
        <f>_xlfn.XLOOKUP(AD1433,menu!$K$2:$K$9,menu!$J$2:$J$9,"",1)</f>
        <v/>
      </c>
      <c r="AG1433" s="80" t="str">
        <f>_xlfn.XLOOKUP(AH1433,menu!$O$2:$O$9,menu!$H$2:$H$9,"")</f>
        <v/>
      </c>
      <c r="AI1433" t="str">
        <f>_xlfn.LET(_xlpm.x,_xlfn.CONCAT(_xlfn.XLOOKUP(D1433,beans!$A$2:$A$300,beans!$J$2:$J$300,"")," / ",_xlfn.XLOOKUP(D1433,beans!$A$2:$A$300,beans!$K$2:$K$300,"")," - ",_xlfn.XLOOKUP(D1433,beans!$A$2:$A$300,beans!$L$2:$L$300,"")),IF(_xlpm.x=" /  - ","",_xlpm.x))</f>
        <v/>
      </c>
    </row>
    <row r="1434" spans="1:35" x14ac:dyDescent="0.3">
      <c r="A1434">
        <v>1417</v>
      </c>
      <c r="E1434" t="str">
        <f>_xlfn.LET(_xlpm.x,_xlfn.XLOOKUP(D1434,beans!$A$2:$A$300,beans!$H$2:$H$300,""),IF(_xlpm.x="","",_xlpm.x))</f>
        <v/>
      </c>
      <c r="F1434" s="22" t="str">
        <f>_xlfn.XLOOKUP(E1434,menu!$A$2:$A$37,menu!$B$2:$B$37,"")</f>
        <v/>
      </c>
      <c r="G1434" t="str">
        <f>_xlfn.XLOOKUP(E1434,menu!$A$2:$A$37,menu!$C$2:$C$37,"")</f>
        <v/>
      </c>
      <c r="H1434" t="str">
        <f>_xlfn.LET(_xlpm.x,_xlfn.XLOOKUP(_xlfn.XLOOKUP(D1434,beans!$A$2:$A$300,beans!$I$2:$I$300),menu!$E$2:$E$20,menu!$F$2:$F$20),IF(_xlpm.x="","",_xlpm.x))</f>
        <v/>
      </c>
      <c r="T1434" s="68" t="str">
        <f t="shared" si="152"/>
        <v/>
      </c>
      <c r="U1434" t="str">
        <f t="shared" si="148"/>
        <v/>
      </c>
      <c r="V1434">
        <f t="shared" si="153"/>
        <v>0</v>
      </c>
      <c r="W1434" t="str">
        <f t="shared" si="149"/>
        <v/>
      </c>
      <c r="AB1434" s="28" t="str">
        <f t="shared" si="150"/>
        <v xml:space="preserve"> </v>
      </c>
      <c r="AE1434" s="61" t="str">
        <f t="shared" si="151"/>
        <v/>
      </c>
      <c r="AF1434" s="77" t="str">
        <f>_xlfn.XLOOKUP(AD1434,menu!$K$2:$K$9,menu!$J$2:$J$9,"",1)</f>
        <v/>
      </c>
      <c r="AG1434" s="80" t="str">
        <f>_xlfn.XLOOKUP(AH1434,menu!$O$2:$O$9,menu!$H$2:$H$9,"")</f>
        <v/>
      </c>
      <c r="AI1434" t="str">
        <f>_xlfn.LET(_xlpm.x,_xlfn.CONCAT(_xlfn.XLOOKUP(D1434,beans!$A$2:$A$300,beans!$J$2:$J$300,"")," / ",_xlfn.XLOOKUP(D1434,beans!$A$2:$A$300,beans!$K$2:$K$300,"")," - ",_xlfn.XLOOKUP(D1434,beans!$A$2:$A$300,beans!$L$2:$L$300,"")),IF(_xlpm.x=" /  - ","",_xlpm.x))</f>
        <v/>
      </c>
    </row>
    <row r="1435" spans="1:35" x14ac:dyDescent="0.3">
      <c r="A1435">
        <v>1418</v>
      </c>
      <c r="E1435" t="str">
        <f>_xlfn.LET(_xlpm.x,_xlfn.XLOOKUP(D1435,beans!$A$2:$A$300,beans!$H$2:$H$300,""),IF(_xlpm.x="","",_xlpm.x))</f>
        <v/>
      </c>
      <c r="F1435" s="22" t="str">
        <f>_xlfn.XLOOKUP(E1435,menu!$A$2:$A$37,menu!$B$2:$B$37,"")</f>
        <v/>
      </c>
      <c r="G1435" t="str">
        <f>_xlfn.XLOOKUP(E1435,menu!$A$2:$A$37,menu!$C$2:$C$37,"")</f>
        <v/>
      </c>
      <c r="H1435" t="str">
        <f>_xlfn.LET(_xlpm.x,_xlfn.XLOOKUP(_xlfn.XLOOKUP(D1435,beans!$A$2:$A$300,beans!$I$2:$I$300),menu!$E$2:$E$20,menu!$F$2:$F$20),IF(_xlpm.x="","",_xlpm.x))</f>
        <v/>
      </c>
      <c r="T1435" s="68" t="str">
        <f t="shared" si="152"/>
        <v/>
      </c>
      <c r="U1435" t="str">
        <f t="shared" si="148"/>
        <v/>
      </c>
      <c r="V1435">
        <f t="shared" si="153"/>
        <v>0</v>
      </c>
      <c r="W1435" t="str">
        <f t="shared" si="149"/>
        <v/>
      </c>
      <c r="AB1435" s="28" t="str">
        <f t="shared" si="150"/>
        <v xml:space="preserve"> </v>
      </c>
      <c r="AE1435" s="61" t="str">
        <f t="shared" si="151"/>
        <v/>
      </c>
      <c r="AF1435" s="77" t="str">
        <f>_xlfn.XLOOKUP(AD1435,menu!$K$2:$K$9,menu!$J$2:$J$9,"",1)</f>
        <v/>
      </c>
      <c r="AG1435" s="80" t="str">
        <f>_xlfn.XLOOKUP(AH1435,menu!$O$2:$O$9,menu!$H$2:$H$9,"")</f>
        <v/>
      </c>
      <c r="AI1435" t="str">
        <f>_xlfn.LET(_xlpm.x,_xlfn.CONCAT(_xlfn.XLOOKUP(D1435,beans!$A$2:$A$300,beans!$J$2:$J$300,"")," / ",_xlfn.XLOOKUP(D1435,beans!$A$2:$A$300,beans!$K$2:$K$300,"")," - ",_xlfn.XLOOKUP(D1435,beans!$A$2:$A$300,beans!$L$2:$L$300,"")),IF(_xlpm.x=" /  - ","",_xlpm.x))</f>
        <v/>
      </c>
    </row>
    <row r="1436" spans="1:35" x14ac:dyDescent="0.3">
      <c r="A1436">
        <v>1419</v>
      </c>
      <c r="E1436" t="str">
        <f>_xlfn.LET(_xlpm.x,_xlfn.XLOOKUP(D1436,beans!$A$2:$A$300,beans!$H$2:$H$300,""),IF(_xlpm.x="","",_xlpm.x))</f>
        <v/>
      </c>
      <c r="F1436" s="22" t="str">
        <f>_xlfn.XLOOKUP(E1436,menu!$A$2:$A$37,menu!$B$2:$B$37,"")</f>
        <v/>
      </c>
      <c r="G1436" t="str">
        <f>_xlfn.XLOOKUP(E1436,menu!$A$2:$A$37,menu!$C$2:$C$37,"")</f>
        <v/>
      </c>
      <c r="H1436" t="str">
        <f>_xlfn.LET(_xlpm.x,_xlfn.XLOOKUP(_xlfn.XLOOKUP(D1436,beans!$A$2:$A$300,beans!$I$2:$I$300),menu!$E$2:$E$20,menu!$F$2:$F$20),IF(_xlpm.x="","",_xlpm.x))</f>
        <v/>
      </c>
      <c r="T1436" s="68" t="str">
        <f t="shared" si="152"/>
        <v/>
      </c>
      <c r="U1436" t="str">
        <f t="shared" si="148"/>
        <v/>
      </c>
      <c r="V1436">
        <f t="shared" si="153"/>
        <v>0</v>
      </c>
      <c r="W1436" t="str">
        <f t="shared" si="149"/>
        <v/>
      </c>
      <c r="AB1436" s="28" t="str">
        <f t="shared" si="150"/>
        <v xml:space="preserve"> </v>
      </c>
      <c r="AE1436" s="61" t="str">
        <f t="shared" si="151"/>
        <v/>
      </c>
      <c r="AF1436" s="77" t="str">
        <f>_xlfn.XLOOKUP(AD1436,menu!$K$2:$K$9,menu!$J$2:$J$9,"",1)</f>
        <v/>
      </c>
      <c r="AG1436" s="80" t="str">
        <f>_xlfn.XLOOKUP(AH1436,menu!$O$2:$O$9,menu!$H$2:$H$9,"")</f>
        <v/>
      </c>
      <c r="AI1436" t="str">
        <f>_xlfn.LET(_xlpm.x,_xlfn.CONCAT(_xlfn.XLOOKUP(D1436,beans!$A$2:$A$300,beans!$J$2:$J$300,"")," / ",_xlfn.XLOOKUP(D1436,beans!$A$2:$A$300,beans!$K$2:$K$300,"")," - ",_xlfn.XLOOKUP(D1436,beans!$A$2:$A$300,beans!$L$2:$L$300,"")),IF(_xlpm.x=" /  - ","",_xlpm.x))</f>
        <v/>
      </c>
    </row>
    <row r="1437" spans="1:35" x14ac:dyDescent="0.3">
      <c r="A1437">
        <v>1420</v>
      </c>
      <c r="E1437" t="str">
        <f>_xlfn.LET(_xlpm.x,_xlfn.XLOOKUP(D1437,beans!$A$2:$A$300,beans!$H$2:$H$300,""),IF(_xlpm.x="","",_xlpm.x))</f>
        <v/>
      </c>
      <c r="F1437" s="22" t="str">
        <f>_xlfn.XLOOKUP(E1437,menu!$A$2:$A$37,menu!$B$2:$B$37,"")</f>
        <v/>
      </c>
      <c r="G1437" t="str">
        <f>_xlfn.XLOOKUP(E1437,menu!$A$2:$A$37,menu!$C$2:$C$37,"")</f>
        <v/>
      </c>
      <c r="H1437" t="str">
        <f>_xlfn.LET(_xlpm.x,_xlfn.XLOOKUP(_xlfn.XLOOKUP(D1437,beans!$A$2:$A$300,beans!$I$2:$I$300),menu!$E$2:$E$20,menu!$F$2:$F$20),IF(_xlpm.x="","",_xlpm.x))</f>
        <v/>
      </c>
      <c r="T1437" s="68" t="str">
        <f t="shared" si="152"/>
        <v/>
      </c>
      <c r="U1437" t="str">
        <f t="shared" si="148"/>
        <v/>
      </c>
      <c r="V1437">
        <f t="shared" si="153"/>
        <v>0</v>
      </c>
      <c r="W1437" t="str">
        <f t="shared" si="149"/>
        <v/>
      </c>
      <c r="AB1437" s="28" t="str">
        <f t="shared" si="150"/>
        <v xml:space="preserve"> </v>
      </c>
      <c r="AE1437" s="61" t="str">
        <f t="shared" si="151"/>
        <v/>
      </c>
      <c r="AF1437" s="77" t="str">
        <f>_xlfn.XLOOKUP(AD1437,menu!$K$2:$K$9,menu!$J$2:$J$9,"",1)</f>
        <v/>
      </c>
      <c r="AG1437" s="80" t="str">
        <f>_xlfn.XLOOKUP(AH1437,menu!$O$2:$O$9,menu!$H$2:$H$9,"")</f>
        <v/>
      </c>
      <c r="AI1437" t="str">
        <f>_xlfn.LET(_xlpm.x,_xlfn.CONCAT(_xlfn.XLOOKUP(D1437,beans!$A$2:$A$300,beans!$J$2:$J$300,"")," / ",_xlfn.XLOOKUP(D1437,beans!$A$2:$A$300,beans!$K$2:$K$300,"")," - ",_xlfn.XLOOKUP(D1437,beans!$A$2:$A$300,beans!$L$2:$L$300,"")),IF(_xlpm.x=" /  - ","",_xlpm.x))</f>
        <v/>
      </c>
    </row>
    <row r="1438" spans="1:35" x14ac:dyDescent="0.3">
      <c r="A1438">
        <v>1421</v>
      </c>
      <c r="E1438" t="str">
        <f>_xlfn.LET(_xlpm.x,_xlfn.XLOOKUP(D1438,beans!$A$2:$A$300,beans!$H$2:$H$300,""),IF(_xlpm.x="","",_xlpm.x))</f>
        <v/>
      </c>
      <c r="F1438" s="22" t="str">
        <f>_xlfn.XLOOKUP(E1438,menu!$A$2:$A$37,menu!$B$2:$B$37,"")</f>
        <v/>
      </c>
      <c r="G1438" t="str">
        <f>_xlfn.XLOOKUP(E1438,menu!$A$2:$A$37,menu!$C$2:$C$37,"")</f>
        <v/>
      </c>
      <c r="H1438" t="str">
        <f>_xlfn.LET(_xlpm.x,_xlfn.XLOOKUP(_xlfn.XLOOKUP(D1438,beans!$A$2:$A$300,beans!$I$2:$I$300),menu!$E$2:$E$20,menu!$F$2:$F$20),IF(_xlpm.x="","",_xlpm.x))</f>
        <v/>
      </c>
      <c r="T1438" s="68" t="str">
        <f t="shared" si="152"/>
        <v/>
      </c>
      <c r="U1438" t="str">
        <f t="shared" si="148"/>
        <v/>
      </c>
      <c r="V1438">
        <f t="shared" si="153"/>
        <v>0</v>
      </c>
      <c r="W1438" t="str">
        <f t="shared" si="149"/>
        <v/>
      </c>
      <c r="AB1438" s="28" t="str">
        <f t="shared" si="150"/>
        <v xml:space="preserve"> </v>
      </c>
      <c r="AE1438" s="61" t="str">
        <f t="shared" si="151"/>
        <v/>
      </c>
      <c r="AF1438" s="77" t="str">
        <f>_xlfn.XLOOKUP(AD1438,menu!$K$2:$K$9,menu!$J$2:$J$9,"",1)</f>
        <v/>
      </c>
      <c r="AG1438" s="80" t="str">
        <f>_xlfn.XLOOKUP(AH1438,menu!$O$2:$O$9,menu!$H$2:$H$9,"")</f>
        <v/>
      </c>
      <c r="AI1438" t="str">
        <f>_xlfn.LET(_xlpm.x,_xlfn.CONCAT(_xlfn.XLOOKUP(D1438,beans!$A$2:$A$300,beans!$J$2:$J$300,"")," / ",_xlfn.XLOOKUP(D1438,beans!$A$2:$A$300,beans!$K$2:$K$300,"")," - ",_xlfn.XLOOKUP(D1438,beans!$A$2:$A$300,beans!$L$2:$L$300,"")),IF(_xlpm.x=" /  - ","",_xlpm.x))</f>
        <v/>
      </c>
    </row>
    <row r="1439" spans="1:35" x14ac:dyDescent="0.3">
      <c r="A1439">
        <v>1422</v>
      </c>
      <c r="E1439" t="str">
        <f>_xlfn.LET(_xlpm.x,_xlfn.XLOOKUP(D1439,beans!$A$2:$A$300,beans!$H$2:$H$300,""),IF(_xlpm.x="","",_xlpm.x))</f>
        <v/>
      </c>
      <c r="F1439" s="22" t="str">
        <f>_xlfn.XLOOKUP(E1439,menu!$A$2:$A$37,menu!$B$2:$B$37,"")</f>
        <v/>
      </c>
      <c r="G1439" t="str">
        <f>_xlfn.XLOOKUP(E1439,menu!$A$2:$A$37,menu!$C$2:$C$37,"")</f>
        <v/>
      </c>
      <c r="H1439" t="str">
        <f>_xlfn.LET(_xlpm.x,_xlfn.XLOOKUP(_xlfn.XLOOKUP(D1439,beans!$A$2:$A$300,beans!$I$2:$I$300),menu!$E$2:$E$20,menu!$F$2:$F$20),IF(_xlpm.x="","",_xlpm.x))</f>
        <v/>
      </c>
      <c r="T1439" s="68" t="str">
        <f t="shared" si="152"/>
        <v/>
      </c>
      <c r="U1439" t="str">
        <f t="shared" si="148"/>
        <v/>
      </c>
      <c r="V1439">
        <f t="shared" si="153"/>
        <v>0</v>
      </c>
      <c r="W1439" t="str">
        <f t="shared" si="149"/>
        <v/>
      </c>
      <c r="AB1439" s="28" t="str">
        <f t="shared" si="150"/>
        <v xml:space="preserve"> </v>
      </c>
      <c r="AE1439" s="61" t="str">
        <f t="shared" si="151"/>
        <v/>
      </c>
      <c r="AF1439" s="77" t="str">
        <f>_xlfn.XLOOKUP(AD1439,menu!$K$2:$K$9,menu!$J$2:$J$9,"",1)</f>
        <v/>
      </c>
      <c r="AG1439" s="80" t="str">
        <f>_xlfn.XLOOKUP(AH1439,menu!$O$2:$O$9,menu!$H$2:$H$9,"")</f>
        <v/>
      </c>
      <c r="AI1439" t="str">
        <f>_xlfn.LET(_xlpm.x,_xlfn.CONCAT(_xlfn.XLOOKUP(D1439,beans!$A$2:$A$300,beans!$J$2:$J$300,"")," / ",_xlfn.XLOOKUP(D1439,beans!$A$2:$A$300,beans!$K$2:$K$300,"")," - ",_xlfn.XLOOKUP(D1439,beans!$A$2:$A$300,beans!$L$2:$L$300,"")),IF(_xlpm.x=" /  - ","",_xlpm.x))</f>
        <v/>
      </c>
    </row>
    <row r="1440" spans="1:35" x14ac:dyDescent="0.3">
      <c r="A1440">
        <v>1423</v>
      </c>
      <c r="E1440" t="str">
        <f>_xlfn.LET(_xlpm.x,_xlfn.XLOOKUP(D1440,beans!$A$2:$A$300,beans!$H$2:$H$300,""),IF(_xlpm.x="","",_xlpm.x))</f>
        <v/>
      </c>
      <c r="F1440" s="22" t="str">
        <f>_xlfn.XLOOKUP(E1440,menu!$A$2:$A$37,menu!$B$2:$B$37,"")</f>
        <v/>
      </c>
      <c r="G1440" t="str">
        <f>_xlfn.XLOOKUP(E1440,menu!$A$2:$A$37,menu!$C$2:$C$37,"")</f>
        <v/>
      </c>
      <c r="H1440" t="str">
        <f>_xlfn.LET(_xlpm.x,_xlfn.XLOOKUP(_xlfn.XLOOKUP(D1440,beans!$A$2:$A$300,beans!$I$2:$I$300),menu!$E$2:$E$20,menu!$F$2:$F$20),IF(_xlpm.x="","",_xlpm.x))</f>
        <v/>
      </c>
      <c r="T1440" s="68" t="str">
        <f t="shared" si="152"/>
        <v/>
      </c>
      <c r="U1440" t="str">
        <f t="shared" si="148"/>
        <v/>
      </c>
      <c r="V1440">
        <f t="shared" si="153"/>
        <v>0</v>
      </c>
      <c r="W1440" t="str">
        <f t="shared" si="149"/>
        <v/>
      </c>
      <c r="AB1440" s="28" t="str">
        <f t="shared" si="150"/>
        <v xml:space="preserve"> </v>
      </c>
      <c r="AE1440" s="61" t="str">
        <f t="shared" si="151"/>
        <v/>
      </c>
      <c r="AF1440" s="77" t="str">
        <f>_xlfn.XLOOKUP(AD1440,menu!$K$2:$K$9,menu!$J$2:$J$9,"",1)</f>
        <v/>
      </c>
      <c r="AG1440" s="80" t="str">
        <f>_xlfn.XLOOKUP(AH1440,menu!$O$2:$O$9,menu!$H$2:$H$9,"")</f>
        <v/>
      </c>
      <c r="AI1440" t="str">
        <f>_xlfn.LET(_xlpm.x,_xlfn.CONCAT(_xlfn.XLOOKUP(D1440,beans!$A$2:$A$300,beans!$J$2:$J$300,"")," / ",_xlfn.XLOOKUP(D1440,beans!$A$2:$A$300,beans!$K$2:$K$300,"")," - ",_xlfn.XLOOKUP(D1440,beans!$A$2:$A$300,beans!$L$2:$L$300,"")),IF(_xlpm.x=" /  - ","",_xlpm.x))</f>
        <v/>
      </c>
    </row>
    <row r="1441" spans="1:35" x14ac:dyDescent="0.3">
      <c r="A1441">
        <v>1424</v>
      </c>
      <c r="E1441" t="str">
        <f>_xlfn.LET(_xlpm.x,_xlfn.XLOOKUP(D1441,beans!$A$2:$A$300,beans!$H$2:$H$300,""),IF(_xlpm.x="","",_xlpm.x))</f>
        <v/>
      </c>
      <c r="F1441" s="22" t="str">
        <f>_xlfn.XLOOKUP(E1441,menu!$A$2:$A$37,menu!$B$2:$B$37,"")</f>
        <v/>
      </c>
      <c r="G1441" t="str">
        <f>_xlfn.XLOOKUP(E1441,menu!$A$2:$A$37,menu!$C$2:$C$37,"")</f>
        <v/>
      </c>
      <c r="H1441" t="str">
        <f>_xlfn.LET(_xlpm.x,_xlfn.XLOOKUP(_xlfn.XLOOKUP(D1441,beans!$A$2:$A$300,beans!$I$2:$I$300),menu!$E$2:$E$20,menu!$F$2:$F$20),IF(_xlpm.x="","",_xlpm.x))</f>
        <v/>
      </c>
      <c r="T1441" s="68" t="str">
        <f t="shared" si="152"/>
        <v/>
      </c>
      <c r="U1441" t="str">
        <f t="shared" si="148"/>
        <v/>
      </c>
      <c r="V1441">
        <f t="shared" si="153"/>
        <v>0</v>
      </c>
      <c r="W1441" t="str">
        <f t="shared" si="149"/>
        <v/>
      </c>
      <c r="AB1441" s="28" t="str">
        <f t="shared" si="150"/>
        <v xml:space="preserve"> </v>
      </c>
      <c r="AE1441" s="61" t="str">
        <f t="shared" si="151"/>
        <v/>
      </c>
      <c r="AF1441" s="77" t="str">
        <f>_xlfn.XLOOKUP(AD1441,menu!$K$2:$K$9,menu!$J$2:$J$9,"",1)</f>
        <v/>
      </c>
      <c r="AG1441" s="80" t="str">
        <f>_xlfn.XLOOKUP(AH1441,menu!$O$2:$O$9,menu!$H$2:$H$9,"")</f>
        <v/>
      </c>
      <c r="AI1441" t="str">
        <f>_xlfn.LET(_xlpm.x,_xlfn.CONCAT(_xlfn.XLOOKUP(D1441,beans!$A$2:$A$300,beans!$J$2:$J$300,"")," / ",_xlfn.XLOOKUP(D1441,beans!$A$2:$A$300,beans!$K$2:$K$300,"")," - ",_xlfn.XLOOKUP(D1441,beans!$A$2:$A$300,beans!$L$2:$L$300,"")),IF(_xlpm.x=" /  - ","",_xlpm.x))</f>
        <v/>
      </c>
    </row>
    <row r="1442" spans="1:35" x14ac:dyDescent="0.3">
      <c r="A1442">
        <v>1425</v>
      </c>
      <c r="E1442" t="str">
        <f>_xlfn.LET(_xlpm.x,_xlfn.XLOOKUP(D1442,beans!$A$2:$A$300,beans!$H$2:$H$300,""),IF(_xlpm.x="","",_xlpm.x))</f>
        <v/>
      </c>
      <c r="F1442" s="22" t="str">
        <f>_xlfn.XLOOKUP(E1442,menu!$A$2:$A$37,menu!$B$2:$B$37,"")</f>
        <v/>
      </c>
      <c r="G1442" t="str">
        <f>_xlfn.XLOOKUP(E1442,menu!$A$2:$A$37,menu!$C$2:$C$37,"")</f>
        <v/>
      </c>
      <c r="H1442" t="str">
        <f>_xlfn.LET(_xlpm.x,_xlfn.XLOOKUP(_xlfn.XLOOKUP(D1442,beans!$A$2:$A$300,beans!$I$2:$I$300),menu!$E$2:$E$20,menu!$F$2:$F$20),IF(_xlpm.x="","",_xlpm.x))</f>
        <v/>
      </c>
      <c r="T1442" s="68" t="str">
        <f t="shared" si="152"/>
        <v/>
      </c>
      <c r="U1442" t="str">
        <f t="shared" si="148"/>
        <v/>
      </c>
      <c r="V1442">
        <f t="shared" si="153"/>
        <v>0</v>
      </c>
      <c r="W1442" t="str">
        <f t="shared" si="149"/>
        <v/>
      </c>
      <c r="AB1442" s="28" t="str">
        <f t="shared" si="150"/>
        <v xml:space="preserve"> </v>
      </c>
      <c r="AE1442" s="61" t="str">
        <f t="shared" si="151"/>
        <v/>
      </c>
      <c r="AF1442" s="77" t="str">
        <f>_xlfn.XLOOKUP(AD1442,menu!$K$2:$K$9,menu!$J$2:$J$9,"",1)</f>
        <v/>
      </c>
      <c r="AG1442" s="80" t="str">
        <f>_xlfn.XLOOKUP(AH1442,menu!$O$2:$O$9,menu!$H$2:$H$9,"")</f>
        <v/>
      </c>
      <c r="AI1442" t="str">
        <f>_xlfn.LET(_xlpm.x,_xlfn.CONCAT(_xlfn.XLOOKUP(D1442,beans!$A$2:$A$300,beans!$J$2:$J$300,"")," / ",_xlfn.XLOOKUP(D1442,beans!$A$2:$A$300,beans!$K$2:$K$300,"")," - ",_xlfn.XLOOKUP(D1442,beans!$A$2:$A$300,beans!$L$2:$L$300,"")),IF(_xlpm.x=" /  - ","",_xlpm.x))</f>
        <v/>
      </c>
    </row>
    <row r="1443" spans="1:35" x14ac:dyDescent="0.3">
      <c r="A1443">
        <v>1426</v>
      </c>
      <c r="E1443" t="str">
        <f>_xlfn.LET(_xlpm.x,_xlfn.XLOOKUP(D1443,beans!$A$2:$A$300,beans!$H$2:$H$300,""),IF(_xlpm.x="","",_xlpm.x))</f>
        <v/>
      </c>
      <c r="F1443" s="22" t="str">
        <f>_xlfn.XLOOKUP(E1443,menu!$A$2:$A$37,menu!$B$2:$B$37,"")</f>
        <v/>
      </c>
      <c r="G1443" t="str">
        <f>_xlfn.XLOOKUP(E1443,menu!$A$2:$A$37,menu!$C$2:$C$37,"")</f>
        <v/>
      </c>
      <c r="H1443" t="str">
        <f>_xlfn.LET(_xlpm.x,_xlfn.XLOOKUP(_xlfn.XLOOKUP(D1443,beans!$A$2:$A$300,beans!$I$2:$I$300),menu!$E$2:$E$20,menu!$F$2:$F$20),IF(_xlpm.x="","",_xlpm.x))</f>
        <v/>
      </c>
      <c r="T1443" s="68" t="str">
        <f t="shared" si="152"/>
        <v/>
      </c>
      <c r="U1443" t="str">
        <f t="shared" si="148"/>
        <v/>
      </c>
      <c r="V1443">
        <f t="shared" si="153"/>
        <v>0</v>
      </c>
      <c r="W1443" t="str">
        <f t="shared" si="149"/>
        <v/>
      </c>
      <c r="AB1443" s="28" t="str">
        <f t="shared" si="150"/>
        <v xml:space="preserve"> </v>
      </c>
      <c r="AE1443" s="61" t="str">
        <f t="shared" si="151"/>
        <v/>
      </c>
      <c r="AF1443" s="77" t="str">
        <f>_xlfn.XLOOKUP(AD1443,menu!$K$2:$K$9,menu!$J$2:$J$9,"",1)</f>
        <v/>
      </c>
      <c r="AG1443" s="80" t="str">
        <f>_xlfn.XLOOKUP(AH1443,menu!$O$2:$O$9,menu!$H$2:$H$9,"")</f>
        <v/>
      </c>
      <c r="AI1443" t="str">
        <f>_xlfn.LET(_xlpm.x,_xlfn.CONCAT(_xlfn.XLOOKUP(D1443,beans!$A$2:$A$300,beans!$J$2:$J$300,"")," / ",_xlfn.XLOOKUP(D1443,beans!$A$2:$A$300,beans!$K$2:$K$300,"")," - ",_xlfn.XLOOKUP(D1443,beans!$A$2:$A$300,beans!$L$2:$L$300,"")),IF(_xlpm.x=" /  - ","",_xlpm.x))</f>
        <v/>
      </c>
    </row>
    <row r="1444" spans="1:35" x14ac:dyDescent="0.3">
      <c r="A1444">
        <v>1427</v>
      </c>
      <c r="E1444" t="str">
        <f>_xlfn.LET(_xlpm.x,_xlfn.XLOOKUP(D1444,beans!$A$2:$A$300,beans!$H$2:$H$300,""),IF(_xlpm.x="","",_xlpm.x))</f>
        <v/>
      </c>
      <c r="F1444" s="22" t="str">
        <f>_xlfn.XLOOKUP(E1444,menu!$A$2:$A$37,menu!$B$2:$B$37,"")</f>
        <v/>
      </c>
      <c r="G1444" t="str">
        <f>_xlfn.XLOOKUP(E1444,menu!$A$2:$A$37,menu!$C$2:$C$37,"")</f>
        <v/>
      </c>
      <c r="H1444" t="str">
        <f>_xlfn.LET(_xlpm.x,_xlfn.XLOOKUP(_xlfn.XLOOKUP(D1444,beans!$A$2:$A$300,beans!$I$2:$I$300),menu!$E$2:$E$20,menu!$F$2:$F$20),IF(_xlpm.x="","",_xlpm.x))</f>
        <v/>
      </c>
      <c r="T1444" s="68" t="str">
        <f t="shared" si="152"/>
        <v/>
      </c>
      <c r="U1444" t="str">
        <f t="shared" si="148"/>
        <v/>
      </c>
      <c r="V1444">
        <f t="shared" si="153"/>
        <v>0</v>
      </c>
      <c r="W1444" t="str">
        <f t="shared" si="149"/>
        <v/>
      </c>
      <c r="AB1444" s="28" t="str">
        <f t="shared" si="150"/>
        <v xml:space="preserve"> </v>
      </c>
      <c r="AE1444" s="61" t="str">
        <f t="shared" si="151"/>
        <v/>
      </c>
      <c r="AF1444" s="77" t="str">
        <f>_xlfn.XLOOKUP(AD1444,menu!$K$2:$K$9,menu!$J$2:$J$9,"",1)</f>
        <v/>
      </c>
      <c r="AG1444" s="80" t="str">
        <f>_xlfn.XLOOKUP(AH1444,menu!$O$2:$O$9,menu!$H$2:$H$9,"")</f>
        <v/>
      </c>
      <c r="AI1444" t="str">
        <f>_xlfn.LET(_xlpm.x,_xlfn.CONCAT(_xlfn.XLOOKUP(D1444,beans!$A$2:$A$300,beans!$J$2:$J$300,"")," / ",_xlfn.XLOOKUP(D1444,beans!$A$2:$A$300,beans!$K$2:$K$300,"")," - ",_xlfn.XLOOKUP(D1444,beans!$A$2:$A$300,beans!$L$2:$L$300,"")),IF(_xlpm.x=" /  - ","",_xlpm.x))</f>
        <v/>
      </c>
    </row>
    <row r="1445" spans="1:35" x14ac:dyDescent="0.3">
      <c r="A1445">
        <v>1428</v>
      </c>
      <c r="E1445" t="str">
        <f>_xlfn.LET(_xlpm.x,_xlfn.XLOOKUP(D1445,beans!$A$2:$A$300,beans!$H$2:$H$300,""),IF(_xlpm.x="","",_xlpm.x))</f>
        <v/>
      </c>
      <c r="F1445" s="22" t="str">
        <f>_xlfn.XLOOKUP(E1445,menu!$A$2:$A$37,menu!$B$2:$B$37,"")</f>
        <v/>
      </c>
      <c r="G1445" t="str">
        <f>_xlfn.XLOOKUP(E1445,menu!$A$2:$A$37,menu!$C$2:$C$37,"")</f>
        <v/>
      </c>
      <c r="H1445" t="str">
        <f>_xlfn.LET(_xlpm.x,_xlfn.XLOOKUP(_xlfn.XLOOKUP(D1445,beans!$A$2:$A$300,beans!$I$2:$I$300),menu!$E$2:$E$20,menu!$F$2:$F$20),IF(_xlpm.x="","",_xlpm.x))</f>
        <v/>
      </c>
      <c r="T1445" s="68" t="str">
        <f t="shared" si="152"/>
        <v/>
      </c>
      <c r="U1445" t="str">
        <f t="shared" si="148"/>
        <v/>
      </c>
      <c r="V1445">
        <f t="shared" si="153"/>
        <v>0</v>
      </c>
      <c r="W1445" t="str">
        <f t="shared" si="149"/>
        <v/>
      </c>
      <c r="AB1445" s="28" t="str">
        <f t="shared" si="150"/>
        <v xml:space="preserve"> </v>
      </c>
      <c r="AE1445" s="61" t="str">
        <f t="shared" si="151"/>
        <v/>
      </c>
      <c r="AF1445" s="77" t="str">
        <f>_xlfn.XLOOKUP(AD1445,menu!$K$2:$K$9,menu!$J$2:$J$9,"",1)</f>
        <v/>
      </c>
      <c r="AG1445" s="80" t="str">
        <f>_xlfn.XLOOKUP(AH1445,menu!$O$2:$O$9,menu!$H$2:$H$9,"")</f>
        <v/>
      </c>
      <c r="AI1445" t="str">
        <f>_xlfn.LET(_xlpm.x,_xlfn.CONCAT(_xlfn.XLOOKUP(D1445,beans!$A$2:$A$300,beans!$J$2:$J$300,"")," / ",_xlfn.XLOOKUP(D1445,beans!$A$2:$A$300,beans!$K$2:$K$300,"")," - ",_xlfn.XLOOKUP(D1445,beans!$A$2:$A$300,beans!$L$2:$L$300,"")),IF(_xlpm.x=" /  - ","",_xlpm.x))</f>
        <v/>
      </c>
    </row>
    <row r="1446" spans="1:35" x14ac:dyDescent="0.3">
      <c r="A1446">
        <v>1429</v>
      </c>
      <c r="E1446" t="str">
        <f>_xlfn.LET(_xlpm.x,_xlfn.XLOOKUP(D1446,beans!$A$2:$A$300,beans!$H$2:$H$300,""),IF(_xlpm.x="","",_xlpm.x))</f>
        <v/>
      </c>
      <c r="F1446" s="22" t="str">
        <f>_xlfn.XLOOKUP(E1446,menu!$A$2:$A$37,menu!$B$2:$B$37,"")</f>
        <v/>
      </c>
      <c r="G1446" t="str">
        <f>_xlfn.XLOOKUP(E1446,menu!$A$2:$A$37,menu!$C$2:$C$37,"")</f>
        <v/>
      </c>
      <c r="H1446" t="str">
        <f>_xlfn.LET(_xlpm.x,_xlfn.XLOOKUP(_xlfn.XLOOKUP(D1446,beans!$A$2:$A$300,beans!$I$2:$I$300),menu!$E$2:$E$20,menu!$F$2:$F$20),IF(_xlpm.x="","",_xlpm.x))</f>
        <v/>
      </c>
      <c r="T1446" s="68" t="str">
        <f t="shared" si="152"/>
        <v/>
      </c>
      <c r="U1446" t="str">
        <f t="shared" si="148"/>
        <v/>
      </c>
      <c r="V1446">
        <f t="shared" si="153"/>
        <v>0</v>
      </c>
      <c r="W1446" t="str">
        <f t="shared" si="149"/>
        <v/>
      </c>
      <c r="AB1446" s="28" t="str">
        <f t="shared" si="150"/>
        <v xml:space="preserve"> </v>
      </c>
      <c r="AE1446" s="61" t="str">
        <f t="shared" si="151"/>
        <v/>
      </c>
      <c r="AF1446" s="77" t="str">
        <f>_xlfn.XLOOKUP(AD1446,menu!$K$2:$K$9,menu!$J$2:$J$9,"",1)</f>
        <v/>
      </c>
      <c r="AG1446" s="80" t="str">
        <f>_xlfn.XLOOKUP(AH1446,menu!$O$2:$O$9,menu!$H$2:$H$9,"")</f>
        <v/>
      </c>
      <c r="AI1446" t="str">
        <f>_xlfn.LET(_xlpm.x,_xlfn.CONCAT(_xlfn.XLOOKUP(D1446,beans!$A$2:$A$300,beans!$J$2:$J$300,"")," / ",_xlfn.XLOOKUP(D1446,beans!$A$2:$A$300,beans!$K$2:$K$300,"")," - ",_xlfn.XLOOKUP(D1446,beans!$A$2:$A$300,beans!$L$2:$L$300,"")),IF(_xlpm.x=" /  - ","",_xlpm.x))</f>
        <v/>
      </c>
    </row>
    <row r="1447" spans="1:35" x14ac:dyDescent="0.3">
      <c r="A1447">
        <v>1430</v>
      </c>
      <c r="E1447" t="str">
        <f>_xlfn.LET(_xlpm.x,_xlfn.XLOOKUP(D1447,beans!$A$2:$A$300,beans!$H$2:$H$300,""),IF(_xlpm.x="","",_xlpm.x))</f>
        <v/>
      </c>
      <c r="F1447" s="22" t="str">
        <f>_xlfn.XLOOKUP(E1447,menu!$A$2:$A$37,menu!$B$2:$B$37,"")</f>
        <v/>
      </c>
      <c r="G1447" t="str">
        <f>_xlfn.XLOOKUP(E1447,menu!$A$2:$A$37,menu!$C$2:$C$37,"")</f>
        <v/>
      </c>
      <c r="H1447" t="str">
        <f>_xlfn.LET(_xlpm.x,_xlfn.XLOOKUP(_xlfn.XLOOKUP(D1447,beans!$A$2:$A$300,beans!$I$2:$I$300),menu!$E$2:$E$20,menu!$F$2:$F$20),IF(_xlpm.x="","",_xlpm.x))</f>
        <v/>
      </c>
      <c r="T1447" s="68" t="str">
        <f t="shared" si="152"/>
        <v/>
      </c>
      <c r="U1447" t="str">
        <f t="shared" si="148"/>
        <v/>
      </c>
      <c r="V1447">
        <f t="shared" si="153"/>
        <v>0</v>
      </c>
      <c r="W1447" t="str">
        <f t="shared" si="149"/>
        <v/>
      </c>
      <c r="AB1447" s="28" t="str">
        <f t="shared" si="150"/>
        <v xml:space="preserve"> </v>
      </c>
      <c r="AE1447" s="61" t="str">
        <f t="shared" si="151"/>
        <v/>
      </c>
      <c r="AF1447" s="77" t="str">
        <f>_xlfn.XLOOKUP(AD1447,menu!$K$2:$K$9,menu!$J$2:$J$9,"",1)</f>
        <v/>
      </c>
      <c r="AG1447" s="80" t="str">
        <f>_xlfn.XLOOKUP(AH1447,menu!$O$2:$O$9,menu!$H$2:$H$9,"")</f>
        <v/>
      </c>
      <c r="AI1447" t="str">
        <f>_xlfn.LET(_xlpm.x,_xlfn.CONCAT(_xlfn.XLOOKUP(D1447,beans!$A$2:$A$300,beans!$J$2:$J$300,"")," / ",_xlfn.XLOOKUP(D1447,beans!$A$2:$A$300,beans!$K$2:$K$300,"")," - ",_xlfn.XLOOKUP(D1447,beans!$A$2:$A$300,beans!$L$2:$L$300,"")),IF(_xlpm.x=" /  - ","",_xlpm.x))</f>
        <v/>
      </c>
    </row>
    <row r="1448" spans="1:35" x14ac:dyDescent="0.3">
      <c r="A1448">
        <v>1431</v>
      </c>
      <c r="E1448" t="str">
        <f>_xlfn.LET(_xlpm.x,_xlfn.XLOOKUP(D1448,beans!$A$2:$A$300,beans!$H$2:$H$300,""),IF(_xlpm.x="","",_xlpm.x))</f>
        <v/>
      </c>
      <c r="F1448" s="22" t="str">
        <f>_xlfn.XLOOKUP(E1448,menu!$A$2:$A$37,menu!$B$2:$B$37,"")</f>
        <v/>
      </c>
      <c r="G1448" t="str">
        <f>_xlfn.XLOOKUP(E1448,menu!$A$2:$A$37,menu!$C$2:$C$37,"")</f>
        <v/>
      </c>
      <c r="H1448" t="str">
        <f>_xlfn.LET(_xlpm.x,_xlfn.XLOOKUP(_xlfn.XLOOKUP(D1448,beans!$A$2:$A$300,beans!$I$2:$I$300),menu!$E$2:$E$20,menu!$F$2:$F$20),IF(_xlpm.x="","",_xlpm.x))</f>
        <v/>
      </c>
      <c r="T1448" s="68" t="str">
        <f t="shared" si="152"/>
        <v/>
      </c>
      <c r="U1448" t="str">
        <f t="shared" si="148"/>
        <v/>
      </c>
      <c r="V1448">
        <f t="shared" si="153"/>
        <v>0</v>
      </c>
      <c r="W1448" t="str">
        <f t="shared" si="149"/>
        <v/>
      </c>
      <c r="AB1448" s="28" t="str">
        <f t="shared" si="150"/>
        <v xml:space="preserve"> </v>
      </c>
      <c r="AE1448" s="61" t="str">
        <f t="shared" si="151"/>
        <v/>
      </c>
      <c r="AF1448" s="77" t="str">
        <f>_xlfn.XLOOKUP(AD1448,menu!$K$2:$K$9,menu!$J$2:$J$9,"",1)</f>
        <v/>
      </c>
      <c r="AG1448" s="80" t="str">
        <f>_xlfn.XLOOKUP(AH1448,menu!$O$2:$O$9,menu!$H$2:$H$9,"")</f>
        <v/>
      </c>
      <c r="AI1448" t="str">
        <f>_xlfn.LET(_xlpm.x,_xlfn.CONCAT(_xlfn.XLOOKUP(D1448,beans!$A$2:$A$300,beans!$J$2:$J$300,"")," / ",_xlfn.XLOOKUP(D1448,beans!$A$2:$A$300,beans!$K$2:$K$300,"")," - ",_xlfn.XLOOKUP(D1448,beans!$A$2:$A$300,beans!$L$2:$L$300,"")),IF(_xlpm.x=" /  - ","",_xlpm.x))</f>
        <v/>
      </c>
    </row>
    <row r="1449" spans="1:35" x14ac:dyDescent="0.3">
      <c r="A1449">
        <v>1432</v>
      </c>
      <c r="E1449" t="str">
        <f>_xlfn.LET(_xlpm.x,_xlfn.XLOOKUP(D1449,beans!$A$2:$A$300,beans!$H$2:$H$300,""),IF(_xlpm.x="","",_xlpm.x))</f>
        <v/>
      </c>
      <c r="F1449" s="22" t="str">
        <f>_xlfn.XLOOKUP(E1449,menu!$A$2:$A$37,menu!$B$2:$B$37,"")</f>
        <v/>
      </c>
      <c r="G1449" t="str">
        <f>_xlfn.XLOOKUP(E1449,menu!$A$2:$A$37,menu!$C$2:$C$37,"")</f>
        <v/>
      </c>
      <c r="H1449" t="str">
        <f>_xlfn.LET(_xlpm.x,_xlfn.XLOOKUP(_xlfn.XLOOKUP(D1449,beans!$A$2:$A$300,beans!$I$2:$I$300),menu!$E$2:$E$20,menu!$F$2:$F$20),IF(_xlpm.x="","",_xlpm.x))</f>
        <v/>
      </c>
      <c r="T1449" s="68" t="str">
        <f t="shared" si="152"/>
        <v/>
      </c>
      <c r="U1449" t="str">
        <f t="shared" si="148"/>
        <v/>
      </c>
      <c r="V1449">
        <f t="shared" si="153"/>
        <v>0</v>
      </c>
      <c r="W1449" t="str">
        <f t="shared" si="149"/>
        <v/>
      </c>
      <c r="AB1449" s="28" t="str">
        <f t="shared" si="150"/>
        <v xml:space="preserve"> </v>
      </c>
      <c r="AE1449" s="61" t="str">
        <f t="shared" si="151"/>
        <v/>
      </c>
      <c r="AF1449" s="77" t="str">
        <f>_xlfn.XLOOKUP(AD1449,menu!$K$2:$K$9,menu!$J$2:$J$9,"",1)</f>
        <v/>
      </c>
      <c r="AG1449" s="80" t="str">
        <f>_xlfn.XLOOKUP(AH1449,menu!$O$2:$O$9,menu!$H$2:$H$9,"")</f>
        <v/>
      </c>
      <c r="AI1449" t="str">
        <f>_xlfn.LET(_xlpm.x,_xlfn.CONCAT(_xlfn.XLOOKUP(D1449,beans!$A$2:$A$300,beans!$J$2:$J$300,"")," / ",_xlfn.XLOOKUP(D1449,beans!$A$2:$A$300,beans!$K$2:$K$300,"")," - ",_xlfn.XLOOKUP(D1449,beans!$A$2:$A$300,beans!$L$2:$L$300,"")),IF(_xlpm.x=" /  - ","",_xlpm.x))</f>
        <v/>
      </c>
    </row>
    <row r="1450" spans="1:35" x14ac:dyDescent="0.3">
      <c r="A1450">
        <v>1433</v>
      </c>
      <c r="E1450" t="str">
        <f>_xlfn.LET(_xlpm.x,_xlfn.XLOOKUP(D1450,beans!$A$2:$A$300,beans!$H$2:$H$300,""),IF(_xlpm.x="","",_xlpm.x))</f>
        <v/>
      </c>
      <c r="F1450" s="22" t="str">
        <f>_xlfn.XLOOKUP(E1450,menu!$A$2:$A$37,menu!$B$2:$B$37,"")</f>
        <v/>
      </c>
      <c r="G1450" t="str">
        <f>_xlfn.XLOOKUP(E1450,menu!$A$2:$A$37,menu!$C$2:$C$37,"")</f>
        <v/>
      </c>
      <c r="H1450" t="str">
        <f>_xlfn.LET(_xlpm.x,_xlfn.XLOOKUP(_xlfn.XLOOKUP(D1450,beans!$A$2:$A$300,beans!$I$2:$I$300),menu!$E$2:$E$20,menu!$F$2:$F$20),IF(_xlpm.x="","",_xlpm.x))</f>
        <v/>
      </c>
      <c r="T1450" s="68" t="str">
        <f t="shared" si="152"/>
        <v/>
      </c>
      <c r="U1450" t="str">
        <f t="shared" si="148"/>
        <v/>
      </c>
      <c r="V1450">
        <f t="shared" si="153"/>
        <v>0</v>
      </c>
      <c r="W1450" t="str">
        <f t="shared" si="149"/>
        <v/>
      </c>
      <c r="AB1450" s="28" t="str">
        <f t="shared" si="150"/>
        <v xml:space="preserve"> </v>
      </c>
      <c r="AE1450" s="61" t="str">
        <f t="shared" si="151"/>
        <v/>
      </c>
      <c r="AF1450" s="77" t="str">
        <f>_xlfn.XLOOKUP(AD1450,menu!$K$2:$K$9,menu!$J$2:$J$9,"",1)</f>
        <v/>
      </c>
      <c r="AG1450" s="80" t="str">
        <f>_xlfn.XLOOKUP(AH1450,menu!$O$2:$O$9,menu!$H$2:$H$9,"")</f>
        <v/>
      </c>
      <c r="AI1450" t="str">
        <f>_xlfn.LET(_xlpm.x,_xlfn.CONCAT(_xlfn.XLOOKUP(D1450,beans!$A$2:$A$300,beans!$J$2:$J$300,"")," / ",_xlfn.XLOOKUP(D1450,beans!$A$2:$A$300,beans!$K$2:$K$300,"")," - ",_xlfn.XLOOKUP(D1450,beans!$A$2:$A$300,beans!$L$2:$L$300,"")),IF(_xlpm.x=" /  - ","",_xlpm.x))</f>
        <v/>
      </c>
    </row>
    <row r="1451" spans="1:35" x14ac:dyDescent="0.3">
      <c r="A1451">
        <v>1434</v>
      </c>
      <c r="E1451" t="str">
        <f>_xlfn.LET(_xlpm.x,_xlfn.XLOOKUP(D1451,beans!$A$2:$A$300,beans!$H$2:$H$300,""),IF(_xlpm.x="","",_xlpm.x))</f>
        <v/>
      </c>
      <c r="F1451" s="22" t="str">
        <f>_xlfn.XLOOKUP(E1451,menu!$A$2:$A$37,menu!$B$2:$B$37,"")</f>
        <v/>
      </c>
      <c r="G1451" t="str">
        <f>_xlfn.XLOOKUP(E1451,menu!$A$2:$A$37,menu!$C$2:$C$37,"")</f>
        <v/>
      </c>
      <c r="H1451" t="str">
        <f>_xlfn.LET(_xlpm.x,_xlfn.XLOOKUP(_xlfn.XLOOKUP(D1451,beans!$A$2:$A$300,beans!$I$2:$I$300),menu!$E$2:$E$20,menu!$F$2:$F$20),IF(_xlpm.x="","",_xlpm.x))</f>
        <v/>
      </c>
      <c r="T1451" s="68" t="str">
        <f t="shared" si="152"/>
        <v/>
      </c>
      <c r="U1451" t="str">
        <f t="shared" si="148"/>
        <v/>
      </c>
      <c r="V1451">
        <f t="shared" si="153"/>
        <v>0</v>
      </c>
      <c r="W1451" t="str">
        <f t="shared" si="149"/>
        <v/>
      </c>
      <c r="AB1451" s="28" t="str">
        <f t="shared" si="150"/>
        <v xml:space="preserve"> </v>
      </c>
      <c r="AE1451" s="61" t="str">
        <f t="shared" si="151"/>
        <v/>
      </c>
      <c r="AF1451" s="77" t="str">
        <f>_xlfn.XLOOKUP(AD1451,menu!$K$2:$K$9,menu!$J$2:$J$9,"",1)</f>
        <v/>
      </c>
      <c r="AG1451" s="80" t="str">
        <f>_xlfn.XLOOKUP(AH1451,menu!$O$2:$O$9,menu!$H$2:$H$9,"")</f>
        <v/>
      </c>
      <c r="AI1451" t="str">
        <f>_xlfn.LET(_xlpm.x,_xlfn.CONCAT(_xlfn.XLOOKUP(D1451,beans!$A$2:$A$300,beans!$J$2:$J$300,"")," / ",_xlfn.XLOOKUP(D1451,beans!$A$2:$A$300,beans!$K$2:$K$300,"")," - ",_xlfn.XLOOKUP(D1451,beans!$A$2:$A$300,beans!$L$2:$L$300,"")),IF(_xlpm.x=" /  - ","",_xlpm.x))</f>
        <v/>
      </c>
    </row>
    <row r="1452" spans="1:35" x14ac:dyDescent="0.3">
      <c r="A1452">
        <v>1435</v>
      </c>
      <c r="E1452" t="str">
        <f>_xlfn.LET(_xlpm.x,_xlfn.XLOOKUP(D1452,beans!$A$2:$A$300,beans!$H$2:$H$300,""),IF(_xlpm.x="","",_xlpm.x))</f>
        <v/>
      </c>
      <c r="F1452" s="22" t="str">
        <f>_xlfn.XLOOKUP(E1452,menu!$A$2:$A$37,menu!$B$2:$B$37,"")</f>
        <v/>
      </c>
      <c r="G1452" t="str">
        <f>_xlfn.XLOOKUP(E1452,menu!$A$2:$A$37,menu!$C$2:$C$37,"")</f>
        <v/>
      </c>
      <c r="H1452" t="str">
        <f>_xlfn.LET(_xlpm.x,_xlfn.XLOOKUP(_xlfn.XLOOKUP(D1452,beans!$A$2:$A$300,beans!$I$2:$I$300),menu!$E$2:$E$20,menu!$F$2:$F$20),IF(_xlpm.x="","",_xlpm.x))</f>
        <v/>
      </c>
      <c r="T1452" s="68" t="str">
        <f t="shared" si="152"/>
        <v/>
      </c>
      <c r="U1452" t="str">
        <f t="shared" si="148"/>
        <v/>
      </c>
      <c r="V1452">
        <f t="shared" si="153"/>
        <v>0</v>
      </c>
      <c r="W1452" t="str">
        <f t="shared" si="149"/>
        <v/>
      </c>
      <c r="AB1452" s="28" t="str">
        <f t="shared" si="150"/>
        <v xml:space="preserve"> </v>
      </c>
      <c r="AE1452" s="61" t="str">
        <f t="shared" si="151"/>
        <v/>
      </c>
      <c r="AF1452" s="77" t="str">
        <f>_xlfn.XLOOKUP(AD1452,menu!$K$2:$K$9,menu!$J$2:$J$9,"",1)</f>
        <v/>
      </c>
      <c r="AG1452" s="80" t="str">
        <f>_xlfn.XLOOKUP(AH1452,menu!$O$2:$O$9,menu!$H$2:$H$9,"")</f>
        <v/>
      </c>
      <c r="AI1452" t="str">
        <f>_xlfn.LET(_xlpm.x,_xlfn.CONCAT(_xlfn.XLOOKUP(D1452,beans!$A$2:$A$300,beans!$J$2:$J$300,"")," / ",_xlfn.XLOOKUP(D1452,beans!$A$2:$A$300,beans!$K$2:$K$300,"")," - ",_xlfn.XLOOKUP(D1452,beans!$A$2:$A$300,beans!$L$2:$L$300,"")),IF(_xlpm.x=" /  - ","",_xlpm.x))</f>
        <v/>
      </c>
    </row>
    <row r="1453" spans="1:35" x14ac:dyDescent="0.3">
      <c r="A1453">
        <v>1436</v>
      </c>
      <c r="E1453" t="str">
        <f>_xlfn.LET(_xlpm.x,_xlfn.XLOOKUP(D1453,beans!$A$2:$A$300,beans!$H$2:$H$300,""),IF(_xlpm.x="","",_xlpm.x))</f>
        <v/>
      </c>
      <c r="F1453" s="22" t="str">
        <f>_xlfn.XLOOKUP(E1453,menu!$A$2:$A$37,menu!$B$2:$B$37,"")</f>
        <v/>
      </c>
      <c r="G1453" t="str">
        <f>_xlfn.XLOOKUP(E1453,menu!$A$2:$A$37,menu!$C$2:$C$37,"")</f>
        <v/>
      </c>
      <c r="H1453" t="str">
        <f>_xlfn.LET(_xlpm.x,_xlfn.XLOOKUP(_xlfn.XLOOKUP(D1453,beans!$A$2:$A$300,beans!$I$2:$I$300),menu!$E$2:$E$20,menu!$F$2:$F$20),IF(_xlpm.x="","",_xlpm.x))</f>
        <v/>
      </c>
      <c r="T1453" s="68" t="str">
        <f t="shared" si="152"/>
        <v/>
      </c>
      <c r="U1453" t="str">
        <f t="shared" si="148"/>
        <v/>
      </c>
      <c r="V1453">
        <f t="shared" si="153"/>
        <v>0</v>
      </c>
      <c r="W1453" t="str">
        <f t="shared" si="149"/>
        <v/>
      </c>
      <c r="AB1453" s="28" t="str">
        <f t="shared" si="150"/>
        <v xml:space="preserve"> </v>
      </c>
      <c r="AE1453" s="61" t="str">
        <f t="shared" si="151"/>
        <v/>
      </c>
      <c r="AF1453" s="77" t="str">
        <f>_xlfn.XLOOKUP(AD1453,menu!$K$2:$K$9,menu!$J$2:$J$9,"",1)</f>
        <v/>
      </c>
      <c r="AG1453" s="80" t="str">
        <f>_xlfn.XLOOKUP(AH1453,menu!$O$2:$O$9,menu!$H$2:$H$9,"")</f>
        <v/>
      </c>
      <c r="AI1453" t="str">
        <f>_xlfn.LET(_xlpm.x,_xlfn.CONCAT(_xlfn.XLOOKUP(D1453,beans!$A$2:$A$300,beans!$J$2:$J$300,"")," / ",_xlfn.XLOOKUP(D1453,beans!$A$2:$A$300,beans!$K$2:$K$300,"")," - ",_xlfn.XLOOKUP(D1453,beans!$A$2:$A$300,beans!$L$2:$L$300,"")),IF(_xlpm.x=" /  - ","",_xlpm.x))</f>
        <v/>
      </c>
    </row>
    <row r="1454" spans="1:35" x14ac:dyDescent="0.3">
      <c r="A1454">
        <v>1437</v>
      </c>
      <c r="E1454" t="str">
        <f>_xlfn.LET(_xlpm.x,_xlfn.XLOOKUP(D1454,beans!$A$2:$A$300,beans!$H$2:$H$300,""),IF(_xlpm.x="","",_xlpm.x))</f>
        <v/>
      </c>
      <c r="F1454" s="22" t="str">
        <f>_xlfn.XLOOKUP(E1454,menu!$A$2:$A$37,menu!$B$2:$B$37,"")</f>
        <v/>
      </c>
      <c r="G1454" t="str">
        <f>_xlfn.XLOOKUP(E1454,menu!$A$2:$A$37,menu!$C$2:$C$37,"")</f>
        <v/>
      </c>
      <c r="H1454" t="str">
        <f>_xlfn.LET(_xlpm.x,_xlfn.XLOOKUP(_xlfn.XLOOKUP(D1454,beans!$A$2:$A$300,beans!$I$2:$I$300),menu!$E$2:$E$20,menu!$F$2:$F$20),IF(_xlpm.x="","",_xlpm.x))</f>
        <v/>
      </c>
      <c r="T1454" s="68" t="str">
        <f t="shared" si="152"/>
        <v/>
      </c>
      <c r="U1454" t="str">
        <f t="shared" si="148"/>
        <v/>
      </c>
      <c r="V1454">
        <f t="shared" si="153"/>
        <v>0</v>
      </c>
      <c r="W1454" t="str">
        <f t="shared" si="149"/>
        <v/>
      </c>
      <c r="AB1454" s="28" t="str">
        <f t="shared" si="150"/>
        <v xml:space="preserve"> </v>
      </c>
      <c r="AE1454" s="61" t="str">
        <f t="shared" si="151"/>
        <v/>
      </c>
      <c r="AF1454" s="77" t="str">
        <f>_xlfn.XLOOKUP(AD1454,menu!$K$2:$K$9,menu!$J$2:$J$9,"",1)</f>
        <v/>
      </c>
      <c r="AG1454" s="80" t="str">
        <f>_xlfn.XLOOKUP(AH1454,menu!$O$2:$O$9,menu!$H$2:$H$9,"")</f>
        <v/>
      </c>
      <c r="AI1454" t="str">
        <f>_xlfn.LET(_xlpm.x,_xlfn.CONCAT(_xlfn.XLOOKUP(D1454,beans!$A$2:$A$300,beans!$J$2:$J$300,"")," / ",_xlfn.XLOOKUP(D1454,beans!$A$2:$A$300,beans!$K$2:$K$300,"")," - ",_xlfn.XLOOKUP(D1454,beans!$A$2:$A$300,beans!$L$2:$L$300,"")),IF(_xlpm.x=" /  - ","",_xlpm.x))</f>
        <v/>
      </c>
    </row>
    <row r="1455" spans="1:35" x14ac:dyDescent="0.3">
      <c r="A1455">
        <v>1438</v>
      </c>
      <c r="E1455" t="str">
        <f>_xlfn.LET(_xlpm.x,_xlfn.XLOOKUP(D1455,beans!$A$2:$A$300,beans!$H$2:$H$300,""),IF(_xlpm.x="","",_xlpm.x))</f>
        <v/>
      </c>
      <c r="F1455" s="22" t="str">
        <f>_xlfn.XLOOKUP(E1455,menu!$A$2:$A$37,menu!$B$2:$B$37,"")</f>
        <v/>
      </c>
      <c r="G1455" t="str">
        <f>_xlfn.XLOOKUP(E1455,menu!$A$2:$A$37,menu!$C$2:$C$37,"")</f>
        <v/>
      </c>
      <c r="H1455" t="str">
        <f>_xlfn.LET(_xlpm.x,_xlfn.XLOOKUP(_xlfn.XLOOKUP(D1455,beans!$A$2:$A$300,beans!$I$2:$I$300),menu!$E$2:$E$20,menu!$F$2:$F$20),IF(_xlpm.x="","",_xlpm.x))</f>
        <v/>
      </c>
      <c r="T1455" s="68" t="str">
        <f t="shared" si="152"/>
        <v/>
      </c>
      <c r="U1455" t="str">
        <f t="shared" si="148"/>
        <v/>
      </c>
      <c r="V1455">
        <f t="shared" si="153"/>
        <v>0</v>
      </c>
      <c r="W1455" t="str">
        <f t="shared" si="149"/>
        <v/>
      </c>
      <c r="AB1455" s="28" t="str">
        <f t="shared" si="150"/>
        <v xml:space="preserve"> </v>
      </c>
      <c r="AE1455" s="61" t="str">
        <f t="shared" si="151"/>
        <v/>
      </c>
      <c r="AF1455" s="77" t="str">
        <f>_xlfn.XLOOKUP(AD1455,menu!$K$2:$K$9,menu!$J$2:$J$9,"",1)</f>
        <v/>
      </c>
      <c r="AG1455" s="80" t="str">
        <f>_xlfn.XLOOKUP(AH1455,menu!$O$2:$O$9,menu!$H$2:$H$9,"")</f>
        <v/>
      </c>
      <c r="AI1455" t="str">
        <f>_xlfn.LET(_xlpm.x,_xlfn.CONCAT(_xlfn.XLOOKUP(D1455,beans!$A$2:$A$300,beans!$J$2:$J$300,"")," / ",_xlfn.XLOOKUP(D1455,beans!$A$2:$A$300,beans!$K$2:$K$300,"")," - ",_xlfn.XLOOKUP(D1455,beans!$A$2:$A$300,beans!$L$2:$L$300,"")),IF(_xlpm.x=" /  - ","",_xlpm.x))</f>
        <v/>
      </c>
    </row>
    <row r="1456" spans="1:35" x14ac:dyDescent="0.3">
      <c r="A1456">
        <v>1439</v>
      </c>
      <c r="E1456" t="str">
        <f>_xlfn.LET(_xlpm.x,_xlfn.XLOOKUP(D1456,beans!$A$2:$A$300,beans!$H$2:$H$300,""),IF(_xlpm.x="","",_xlpm.x))</f>
        <v/>
      </c>
      <c r="F1456" s="22" t="str">
        <f>_xlfn.XLOOKUP(E1456,menu!$A$2:$A$37,menu!$B$2:$B$37,"")</f>
        <v/>
      </c>
      <c r="G1456" t="str">
        <f>_xlfn.XLOOKUP(E1456,menu!$A$2:$A$37,menu!$C$2:$C$37,"")</f>
        <v/>
      </c>
      <c r="H1456" t="str">
        <f>_xlfn.LET(_xlpm.x,_xlfn.XLOOKUP(_xlfn.XLOOKUP(D1456,beans!$A$2:$A$300,beans!$I$2:$I$300),menu!$E$2:$E$20,menu!$F$2:$F$20),IF(_xlpm.x="","",_xlpm.x))</f>
        <v/>
      </c>
      <c r="T1456" s="68" t="str">
        <f t="shared" si="152"/>
        <v/>
      </c>
      <c r="U1456" t="str">
        <f t="shared" si="148"/>
        <v/>
      </c>
      <c r="V1456">
        <f t="shared" si="153"/>
        <v>0</v>
      </c>
      <c r="W1456" t="str">
        <f t="shared" si="149"/>
        <v/>
      </c>
      <c r="AB1456" s="28" t="str">
        <f t="shared" si="150"/>
        <v xml:space="preserve"> </v>
      </c>
      <c r="AE1456" s="61" t="str">
        <f t="shared" si="151"/>
        <v/>
      </c>
      <c r="AF1456" s="77" t="str">
        <f>_xlfn.XLOOKUP(AD1456,menu!$K$2:$K$9,menu!$J$2:$J$9,"",1)</f>
        <v/>
      </c>
      <c r="AG1456" s="80" t="str">
        <f>_xlfn.XLOOKUP(AH1456,menu!$O$2:$O$9,menu!$H$2:$H$9,"")</f>
        <v/>
      </c>
      <c r="AI1456" t="str">
        <f>_xlfn.LET(_xlpm.x,_xlfn.CONCAT(_xlfn.XLOOKUP(D1456,beans!$A$2:$A$300,beans!$J$2:$J$300,"")," / ",_xlfn.XLOOKUP(D1456,beans!$A$2:$A$300,beans!$K$2:$K$300,"")," - ",_xlfn.XLOOKUP(D1456,beans!$A$2:$A$300,beans!$L$2:$L$300,"")),IF(_xlpm.x=" /  - ","",_xlpm.x))</f>
        <v/>
      </c>
    </row>
    <row r="1457" spans="1:35" x14ac:dyDescent="0.3">
      <c r="A1457">
        <v>1440</v>
      </c>
      <c r="E1457" t="str">
        <f>_xlfn.LET(_xlpm.x,_xlfn.XLOOKUP(D1457,beans!$A$2:$A$300,beans!$H$2:$H$300,""),IF(_xlpm.x="","",_xlpm.x))</f>
        <v/>
      </c>
      <c r="F1457" s="22" t="str">
        <f>_xlfn.XLOOKUP(E1457,menu!$A$2:$A$37,menu!$B$2:$B$37,"")</f>
        <v/>
      </c>
      <c r="G1457" t="str">
        <f>_xlfn.XLOOKUP(E1457,menu!$A$2:$A$37,menu!$C$2:$C$37,"")</f>
        <v/>
      </c>
      <c r="H1457" t="str">
        <f>_xlfn.LET(_xlpm.x,_xlfn.XLOOKUP(_xlfn.XLOOKUP(D1457,beans!$A$2:$A$300,beans!$I$2:$I$300),menu!$E$2:$E$20,menu!$F$2:$F$20),IF(_xlpm.x="","",_xlpm.x))</f>
        <v/>
      </c>
      <c r="T1457" s="68" t="str">
        <f t="shared" si="152"/>
        <v/>
      </c>
      <c r="U1457" t="str">
        <f t="shared" si="148"/>
        <v/>
      </c>
      <c r="V1457">
        <f t="shared" si="153"/>
        <v>0</v>
      </c>
      <c r="W1457" t="str">
        <f t="shared" si="149"/>
        <v/>
      </c>
      <c r="AB1457" s="28" t="str">
        <f t="shared" si="150"/>
        <v xml:space="preserve"> </v>
      </c>
      <c r="AE1457" s="61" t="str">
        <f t="shared" si="151"/>
        <v/>
      </c>
      <c r="AF1457" s="77" t="str">
        <f>_xlfn.XLOOKUP(AD1457,menu!$K$2:$K$9,menu!$J$2:$J$9,"",1)</f>
        <v/>
      </c>
      <c r="AG1457" s="80" t="str">
        <f>_xlfn.XLOOKUP(AH1457,menu!$O$2:$O$9,menu!$H$2:$H$9,"")</f>
        <v/>
      </c>
      <c r="AI1457" t="str">
        <f>_xlfn.LET(_xlpm.x,_xlfn.CONCAT(_xlfn.XLOOKUP(D1457,beans!$A$2:$A$300,beans!$J$2:$J$300,"")," / ",_xlfn.XLOOKUP(D1457,beans!$A$2:$A$300,beans!$K$2:$K$300,"")," - ",_xlfn.XLOOKUP(D1457,beans!$A$2:$A$300,beans!$L$2:$L$300,"")),IF(_xlpm.x=" /  - ","",_xlpm.x))</f>
        <v/>
      </c>
    </row>
    <row r="1458" spans="1:35" x14ac:dyDescent="0.3">
      <c r="A1458">
        <v>1441</v>
      </c>
      <c r="E1458" t="str">
        <f>_xlfn.LET(_xlpm.x,_xlfn.XLOOKUP(D1458,beans!$A$2:$A$300,beans!$H$2:$H$300,""),IF(_xlpm.x="","",_xlpm.x))</f>
        <v/>
      </c>
      <c r="F1458" s="22" t="str">
        <f>_xlfn.XLOOKUP(E1458,menu!$A$2:$A$37,menu!$B$2:$B$37,"")</f>
        <v/>
      </c>
      <c r="G1458" t="str">
        <f>_xlfn.XLOOKUP(E1458,menu!$A$2:$A$37,menu!$C$2:$C$37,"")</f>
        <v/>
      </c>
      <c r="H1458" t="str">
        <f>_xlfn.LET(_xlpm.x,_xlfn.XLOOKUP(_xlfn.XLOOKUP(D1458,beans!$A$2:$A$300,beans!$I$2:$I$300),menu!$E$2:$E$20,menu!$F$2:$F$20),IF(_xlpm.x="","",_xlpm.x))</f>
        <v/>
      </c>
      <c r="T1458" s="68" t="str">
        <f t="shared" si="152"/>
        <v/>
      </c>
      <c r="U1458" t="str">
        <f t="shared" si="148"/>
        <v/>
      </c>
      <c r="V1458">
        <f t="shared" si="153"/>
        <v>0</v>
      </c>
      <c r="W1458" t="str">
        <f t="shared" si="149"/>
        <v/>
      </c>
      <c r="AB1458" s="28" t="str">
        <f t="shared" si="150"/>
        <v xml:space="preserve"> </v>
      </c>
      <c r="AE1458" s="61" t="str">
        <f t="shared" si="151"/>
        <v/>
      </c>
      <c r="AF1458" s="77" t="str">
        <f>_xlfn.XLOOKUP(AD1458,menu!$K$2:$K$9,menu!$J$2:$J$9,"",1)</f>
        <v/>
      </c>
      <c r="AG1458" s="80" t="str">
        <f>_xlfn.XLOOKUP(AH1458,menu!$O$2:$O$9,menu!$H$2:$H$9,"")</f>
        <v/>
      </c>
      <c r="AI1458" t="str">
        <f>_xlfn.LET(_xlpm.x,_xlfn.CONCAT(_xlfn.XLOOKUP(D1458,beans!$A$2:$A$300,beans!$J$2:$J$300,"")," / ",_xlfn.XLOOKUP(D1458,beans!$A$2:$A$300,beans!$K$2:$K$300,"")," - ",_xlfn.XLOOKUP(D1458,beans!$A$2:$A$300,beans!$L$2:$L$300,"")),IF(_xlpm.x=" /  - ","",_xlpm.x))</f>
        <v/>
      </c>
    </row>
    <row r="1459" spans="1:35" x14ac:dyDescent="0.3">
      <c r="A1459">
        <v>1442</v>
      </c>
      <c r="E1459" t="str">
        <f>_xlfn.LET(_xlpm.x,_xlfn.XLOOKUP(D1459,beans!$A$2:$A$300,beans!$H$2:$H$300,""),IF(_xlpm.x="","",_xlpm.x))</f>
        <v/>
      </c>
      <c r="F1459" s="22" t="str">
        <f>_xlfn.XLOOKUP(E1459,menu!$A$2:$A$37,menu!$B$2:$B$37,"")</f>
        <v/>
      </c>
      <c r="G1459" t="str">
        <f>_xlfn.XLOOKUP(E1459,menu!$A$2:$A$37,menu!$C$2:$C$37,"")</f>
        <v/>
      </c>
      <c r="H1459" t="str">
        <f>_xlfn.LET(_xlpm.x,_xlfn.XLOOKUP(_xlfn.XLOOKUP(D1459,beans!$A$2:$A$300,beans!$I$2:$I$300),menu!$E$2:$E$20,menu!$F$2:$F$20),IF(_xlpm.x="","",_xlpm.x))</f>
        <v/>
      </c>
      <c r="T1459" s="68" t="str">
        <f t="shared" si="152"/>
        <v/>
      </c>
      <c r="U1459" t="str">
        <f t="shared" si="148"/>
        <v/>
      </c>
      <c r="V1459">
        <f t="shared" si="153"/>
        <v>0</v>
      </c>
      <c r="W1459" t="str">
        <f t="shared" si="149"/>
        <v/>
      </c>
      <c r="AB1459" s="28" t="str">
        <f t="shared" si="150"/>
        <v xml:space="preserve"> </v>
      </c>
      <c r="AE1459" s="61" t="str">
        <f t="shared" si="151"/>
        <v/>
      </c>
      <c r="AF1459" s="77" t="str">
        <f>_xlfn.XLOOKUP(AD1459,menu!$K$2:$K$9,menu!$J$2:$J$9,"",1)</f>
        <v/>
      </c>
      <c r="AG1459" s="80" t="str">
        <f>_xlfn.XLOOKUP(AH1459,menu!$O$2:$O$9,menu!$H$2:$H$9,"")</f>
        <v/>
      </c>
      <c r="AI1459" t="str">
        <f>_xlfn.LET(_xlpm.x,_xlfn.CONCAT(_xlfn.XLOOKUP(D1459,beans!$A$2:$A$300,beans!$J$2:$J$300,"")," / ",_xlfn.XLOOKUP(D1459,beans!$A$2:$A$300,beans!$K$2:$K$300,"")," - ",_xlfn.XLOOKUP(D1459,beans!$A$2:$A$300,beans!$L$2:$L$300,"")),IF(_xlpm.x=" /  - ","",_xlpm.x))</f>
        <v/>
      </c>
    </row>
    <row r="1460" spans="1:35" x14ac:dyDescent="0.3">
      <c r="A1460">
        <v>1443</v>
      </c>
      <c r="E1460" t="str">
        <f>_xlfn.LET(_xlpm.x,_xlfn.XLOOKUP(D1460,beans!$A$2:$A$300,beans!$H$2:$H$300,""),IF(_xlpm.x="","",_xlpm.x))</f>
        <v/>
      </c>
      <c r="F1460" s="22" t="str">
        <f>_xlfn.XLOOKUP(E1460,menu!$A$2:$A$37,menu!$B$2:$B$37,"")</f>
        <v/>
      </c>
      <c r="G1460" t="str">
        <f>_xlfn.XLOOKUP(E1460,menu!$A$2:$A$37,menu!$C$2:$C$37,"")</f>
        <v/>
      </c>
      <c r="H1460" t="str">
        <f>_xlfn.LET(_xlpm.x,_xlfn.XLOOKUP(_xlfn.XLOOKUP(D1460,beans!$A$2:$A$300,beans!$I$2:$I$300),menu!$E$2:$E$20,menu!$F$2:$F$20),IF(_xlpm.x="","",_xlpm.x))</f>
        <v/>
      </c>
      <c r="T1460" s="68" t="str">
        <f t="shared" si="152"/>
        <v/>
      </c>
      <c r="U1460" t="str">
        <f t="shared" si="148"/>
        <v/>
      </c>
      <c r="V1460">
        <f t="shared" si="153"/>
        <v>0</v>
      </c>
      <c r="W1460" t="str">
        <f t="shared" si="149"/>
        <v/>
      </c>
      <c r="AB1460" s="28" t="str">
        <f t="shared" si="150"/>
        <v xml:space="preserve"> </v>
      </c>
      <c r="AE1460" s="61" t="str">
        <f t="shared" si="151"/>
        <v/>
      </c>
      <c r="AF1460" s="77" t="str">
        <f>_xlfn.XLOOKUP(AD1460,menu!$K$2:$K$9,menu!$J$2:$J$9,"",1)</f>
        <v/>
      </c>
      <c r="AG1460" s="80" t="str">
        <f>_xlfn.XLOOKUP(AH1460,menu!$O$2:$O$9,menu!$H$2:$H$9,"")</f>
        <v/>
      </c>
      <c r="AI1460" t="str">
        <f>_xlfn.LET(_xlpm.x,_xlfn.CONCAT(_xlfn.XLOOKUP(D1460,beans!$A$2:$A$300,beans!$J$2:$J$300,"")," / ",_xlfn.XLOOKUP(D1460,beans!$A$2:$A$300,beans!$K$2:$K$300,"")," - ",_xlfn.XLOOKUP(D1460,beans!$A$2:$A$300,beans!$L$2:$L$300,"")),IF(_xlpm.x=" /  - ","",_xlpm.x))</f>
        <v/>
      </c>
    </row>
    <row r="1461" spans="1:35" x14ac:dyDescent="0.3">
      <c r="A1461">
        <v>1444</v>
      </c>
      <c r="E1461" t="str">
        <f>_xlfn.LET(_xlpm.x,_xlfn.XLOOKUP(D1461,beans!$A$2:$A$300,beans!$H$2:$H$300,""),IF(_xlpm.x="","",_xlpm.x))</f>
        <v/>
      </c>
      <c r="F1461" s="22" t="str">
        <f>_xlfn.XLOOKUP(E1461,menu!$A$2:$A$37,menu!$B$2:$B$37,"")</f>
        <v/>
      </c>
      <c r="G1461" t="str">
        <f>_xlfn.XLOOKUP(E1461,menu!$A$2:$A$37,menu!$C$2:$C$37,"")</f>
        <v/>
      </c>
      <c r="H1461" t="str">
        <f>_xlfn.LET(_xlpm.x,_xlfn.XLOOKUP(_xlfn.XLOOKUP(D1461,beans!$A$2:$A$300,beans!$I$2:$I$300),menu!$E$2:$E$20,menu!$F$2:$F$20),IF(_xlpm.x="","",_xlpm.x))</f>
        <v/>
      </c>
      <c r="T1461" s="68" t="str">
        <f t="shared" si="152"/>
        <v/>
      </c>
      <c r="U1461" t="str">
        <f t="shared" si="148"/>
        <v/>
      </c>
      <c r="V1461">
        <f t="shared" si="153"/>
        <v>0</v>
      </c>
      <c r="W1461" t="str">
        <f t="shared" si="149"/>
        <v/>
      </c>
      <c r="AB1461" s="28" t="str">
        <f t="shared" si="150"/>
        <v xml:space="preserve"> </v>
      </c>
      <c r="AE1461" s="61" t="str">
        <f t="shared" si="151"/>
        <v/>
      </c>
      <c r="AF1461" s="77" t="str">
        <f>_xlfn.XLOOKUP(AD1461,menu!$K$2:$K$9,menu!$J$2:$J$9,"",1)</f>
        <v/>
      </c>
      <c r="AG1461" s="80" t="str">
        <f>_xlfn.XLOOKUP(AH1461,menu!$O$2:$O$9,menu!$H$2:$H$9,"")</f>
        <v/>
      </c>
      <c r="AI1461" t="str">
        <f>_xlfn.LET(_xlpm.x,_xlfn.CONCAT(_xlfn.XLOOKUP(D1461,beans!$A$2:$A$300,beans!$J$2:$J$300,"")," / ",_xlfn.XLOOKUP(D1461,beans!$A$2:$A$300,beans!$K$2:$K$300,"")," - ",_xlfn.XLOOKUP(D1461,beans!$A$2:$A$300,beans!$L$2:$L$300,"")),IF(_xlpm.x=" /  - ","",_xlpm.x))</f>
        <v/>
      </c>
    </row>
    <row r="1462" spans="1:35" x14ac:dyDescent="0.3">
      <c r="A1462">
        <v>1445</v>
      </c>
      <c r="E1462" t="str">
        <f>_xlfn.LET(_xlpm.x,_xlfn.XLOOKUP(D1462,beans!$A$2:$A$300,beans!$H$2:$H$300,""),IF(_xlpm.x="","",_xlpm.x))</f>
        <v/>
      </c>
      <c r="F1462" s="22" t="str">
        <f>_xlfn.XLOOKUP(E1462,menu!$A$2:$A$37,menu!$B$2:$B$37,"")</f>
        <v/>
      </c>
      <c r="G1462" t="str">
        <f>_xlfn.XLOOKUP(E1462,menu!$A$2:$A$37,menu!$C$2:$C$37,"")</f>
        <v/>
      </c>
      <c r="H1462" t="str">
        <f>_xlfn.LET(_xlpm.x,_xlfn.XLOOKUP(_xlfn.XLOOKUP(D1462,beans!$A$2:$A$300,beans!$I$2:$I$300),menu!$E$2:$E$20,menu!$F$2:$F$20),IF(_xlpm.x="","",_xlpm.x))</f>
        <v/>
      </c>
      <c r="T1462" s="68" t="str">
        <f t="shared" si="152"/>
        <v/>
      </c>
      <c r="U1462" t="str">
        <f t="shared" si="148"/>
        <v/>
      </c>
      <c r="V1462">
        <f t="shared" si="153"/>
        <v>0</v>
      </c>
      <c r="W1462" t="str">
        <f t="shared" si="149"/>
        <v/>
      </c>
      <c r="AB1462" s="28" t="str">
        <f t="shared" si="150"/>
        <v xml:space="preserve"> </v>
      </c>
      <c r="AE1462" s="61" t="str">
        <f t="shared" si="151"/>
        <v/>
      </c>
      <c r="AF1462" s="77" t="str">
        <f>_xlfn.XLOOKUP(AD1462,menu!$K$2:$K$9,menu!$J$2:$J$9,"",1)</f>
        <v/>
      </c>
      <c r="AG1462" s="80" t="str">
        <f>_xlfn.XLOOKUP(AH1462,menu!$O$2:$O$9,menu!$H$2:$H$9,"")</f>
        <v/>
      </c>
      <c r="AI1462" t="str">
        <f>_xlfn.LET(_xlpm.x,_xlfn.CONCAT(_xlfn.XLOOKUP(D1462,beans!$A$2:$A$300,beans!$J$2:$J$300,"")," / ",_xlfn.XLOOKUP(D1462,beans!$A$2:$A$300,beans!$K$2:$K$300,"")," - ",_xlfn.XLOOKUP(D1462,beans!$A$2:$A$300,beans!$L$2:$L$300,"")),IF(_xlpm.x=" /  - ","",_xlpm.x))</f>
        <v/>
      </c>
    </row>
    <row r="1463" spans="1:35" x14ac:dyDescent="0.3">
      <c r="A1463">
        <v>1446</v>
      </c>
      <c r="E1463" t="str">
        <f>_xlfn.LET(_xlpm.x,_xlfn.XLOOKUP(D1463,beans!$A$2:$A$300,beans!$H$2:$H$300,""),IF(_xlpm.x="","",_xlpm.x))</f>
        <v/>
      </c>
      <c r="F1463" s="22" t="str">
        <f>_xlfn.XLOOKUP(E1463,menu!$A$2:$A$37,menu!$B$2:$B$37,"")</f>
        <v/>
      </c>
      <c r="G1463" t="str">
        <f>_xlfn.XLOOKUP(E1463,menu!$A$2:$A$37,menu!$C$2:$C$37,"")</f>
        <v/>
      </c>
      <c r="H1463" t="str">
        <f>_xlfn.LET(_xlpm.x,_xlfn.XLOOKUP(_xlfn.XLOOKUP(D1463,beans!$A$2:$A$300,beans!$I$2:$I$300),menu!$E$2:$E$20,menu!$F$2:$F$20),IF(_xlpm.x="","",_xlpm.x))</f>
        <v/>
      </c>
      <c r="T1463" s="68" t="str">
        <f t="shared" si="152"/>
        <v/>
      </c>
      <c r="U1463" t="str">
        <f t="shared" si="148"/>
        <v/>
      </c>
      <c r="V1463">
        <f t="shared" si="153"/>
        <v>0</v>
      </c>
      <c r="W1463" t="str">
        <f t="shared" si="149"/>
        <v/>
      </c>
      <c r="AB1463" s="28" t="str">
        <f t="shared" si="150"/>
        <v xml:space="preserve"> </v>
      </c>
      <c r="AE1463" s="61" t="str">
        <f t="shared" si="151"/>
        <v/>
      </c>
      <c r="AF1463" s="77" t="str">
        <f>_xlfn.XLOOKUP(AD1463,menu!$K$2:$K$9,menu!$J$2:$J$9,"",1)</f>
        <v/>
      </c>
      <c r="AG1463" s="80" t="str">
        <f>_xlfn.XLOOKUP(AH1463,menu!$O$2:$O$9,menu!$H$2:$H$9,"")</f>
        <v/>
      </c>
      <c r="AI1463" t="str">
        <f>_xlfn.LET(_xlpm.x,_xlfn.CONCAT(_xlfn.XLOOKUP(D1463,beans!$A$2:$A$300,beans!$J$2:$J$300,"")," / ",_xlfn.XLOOKUP(D1463,beans!$A$2:$A$300,beans!$K$2:$K$300,"")," - ",_xlfn.XLOOKUP(D1463,beans!$A$2:$A$300,beans!$L$2:$L$300,"")),IF(_xlpm.x=" /  - ","",_xlpm.x))</f>
        <v/>
      </c>
    </row>
    <row r="1464" spans="1:35" x14ac:dyDescent="0.3">
      <c r="A1464">
        <v>1447</v>
      </c>
      <c r="E1464" t="str">
        <f>_xlfn.LET(_xlpm.x,_xlfn.XLOOKUP(D1464,beans!$A$2:$A$300,beans!$H$2:$H$300,""),IF(_xlpm.x="","",_xlpm.x))</f>
        <v/>
      </c>
      <c r="F1464" s="22" t="str">
        <f>_xlfn.XLOOKUP(E1464,menu!$A$2:$A$37,menu!$B$2:$B$37,"")</f>
        <v/>
      </c>
      <c r="G1464" t="str">
        <f>_xlfn.XLOOKUP(E1464,menu!$A$2:$A$37,menu!$C$2:$C$37,"")</f>
        <v/>
      </c>
      <c r="H1464" t="str">
        <f>_xlfn.LET(_xlpm.x,_xlfn.XLOOKUP(_xlfn.XLOOKUP(D1464,beans!$A$2:$A$300,beans!$I$2:$I$300),menu!$E$2:$E$20,menu!$F$2:$F$20),IF(_xlpm.x="","",_xlpm.x))</f>
        <v/>
      </c>
      <c r="T1464" s="68" t="str">
        <f t="shared" si="152"/>
        <v/>
      </c>
      <c r="U1464" t="str">
        <f t="shared" si="148"/>
        <v/>
      </c>
      <c r="V1464">
        <f t="shared" si="153"/>
        <v>0</v>
      </c>
      <c r="W1464" t="str">
        <f t="shared" si="149"/>
        <v/>
      </c>
      <c r="AB1464" s="28" t="str">
        <f t="shared" si="150"/>
        <v xml:space="preserve"> </v>
      </c>
      <c r="AE1464" s="61" t="str">
        <f t="shared" si="151"/>
        <v/>
      </c>
      <c r="AF1464" s="77" t="str">
        <f>_xlfn.XLOOKUP(AD1464,menu!$K$2:$K$9,menu!$J$2:$J$9,"",1)</f>
        <v/>
      </c>
      <c r="AG1464" s="80" t="str">
        <f>_xlfn.XLOOKUP(AH1464,menu!$O$2:$O$9,menu!$H$2:$H$9,"")</f>
        <v/>
      </c>
      <c r="AI1464" t="str">
        <f>_xlfn.LET(_xlpm.x,_xlfn.CONCAT(_xlfn.XLOOKUP(D1464,beans!$A$2:$A$300,beans!$J$2:$J$300,"")," / ",_xlfn.XLOOKUP(D1464,beans!$A$2:$A$300,beans!$K$2:$K$300,"")," - ",_xlfn.XLOOKUP(D1464,beans!$A$2:$A$300,beans!$L$2:$L$300,"")),IF(_xlpm.x=" /  - ","",_xlpm.x))</f>
        <v/>
      </c>
    </row>
    <row r="1465" spans="1:35" x14ac:dyDescent="0.3">
      <c r="A1465">
        <v>1448</v>
      </c>
      <c r="E1465" t="str">
        <f>_xlfn.LET(_xlpm.x,_xlfn.XLOOKUP(D1465,beans!$A$2:$A$300,beans!$H$2:$H$300,""),IF(_xlpm.x="","",_xlpm.x))</f>
        <v/>
      </c>
      <c r="F1465" s="22" t="str">
        <f>_xlfn.XLOOKUP(E1465,menu!$A$2:$A$37,menu!$B$2:$B$37,"")</f>
        <v/>
      </c>
      <c r="G1465" t="str">
        <f>_xlfn.XLOOKUP(E1465,menu!$A$2:$A$37,menu!$C$2:$C$37,"")</f>
        <v/>
      </c>
      <c r="H1465" t="str">
        <f>_xlfn.LET(_xlpm.x,_xlfn.XLOOKUP(_xlfn.XLOOKUP(D1465,beans!$A$2:$A$300,beans!$I$2:$I$300),menu!$E$2:$E$20,menu!$F$2:$F$20),IF(_xlpm.x="","",_xlpm.x))</f>
        <v/>
      </c>
      <c r="T1465" s="68" t="str">
        <f t="shared" si="152"/>
        <v/>
      </c>
      <c r="U1465" t="str">
        <f t="shared" si="148"/>
        <v/>
      </c>
      <c r="V1465">
        <f t="shared" si="153"/>
        <v>0</v>
      </c>
      <c r="W1465" t="str">
        <f t="shared" si="149"/>
        <v/>
      </c>
      <c r="AB1465" s="28" t="str">
        <f t="shared" si="150"/>
        <v xml:space="preserve"> </v>
      </c>
      <c r="AE1465" s="61" t="str">
        <f t="shared" si="151"/>
        <v/>
      </c>
      <c r="AF1465" s="77" t="str">
        <f>_xlfn.XLOOKUP(AD1465,menu!$K$2:$K$9,menu!$J$2:$J$9,"",1)</f>
        <v/>
      </c>
      <c r="AG1465" s="80" t="str">
        <f>_xlfn.XLOOKUP(AH1465,menu!$O$2:$O$9,menu!$H$2:$H$9,"")</f>
        <v/>
      </c>
      <c r="AI1465" t="str">
        <f>_xlfn.LET(_xlpm.x,_xlfn.CONCAT(_xlfn.XLOOKUP(D1465,beans!$A$2:$A$300,beans!$J$2:$J$300,"")," / ",_xlfn.XLOOKUP(D1465,beans!$A$2:$A$300,beans!$K$2:$K$300,"")," - ",_xlfn.XLOOKUP(D1465,beans!$A$2:$A$300,beans!$L$2:$L$300,"")),IF(_xlpm.x=" /  - ","",_xlpm.x))</f>
        <v/>
      </c>
    </row>
    <row r="1466" spans="1:35" x14ac:dyDescent="0.3">
      <c r="A1466">
        <v>1449</v>
      </c>
      <c r="E1466" t="str">
        <f>_xlfn.LET(_xlpm.x,_xlfn.XLOOKUP(D1466,beans!$A$2:$A$300,beans!$H$2:$H$300,""),IF(_xlpm.x="","",_xlpm.x))</f>
        <v/>
      </c>
      <c r="F1466" s="22" t="str">
        <f>_xlfn.XLOOKUP(E1466,menu!$A$2:$A$37,menu!$B$2:$B$37,"")</f>
        <v/>
      </c>
      <c r="G1466" t="str">
        <f>_xlfn.XLOOKUP(E1466,menu!$A$2:$A$37,menu!$C$2:$C$37,"")</f>
        <v/>
      </c>
      <c r="H1466" t="str">
        <f>_xlfn.LET(_xlpm.x,_xlfn.XLOOKUP(_xlfn.XLOOKUP(D1466,beans!$A$2:$A$300,beans!$I$2:$I$300),menu!$E$2:$E$20,menu!$F$2:$F$20),IF(_xlpm.x="","",_xlpm.x))</f>
        <v/>
      </c>
      <c r="T1466" s="68" t="str">
        <f t="shared" si="152"/>
        <v/>
      </c>
      <c r="U1466" t="str">
        <f t="shared" si="148"/>
        <v/>
      </c>
      <c r="V1466">
        <f t="shared" si="153"/>
        <v>0</v>
      </c>
      <c r="W1466" t="str">
        <f t="shared" si="149"/>
        <v/>
      </c>
      <c r="AB1466" s="28" t="str">
        <f t="shared" si="150"/>
        <v xml:space="preserve"> </v>
      </c>
      <c r="AE1466" s="61" t="str">
        <f t="shared" si="151"/>
        <v/>
      </c>
      <c r="AF1466" s="77" t="str">
        <f>_xlfn.XLOOKUP(AD1466,menu!$K$2:$K$9,menu!$J$2:$J$9,"",1)</f>
        <v/>
      </c>
      <c r="AG1466" s="80" t="str">
        <f>_xlfn.XLOOKUP(AH1466,menu!$O$2:$O$9,menu!$H$2:$H$9,"")</f>
        <v/>
      </c>
      <c r="AI1466" t="str">
        <f>_xlfn.LET(_xlpm.x,_xlfn.CONCAT(_xlfn.XLOOKUP(D1466,beans!$A$2:$A$300,beans!$J$2:$J$300,"")," / ",_xlfn.XLOOKUP(D1466,beans!$A$2:$A$300,beans!$K$2:$K$300,"")," - ",_xlfn.XLOOKUP(D1466,beans!$A$2:$A$300,beans!$L$2:$L$300,"")),IF(_xlpm.x=" /  - ","",_xlpm.x))</f>
        <v/>
      </c>
    </row>
    <row r="1467" spans="1:35" x14ac:dyDescent="0.3">
      <c r="A1467">
        <v>1450</v>
      </c>
      <c r="E1467" t="str">
        <f>_xlfn.LET(_xlpm.x,_xlfn.XLOOKUP(D1467,beans!$A$2:$A$300,beans!$H$2:$H$300,""),IF(_xlpm.x="","",_xlpm.x))</f>
        <v/>
      </c>
      <c r="F1467" s="22" t="str">
        <f>_xlfn.XLOOKUP(E1467,menu!$A$2:$A$37,menu!$B$2:$B$37,"")</f>
        <v/>
      </c>
      <c r="G1467" t="str">
        <f>_xlfn.XLOOKUP(E1467,menu!$A$2:$A$37,menu!$C$2:$C$37,"")</f>
        <v/>
      </c>
      <c r="H1467" t="str">
        <f>_xlfn.LET(_xlpm.x,_xlfn.XLOOKUP(_xlfn.XLOOKUP(D1467,beans!$A$2:$A$300,beans!$I$2:$I$300),menu!$E$2:$E$20,menu!$F$2:$F$20),IF(_xlpm.x="","",_xlpm.x))</f>
        <v/>
      </c>
      <c r="T1467" s="68" t="str">
        <f t="shared" si="152"/>
        <v/>
      </c>
      <c r="U1467" t="str">
        <f t="shared" si="148"/>
        <v/>
      </c>
      <c r="V1467">
        <f t="shared" si="153"/>
        <v>0</v>
      </c>
      <c r="W1467" t="str">
        <f t="shared" si="149"/>
        <v/>
      </c>
      <c r="AB1467" s="28" t="str">
        <f t="shared" si="150"/>
        <v xml:space="preserve"> </v>
      </c>
      <c r="AE1467" s="61" t="str">
        <f t="shared" si="151"/>
        <v/>
      </c>
      <c r="AF1467" s="77" t="str">
        <f>_xlfn.XLOOKUP(AD1467,menu!$K$2:$K$9,menu!$J$2:$J$9,"",1)</f>
        <v/>
      </c>
      <c r="AG1467" s="80" t="str">
        <f>_xlfn.XLOOKUP(AH1467,menu!$O$2:$O$9,menu!$H$2:$H$9,"")</f>
        <v/>
      </c>
      <c r="AI1467" t="str">
        <f>_xlfn.LET(_xlpm.x,_xlfn.CONCAT(_xlfn.XLOOKUP(D1467,beans!$A$2:$A$300,beans!$J$2:$J$300,"")," / ",_xlfn.XLOOKUP(D1467,beans!$A$2:$A$300,beans!$K$2:$K$300,"")," - ",_xlfn.XLOOKUP(D1467,beans!$A$2:$A$300,beans!$L$2:$L$300,"")),IF(_xlpm.x=" /  - ","",_xlpm.x))</f>
        <v/>
      </c>
    </row>
    <row r="1468" spans="1:35" x14ac:dyDescent="0.3">
      <c r="A1468">
        <v>1451</v>
      </c>
      <c r="E1468" t="str">
        <f>_xlfn.LET(_xlpm.x,_xlfn.XLOOKUP(D1468,beans!$A$2:$A$300,beans!$H$2:$H$300,""),IF(_xlpm.x="","",_xlpm.x))</f>
        <v/>
      </c>
      <c r="F1468" s="22" t="str">
        <f>_xlfn.XLOOKUP(E1468,menu!$A$2:$A$37,menu!$B$2:$B$37,"")</f>
        <v/>
      </c>
      <c r="G1468" t="str">
        <f>_xlfn.XLOOKUP(E1468,menu!$A$2:$A$37,menu!$C$2:$C$37,"")</f>
        <v/>
      </c>
      <c r="H1468" t="str">
        <f>_xlfn.LET(_xlpm.x,_xlfn.XLOOKUP(_xlfn.XLOOKUP(D1468,beans!$A$2:$A$300,beans!$I$2:$I$300),menu!$E$2:$E$20,menu!$F$2:$F$20),IF(_xlpm.x="","",_xlpm.x))</f>
        <v/>
      </c>
      <c r="T1468" s="68" t="str">
        <f t="shared" si="152"/>
        <v/>
      </c>
      <c r="U1468" t="str">
        <f t="shared" si="148"/>
        <v/>
      </c>
      <c r="V1468">
        <f t="shared" si="153"/>
        <v>0</v>
      </c>
      <c r="W1468" t="str">
        <f t="shared" si="149"/>
        <v/>
      </c>
      <c r="AB1468" s="28" t="str">
        <f t="shared" si="150"/>
        <v xml:space="preserve"> </v>
      </c>
      <c r="AE1468" s="61" t="str">
        <f t="shared" si="151"/>
        <v/>
      </c>
      <c r="AF1468" s="77" t="str">
        <f>_xlfn.XLOOKUP(AD1468,menu!$K$2:$K$9,menu!$J$2:$J$9,"",1)</f>
        <v/>
      </c>
      <c r="AG1468" s="80" t="str">
        <f>_xlfn.XLOOKUP(AH1468,menu!$O$2:$O$9,menu!$H$2:$H$9,"")</f>
        <v/>
      </c>
      <c r="AI1468" t="str">
        <f>_xlfn.LET(_xlpm.x,_xlfn.CONCAT(_xlfn.XLOOKUP(D1468,beans!$A$2:$A$300,beans!$J$2:$J$300,"")," / ",_xlfn.XLOOKUP(D1468,beans!$A$2:$A$300,beans!$K$2:$K$300,"")," - ",_xlfn.XLOOKUP(D1468,beans!$A$2:$A$300,beans!$L$2:$L$300,"")),IF(_xlpm.x=" /  - ","",_xlpm.x))</f>
        <v/>
      </c>
    </row>
    <row r="1469" spans="1:35" x14ac:dyDescent="0.3">
      <c r="A1469">
        <v>1452</v>
      </c>
      <c r="E1469" t="str">
        <f>_xlfn.LET(_xlpm.x,_xlfn.XLOOKUP(D1469,beans!$A$2:$A$300,beans!$H$2:$H$300,""),IF(_xlpm.x="","",_xlpm.x))</f>
        <v/>
      </c>
      <c r="F1469" s="22" t="str">
        <f>_xlfn.XLOOKUP(E1469,menu!$A$2:$A$37,menu!$B$2:$B$37,"")</f>
        <v/>
      </c>
      <c r="G1469" t="str">
        <f>_xlfn.XLOOKUP(E1469,menu!$A$2:$A$37,menu!$C$2:$C$37,"")</f>
        <v/>
      </c>
      <c r="H1469" t="str">
        <f>_xlfn.LET(_xlpm.x,_xlfn.XLOOKUP(_xlfn.XLOOKUP(D1469,beans!$A$2:$A$300,beans!$I$2:$I$300),menu!$E$2:$E$20,menu!$F$2:$F$20),IF(_xlpm.x="","",_xlpm.x))</f>
        <v/>
      </c>
      <c r="T1469" s="68" t="str">
        <f t="shared" si="152"/>
        <v/>
      </c>
      <c r="U1469" t="str">
        <f t="shared" si="148"/>
        <v/>
      </c>
      <c r="V1469">
        <f t="shared" si="153"/>
        <v>0</v>
      </c>
      <c r="W1469" t="str">
        <f t="shared" si="149"/>
        <v/>
      </c>
      <c r="AB1469" s="28" t="str">
        <f t="shared" si="150"/>
        <v xml:space="preserve"> </v>
      </c>
      <c r="AE1469" s="61" t="str">
        <f t="shared" si="151"/>
        <v/>
      </c>
      <c r="AF1469" s="77" t="str">
        <f>_xlfn.XLOOKUP(AD1469,menu!$K$2:$K$9,menu!$J$2:$J$9,"",1)</f>
        <v/>
      </c>
      <c r="AG1469" s="80" t="str">
        <f>_xlfn.XLOOKUP(AH1469,menu!$O$2:$O$9,menu!$H$2:$H$9,"")</f>
        <v/>
      </c>
      <c r="AI1469" t="str">
        <f>_xlfn.LET(_xlpm.x,_xlfn.CONCAT(_xlfn.XLOOKUP(D1469,beans!$A$2:$A$300,beans!$J$2:$J$300,"")," / ",_xlfn.XLOOKUP(D1469,beans!$A$2:$A$300,beans!$K$2:$K$300,"")," - ",_xlfn.XLOOKUP(D1469,beans!$A$2:$A$300,beans!$L$2:$L$300,"")),IF(_xlpm.x=" /  - ","",_xlpm.x))</f>
        <v/>
      </c>
    </row>
    <row r="1470" spans="1:35" x14ac:dyDescent="0.3">
      <c r="A1470">
        <v>1453</v>
      </c>
      <c r="E1470" t="str">
        <f>_xlfn.LET(_xlpm.x,_xlfn.XLOOKUP(D1470,beans!$A$2:$A$300,beans!$H$2:$H$300,""),IF(_xlpm.x="","",_xlpm.x))</f>
        <v/>
      </c>
      <c r="F1470" s="22" t="str">
        <f>_xlfn.XLOOKUP(E1470,menu!$A$2:$A$37,menu!$B$2:$B$37,"")</f>
        <v/>
      </c>
      <c r="G1470" t="str">
        <f>_xlfn.XLOOKUP(E1470,menu!$A$2:$A$37,menu!$C$2:$C$37,"")</f>
        <v/>
      </c>
      <c r="H1470" t="str">
        <f>_xlfn.LET(_xlpm.x,_xlfn.XLOOKUP(_xlfn.XLOOKUP(D1470,beans!$A$2:$A$300,beans!$I$2:$I$300),menu!$E$2:$E$20,menu!$F$2:$F$20),IF(_xlpm.x="","",_xlpm.x))</f>
        <v/>
      </c>
      <c r="T1470" s="68" t="str">
        <f t="shared" si="152"/>
        <v/>
      </c>
      <c r="U1470" t="str">
        <f t="shared" si="148"/>
        <v/>
      </c>
      <c r="V1470">
        <f t="shared" si="153"/>
        <v>0</v>
      </c>
      <c r="W1470" t="str">
        <f t="shared" si="149"/>
        <v/>
      </c>
      <c r="AB1470" s="28" t="str">
        <f t="shared" si="150"/>
        <v xml:space="preserve"> </v>
      </c>
      <c r="AE1470" s="61" t="str">
        <f t="shared" si="151"/>
        <v/>
      </c>
      <c r="AF1470" s="77" t="str">
        <f>_xlfn.XLOOKUP(AD1470,menu!$K$2:$K$9,menu!$J$2:$J$9,"",1)</f>
        <v/>
      </c>
      <c r="AG1470" s="80" t="str">
        <f>_xlfn.XLOOKUP(AH1470,menu!$O$2:$O$9,menu!$H$2:$H$9,"")</f>
        <v/>
      </c>
      <c r="AI1470" t="str">
        <f>_xlfn.LET(_xlpm.x,_xlfn.CONCAT(_xlfn.XLOOKUP(D1470,beans!$A$2:$A$300,beans!$J$2:$J$300,"")," / ",_xlfn.XLOOKUP(D1470,beans!$A$2:$A$300,beans!$K$2:$K$300,"")," - ",_xlfn.XLOOKUP(D1470,beans!$A$2:$A$300,beans!$L$2:$L$300,"")),IF(_xlpm.x=" /  - ","",_xlpm.x))</f>
        <v/>
      </c>
    </row>
    <row r="1471" spans="1:35" x14ac:dyDescent="0.3">
      <c r="A1471">
        <v>1454</v>
      </c>
      <c r="E1471" t="str">
        <f>_xlfn.LET(_xlpm.x,_xlfn.XLOOKUP(D1471,beans!$A$2:$A$300,beans!$H$2:$H$300,""),IF(_xlpm.x="","",_xlpm.x))</f>
        <v/>
      </c>
      <c r="F1471" s="22" t="str">
        <f>_xlfn.XLOOKUP(E1471,menu!$A$2:$A$37,menu!$B$2:$B$37,"")</f>
        <v/>
      </c>
      <c r="G1471" t="str">
        <f>_xlfn.XLOOKUP(E1471,menu!$A$2:$A$37,menu!$C$2:$C$37,"")</f>
        <v/>
      </c>
      <c r="H1471" t="str">
        <f>_xlfn.LET(_xlpm.x,_xlfn.XLOOKUP(_xlfn.XLOOKUP(D1471,beans!$A$2:$A$300,beans!$I$2:$I$300),menu!$E$2:$E$20,menu!$F$2:$F$20),IF(_xlpm.x="","",_xlpm.x))</f>
        <v/>
      </c>
      <c r="T1471" s="68" t="str">
        <f t="shared" si="152"/>
        <v/>
      </c>
      <c r="U1471" t="str">
        <f t="shared" si="148"/>
        <v/>
      </c>
      <c r="V1471">
        <f t="shared" si="153"/>
        <v>0</v>
      </c>
      <c r="W1471" t="str">
        <f t="shared" si="149"/>
        <v/>
      </c>
      <c r="AB1471" s="28" t="str">
        <f t="shared" si="150"/>
        <v xml:space="preserve"> </v>
      </c>
      <c r="AE1471" s="61" t="str">
        <f t="shared" si="151"/>
        <v/>
      </c>
      <c r="AF1471" s="77" t="str">
        <f>_xlfn.XLOOKUP(AD1471,menu!$K$2:$K$9,menu!$J$2:$J$9,"",1)</f>
        <v/>
      </c>
      <c r="AG1471" s="80" t="str">
        <f>_xlfn.XLOOKUP(AH1471,menu!$O$2:$O$9,menu!$H$2:$H$9,"")</f>
        <v/>
      </c>
      <c r="AI1471" t="str">
        <f>_xlfn.LET(_xlpm.x,_xlfn.CONCAT(_xlfn.XLOOKUP(D1471,beans!$A$2:$A$300,beans!$J$2:$J$300,"")," / ",_xlfn.XLOOKUP(D1471,beans!$A$2:$A$300,beans!$K$2:$K$300,"")," - ",_xlfn.XLOOKUP(D1471,beans!$A$2:$A$300,beans!$L$2:$L$300,"")),IF(_xlpm.x=" /  - ","",_xlpm.x))</f>
        <v/>
      </c>
    </row>
    <row r="1472" spans="1:35" x14ac:dyDescent="0.3">
      <c r="A1472">
        <v>1455</v>
      </c>
      <c r="E1472" t="str">
        <f>_xlfn.LET(_xlpm.x,_xlfn.XLOOKUP(D1472,beans!$A$2:$A$300,beans!$H$2:$H$300,""),IF(_xlpm.x="","",_xlpm.x))</f>
        <v/>
      </c>
      <c r="F1472" s="22" t="str">
        <f>_xlfn.XLOOKUP(E1472,menu!$A$2:$A$37,menu!$B$2:$B$37,"")</f>
        <v/>
      </c>
      <c r="G1472" t="str">
        <f>_xlfn.XLOOKUP(E1472,menu!$A$2:$A$37,menu!$C$2:$C$37,"")</f>
        <v/>
      </c>
      <c r="H1472" t="str">
        <f>_xlfn.LET(_xlpm.x,_xlfn.XLOOKUP(_xlfn.XLOOKUP(D1472,beans!$A$2:$A$300,beans!$I$2:$I$300),menu!$E$2:$E$20,menu!$F$2:$F$20),IF(_xlpm.x="","",_xlpm.x))</f>
        <v/>
      </c>
      <c r="T1472" s="68" t="str">
        <f t="shared" si="152"/>
        <v/>
      </c>
      <c r="U1472" t="str">
        <f t="shared" si="148"/>
        <v/>
      </c>
      <c r="V1472">
        <f t="shared" si="153"/>
        <v>0</v>
      </c>
      <c r="W1472" t="str">
        <f t="shared" si="149"/>
        <v/>
      </c>
      <c r="AB1472" s="28" t="str">
        <f t="shared" si="150"/>
        <v xml:space="preserve"> </v>
      </c>
      <c r="AE1472" s="61" t="str">
        <f t="shared" si="151"/>
        <v/>
      </c>
      <c r="AF1472" s="77" t="str">
        <f>_xlfn.XLOOKUP(AD1472,menu!$K$2:$K$9,menu!$J$2:$J$9,"",1)</f>
        <v/>
      </c>
      <c r="AG1472" s="80" t="str">
        <f>_xlfn.XLOOKUP(AH1472,menu!$O$2:$O$9,menu!$H$2:$H$9,"")</f>
        <v/>
      </c>
      <c r="AI1472" t="str">
        <f>_xlfn.LET(_xlpm.x,_xlfn.CONCAT(_xlfn.XLOOKUP(D1472,beans!$A$2:$A$300,beans!$J$2:$J$300,"")," / ",_xlfn.XLOOKUP(D1472,beans!$A$2:$A$300,beans!$K$2:$K$300,"")," - ",_xlfn.XLOOKUP(D1472,beans!$A$2:$A$300,beans!$L$2:$L$300,"")),IF(_xlpm.x=" /  - ","",_xlpm.x))</f>
        <v/>
      </c>
    </row>
    <row r="1473" spans="1:35" x14ac:dyDescent="0.3">
      <c r="A1473">
        <v>1456</v>
      </c>
      <c r="E1473" t="str">
        <f>_xlfn.LET(_xlpm.x,_xlfn.XLOOKUP(D1473,beans!$A$2:$A$300,beans!$H$2:$H$300,""),IF(_xlpm.x="","",_xlpm.x))</f>
        <v/>
      </c>
      <c r="F1473" s="22" t="str">
        <f>_xlfn.XLOOKUP(E1473,menu!$A$2:$A$37,menu!$B$2:$B$37,"")</f>
        <v/>
      </c>
      <c r="G1473" t="str">
        <f>_xlfn.XLOOKUP(E1473,menu!$A$2:$A$37,menu!$C$2:$C$37,"")</f>
        <v/>
      </c>
      <c r="H1473" t="str">
        <f>_xlfn.LET(_xlpm.x,_xlfn.XLOOKUP(_xlfn.XLOOKUP(D1473,beans!$A$2:$A$300,beans!$I$2:$I$300),menu!$E$2:$E$20,menu!$F$2:$F$20),IF(_xlpm.x="","",_xlpm.x))</f>
        <v/>
      </c>
      <c r="T1473" s="68" t="str">
        <f t="shared" si="152"/>
        <v/>
      </c>
      <c r="U1473" t="str">
        <f t="shared" si="148"/>
        <v/>
      </c>
      <c r="V1473">
        <f t="shared" si="153"/>
        <v>0</v>
      </c>
      <c r="W1473" t="str">
        <f t="shared" si="149"/>
        <v/>
      </c>
      <c r="AB1473" s="28" t="str">
        <f t="shared" si="150"/>
        <v xml:space="preserve"> </v>
      </c>
      <c r="AE1473" s="61" t="str">
        <f t="shared" si="151"/>
        <v/>
      </c>
      <c r="AF1473" s="77" t="str">
        <f>_xlfn.XLOOKUP(AD1473,menu!$K$2:$K$9,menu!$J$2:$J$9,"",1)</f>
        <v/>
      </c>
      <c r="AG1473" s="80" t="str">
        <f>_xlfn.XLOOKUP(AH1473,menu!$O$2:$O$9,menu!$H$2:$H$9,"")</f>
        <v/>
      </c>
      <c r="AI1473" t="str">
        <f>_xlfn.LET(_xlpm.x,_xlfn.CONCAT(_xlfn.XLOOKUP(D1473,beans!$A$2:$A$300,beans!$J$2:$J$300,"")," / ",_xlfn.XLOOKUP(D1473,beans!$A$2:$A$300,beans!$K$2:$K$300,"")," - ",_xlfn.XLOOKUP(D1473,beans!$A$2:$A$300,beans!$L$2:$L$300,"")),IF(_xlpm.x=" /  - ","",_xlpm.x))</f>
        <v/>
      </c>
    </row>
    <row r="1474" spans="1:35" x14ac:dyDescent="0.3">
      <c r="A1474">
        <v>1457</v>
      </c>
      <c r="E1474" t="str">
        <f>_xlfn.LET(_xlpm.x,_xlfn.XLOOKUP(D1474,beans!$A$2:$A$300,beans!$H$2:$H$300,""),IF(_xlpm.x="","",_xlpm.x))</f>
        <v/>
      </c>
      <c r="F1474" s="22" t="str">
        <f>_xlfn.XLOOKUP(E1474,menu!$A$2:$A$37,menu!$B$2:$B$37,"")</f>
        <v/>
      </c>
      <c r="G1474" t="str">
        <f>_xlfn.XLOOKUP(E1474,menu!$A$2:$A$37,menu!$C$2:$C$37,"")</f>
        <v/>
      </c>
      <c r="H1474" t="str">
        <f>_xlfn.LET(_xlpm.x,_xlfn.XLOOKUP(_xlfn.XLOOKUP(D1474,beans!$A$2:$A$300,beans!$I$2:$I$300),menu!$E$2:$E$20,menu!$F$2:$F$20),IF(_xlpm.x="","",_xlpm.x))</f>
        <v/>
      </c>
      <c r="T1474" s="68" t="str">
        <f t="shared" si="152"/>
        <v/>
      </c>
      <c r="U1474" t="str">
        <f t="shared" ref="U1474:U1501" si="154">_xlfn.LET(_xlpm.x,(TIMEVALUE("0:"&amp;SUBSTITUTE(R1474,"'",":"))-TIMEVALUE("0:"&amp;SUBSTITUTE(P1474,"'",":")))*86400,IF(_xlpm.x=0,"",ROUND(_xlpm.x,2)))</f>
        <v/>
      </c>
      <c r="V1474">
        <f t="shared" si="153"/>
        <v>0</v>
      </c>
      <c r="W1474" t="str">
        <f t="shared" ref="W1474:W1501" si="155">_xlfn.LET(_xlpm.x,(TIMEVALUE("0:"&amp;SUBSTITUTE(R1474,"'",":"))-TIMEVALUE("0:"&amp;SUBSTITUTE(P1474,"'",":")))*86400,IF(_xlpm.x=0,"",ROUND(_xlpm.x/((TIMEVALUE("0:"&amp;SUBSTITUTE(R1474,"'",":"))-TIMEVALUE("0:0:0"))*864),2)))</f>
        <v/>
      </c>
      <c r="AB1474" s="28" t="str">
        <f t="shared" ref="AB1474:AB1501" si="156">IF(Y1474 &gt; 0,(B1474-Y1474)/B1474," ")</f>
        <v xml:space="preserve"> </v>
      </c>
      <c r="AE1474" s="61" t="str">
        <f t="shared" ref="AE1474:AE1501" si="157">_xlfn.LET(_xlpm.x,AD1474-AC1474,IF(_xlpm.x=0,"",_xlpm.x))</f>
        <v/>
      </c>
      <c r="AF1474" s="77" t="str">
        <f>_xlfn.XLOOKUP(AD1474,menu!$K$2:$K$9,menu!$J$2:$J$9,"",1)</f>
        <v/>
      </c>
      <c r="AG1474" s="80" t="str">
        <f>_xlfn.XLOOKUP(AH1474,menu!$O$2:$O$9,menu!$H$2:$H$9,"")</f>
        <v/>
      </c>
      <c r="AI1474" t="str">
        <f>_xlfn.LET(_xlpm.x,_xlfn.CONCAT(_xlfn.XLOOKUP(D1474,beans!$A$2:$A$300,beans!$J$2:$J$300,"")," / ",_xlfn.XLOOKUP(D1474,beans!$A$2:$A$300,beans!$K$2:$K$300,"")," - ",_xlfn.XLOOKUP(D1474,beans!$A$2:$A$300,beans!$L$2:$L$300,"")),IF(_xlpm.x=" /  - ","",_xlpm.x))</f>
        <v/>
      </c>
    </row>
    <row r="1475" spans="1:35" x14ac:dyDescent="0.3">
      <c r="A1475">
        <v>1458</v>
      </c>
      <c r="E1475" t="str">
        <f>_xlfn.LET(_xlpm.x,_xlfn.XLOOKUP(D1475,beans!$A$2:$A$300,beans!$H$2:$H$300,""),IF(_xlpm.x="","",_xlpm.x))</f>
        <v/>
      </c>
      <c r="F1475" s="22" t="str">
        <f>_xlfn.XLOOKUP(E1475,menu!$A$2:$A$37,menu!$B$2:$B$37,"")</f>
        <v/>
      </c>
      <c r="G1475" t="str">
        <f>_xlfn.XLOOKUP(E1475,menu!$A$2:$A$37,menu!$C$2:$C$37,"")</f>
        <v/>
      </c>
      <c r="H1475" t="str">
        <f>_xlfn.LET(_xlpm.x,_xlfn.XLOOKUP(_xlfn.XLOOKUP(D1475,beans!$A$2:$A$300,beans!$I$2:$I$300),menu!$E$2:$E$20,menu!$F$2:$F$20),IF(_xlpm.x="","",_xlpm.x))</f>
        <v/>
      </c>
      <c r="T1475" s="68" t="str">
        <f t="shared" ref="T1475:T1501" si="158">_xlfn.LET(_xlpm.x,S1475-Q1475,IF(_xlpm.x=0,"",_xlpm.x))</f>
        <v/>
      </c>
      <c r="U1475" t="str">
        <f t="shared" si="154"/>
        <v/>
      </c>
      <c r="V1475">
        <f t="shared" ref="V1475:V1501" si="159">IFERROR(ROUND(T1475*60/U1475,1), )</f>
        <v>0</v>
      </c>
      <c r="W1475" t="str">
        <f t="shared" si="155"/>
        <v/>
      </c>
      <c r="AB1475" s="28" t="str">
        <f t="shared" si="156"/>
        <v xml:space="preserve"> </v>
      </c>
      <c r="AE1475" s="61" t="str">
        <f t="shared" si="157"/>
        <v/>
      </c>
      <c r="AF1475" s="77" t="str">
        <f>_xlfn.XLOOKUP(AD1475,menu!$K$2:$K$9,menu!$J$2:$J$9,"",1)</f>
        <v/>
      </c>
      <c r="AG1475" s="80" t="str">
        <f>_xlfn.XLOOKUP(AH1475,menu!$O$2:$O$9,menu!$H$2:$H$9,"")</f>
        <v/>
      </c>
      <c r="AI1475" t="str">
        <f>_xlfn.LET(_xlpm.x,_xlfn.CONCAT(_xlfn.XLOOKUP(D1475,beans!$A$2:$A$300,beans!$J$2:$J$300,"")," / ",_xlfn.XLOOKUP(D1475,beans!$A$2:$A$300,beans!$K$2:$K$300,"")," - ",_xlfn.XLOOKUP(D1475,beans!$A$2:$A$300,beans!$L$2:$L$300,"")),IF(_xlpm.x=" /  - ","",_xlpm.x))</f>
        <v/>
      </c>
    </row>
    <row r="1476" spans="1:35" x14ac:dyDescent="0.3">
      <c r="A1476">
        <v>1459</v>
      </c>
      <c r="E1476" t="str">
        <f>_xlfn.LET(_xlpm.x,_xlfn.XLOOKUP(D1476,beans!$A$2:$A$300,beans!$H$2:$H$300,""),IF(_xlpm.x="","",_xlpm.x))</f>
        <v/>
      </c>
      <c r="F1476" s="22" t="str">
        <f>_xlfn.XLOOKUP(E1476,menu!$A$2:$A$37,menu!$B$2:$B$37,"")</f>
        <v/>
      </c>
      <c r="G1476" t="str">
        <f>_xlfn.XLOOKUP(E1476,menu!$A$2:$A$37,menu!$C$2:$C$37,"")</f>
        <v/>
      </c>
      <c r="H1476" t="str">
        <f>_xlfn.LET(_xlpm.x,_xlfn.XLOOKUP(_xlfn.XLOOKUP(D1476,beans!$A$2:$A$300,beans!$I$2:$I$300),menu!$E$2:$E$20,menu!$F$2:$F$20),IF(_xlpm.x="","",_xlpm.x))</f>
        <v/>
      </c>
      <c r="T1476" s="68" t="str">
        <f t="shared" si="158"/>
        <v/>
      </c>
      <c r="U1476" t="str">
        <f t="shared" si="154"/>
        <v/>
      </c>
      <c r="V1476">
        <f t="shared" si="159"/>
        <v>0</v>
      </c>
      <c r="W1476" t="str">
        <f t="shared" si="155"/>
        <v/>
      </c>
      <c r="AB1476" s="28" t="str">
        <f t="shared" si="156"/>
        <v xml:space="preserve"> </v>
      </c>
      <c r="AE1476" s="61" t="str">
        <f t="shared" si="157"/>
        <v/>
      </c>
      <c r="AF1476" s="77" t="str">
        <f>_xlfn.XLOOKUP(AD1476,menu!$K$2:$K$9,menu!$J$2:$J$9,"",1)</f>
        <v/>
      </c>
      <c r="AG1476" s="80" t="str">
        <f>_xlfn.XLOOKUP(AH1476,menu!$O$2:$O$9,menu!$H$2:$H$9,"")</f>
        <v/>
      </c>
      <c r="AI1476" t="str">
        <f>_xlfn.LET(_xlpm.x,_xlfn.CONCAT(_xlfn.XLOOKUP(D1476,beans!$A$2:$A$300,beans!$J$2:$J$300,"")," / ",_xlfn.XLOOKUP(D1476,beans!$A$2:$A$300,beans!$K$2:$K$300,"")," - ",_xlfn.XLOOKUP(D1476,beans!$A$2:$A$300,beans!$L$2:$L$300,"")),IF(_xlpm.x=" /  - ","",_xlpm.x))</f>
        <v/>
      </c>
    </row>
    <row r="1477" spans="1:35" x14ac:dyDescent="0.3">
      <c r="A1477">
        <v>1460</v>
      </c>
      <c r="E1477" t="str">
        <f>_xlfn.LET(_xlpm.x,_xlfn.XLOOKUP(D1477,beans!$A$2:$A$300,beans!$H$2:$H$300,""),IF(_xlpm.x="","",_xlpm.x))</f>
        <v/>
      </c>
      <c r="F1477" s="22" t="str">
        <f>_xlfn.XLOOKUP(E1477,menu!$A$2:$A$37,menu!$B$2:$B$37,"")</f>
        <v/>
      </c>
      <c r="G1477" t="str">
        <f>_xlfn.XLOOKUP(E1477,menu!$A$2:$A$37,menu!$C$2:$C$37,"")</f>
        <v/>
      </c>
      <c r="H1477" t="str">
        <f>_xlfn.LET(_xlpm.x,_xlfn.XLOOKUP(_xlfn.XLOOKUP(D1477,beans!$A$2:$A$300,beans!$I$2:$I$300),menu!$E$2:$E$20,menu!$F$2:$F$20),IF(_xlpm.x="","",_xlpm.x))</f>
        <v/>
      </c>
      <c r="T1477" s="68" t="str">
        <f t="shared" si="158"/>
        <v/>
      </c>
      <c r="U1477" t="str">
        <f t="shared" si="154"/>
        <v/>
      </c>
      <c r="V1477">
        <f t="shared" si="159"/>
        <v>0</v>
      </c>
      <c r="W1477" t="str">
        <f t="shared" si="155"/>
        <v/>
      </c>
      <c r="AB1477" s="28" t="str">
        <f t="shared" si="156"/>
        <v xml:space="preserve"> </v>
      </c>
      <c r="AE1477" s="61" t="str">
        <f t="shared" si="157"/>
        <v/>
      </c>
      <c r="AF1477" s="77" t="str">
        <f>_xlfn.XLOOKUP(AD1477,menu!$K$2:$K$9,menu!$J$2:$J$9,"",1)</f>
        <v/>
      </c>
      <c r="AG1477" s="80" t="str">
        <f>_xlfn.XLOOKUP(AH1477,menu!$O$2:$O$9,menu!$H$2:$H$9,"")</f>
        <v/>
      </c>
      <c r="AI1477" t="str">
        <f>_xlfn.LET(_xlpm.x,_xlfn.CONCAT(_xlfn.XLOOKUP(D1477,beans!$A$2:$A$300,beans!$J$2:$J$300,"")," / ",_xlfn.XLOOKUP(D1477,beans!$A$2:$A$300,beans!$K$2:$K$300,"")," - ",_xlfn.XLOOKUP(D1477,beans!$A$2:$A$300,beans!$L$2:$L$300,"")),IF(_xlpm.x=" /  - ","",_xlpm.x))</f>
        <v/>
      </c>
    </row>
    <row r="1478" spans="1:35" x14ac:dyDescent="0.3">
      <c r="A1478">
        <v>1461</v>
      </c>
      <c r="E1478" t="str">
        <f>_xlfn.LET(_xlpm.x,_xlfn.XLOOKUP(D1478,beans!$A$2:$A$300,beans!$H$2:$H$300,""),IF(_xlpm.x="","",_xlpm.x))</f>
        <v/>
      </c>
      <c r="F1478" s="22" t="str">
        <f>_xlfn.XLOOKUP(E1478,menu!$A$2:$A$37,menu!$B$2:$B$37,"")</f>
        <v/>
      </c>
      <c r="G1478" t="str">
        <f>_xlfn.XLOOKUP(E1478,menu!$A$2:$A$37,menu!$C$2:$C$37,"")</f>
        <v/>
      </c>
      <c r="H1478" t="str">
        <f>_xlfn.LET(_xlpm.x,_xlfn.XLOOKUP(_xlfn.XLOOKUP(D1478,beans!$A$2:$A$300,beans!$I$2:$I$300),menu!$E$2:$E$20,menu!$F$2:$F$20),IF(_xlpm.x="","",_xlpm.x))</f>
        <v/>
      </c>
      <c r="T1478" s="68" t="str">
        <f t="shared" si="158"/>
        <v/>
      </c>
      <c r="U1478" t="str">
        <f t="shared" si="154"/>
        <v/>
      </c>
      <c r="V1478">
        <f t="shared" si="159"/>
        <v>0</v>
      </c>
      <c r="W1478" t="str">
        <f t="shared" si="155"/>
        <v/>
      </c>
      <c r="AB1478" s="28" t="str">
        <f t="shared" si="156"/>
        <v xml:space="preserve"> </v>
      </c>
      <c r="AE1478" s="61" t="str">
        <f t="shared" si="157"/>
        <v/>
      </c>
      <c r="AF1478" s="77" t="str">
        <f>_xlfn.XLOOKUP(AD1478,menu!$K$2:$K$9,menu!$J$2:$J$9,"",1)</f>
        <v/>
      </c>
      <c r="AG1478" s="80" t="str">
        <f>_xlfn.XLOOKUP(AH1478,menu!$O$2:$O$9,menu!$H$2:$H$9,"")</f>
        <v/>
      </c>
      <c r="AI1478" t="str">
        <f>_xlfn.LET(_xlpm.x,_xlfn.CONCAT(_xlfn.XLOOKUP(D1478,beans!$A$2:$A$300,beans!$J$2:$J$300,"")," / ",_xlfn.XLOOKUP(D1478,beans!$A$2:$A$300,beans!$K$2:$K$300,"")," - ",_xlfn.XLOOKUP(D1478,beans!$A$2:$A$300,beans!$L$2:$L$300,"")),IF(_xlpm.x=" /  - ","",_xlpm.x))</f>
        <v/>
      </c>
    </row>
    <row r="1479" spans="1:35" x14ac:dyDescent="0.3">
      <c r="A1479">
        <v>1462</v>
      </c>
      <c r="E1479" t="str">
        <f>_xlfn.LET(_xlpm.x,_xlfn.XLOOKUP(D1479,beans!$A$2:$A$300,beans!$H$2:$H$300,""),IF(_xlpm.x="","",_xlpm.x))</f>
        <v/>
      </c>
      <c r="F1479" s="22" t="str">
        <f>_xlfn.XLOOKUP(E1479,menu!$A$2:$A$37,menu!$B$2:$B$37,"")</f>
        <v/>
      </c>
      <c r="G1479" t="str">
        <f>_xlfn.XLOOKUP(E1479,menu!$A$2:$A$37,menu!$C$2:$C$37,"")</f>
        <v/>
      </c>
      <c r="H1479" t="str">
        <f>_xlfn.LET(_xlpm.x,_xlfn.XLOOKUP(_xlfn.XLOOKUP(D1479,beans!$A$2:$A$300,beans!$I$2:$I$300),menu!$E$2:$E$20,menu!$F$2:$F$20),IF(_xlpm.x="","",_xlpm.x))</f>
        <v/>
      </c>
      <c r="T1479" s="68" t="str">
        <f t="shared" si="158"/>
        <v/>
      </c>
      <c r="U1479" t="str">
        <f t="shared" si="154"/>
        <v/>
      </c>
      <c r="V1479">
        <f t="shared" si="159"/>
        <v>0</v>
      </c>
      <c r="W1479" t="str">
        <f t="shared" si="155"/>
        <v/>
      </c>
      <c r="AB1479" s="28" t="str">
        <f t="shared" si="156"/>
        <v xml:space="preserve"> </v>
      </c>
      <c r="AE1479" s="61" t="str">
        <f t="shared" si="157"/>
        <v/>
      </c>
      <c r="AF1479" s="77" t="str">
        <f>_xlfn.XLOOKUP(AD1479,menu!$K$2:$K$9,menu!$J$2:$J$9,"",1)</f>
        <v/>
      </c>
      <c r="AG1479" s="80" t="str">
        <f>_xlfn.XLOOKUP(AH1479,menu!$O$2:$O$9,menu!$H$2:$H$9,"")</f>
        <v/>
      </c>
      <c r="AI1479" t="str">
        <f>_xlfn.LET(_xlpm.x,_xlfn.CONCAT(_xlfn.XLOOKUP(D1479,beans!$A$2:$A$300,beans!$J$2:$J$300,"")," / ",_xlfn.XLOOKUP(D1479,beans!$A$2:$A$300,beans!$K$2:$K$300,"")," - ",_xlfn.XLOOKUP(D1479,beans!$A$2:$A$300,beans!$L$2:$L$300,"")),IF(_xlpm.x=" /  - ","",_xlpm.x))</f>
        <v/>
      </c>
    </row>
    <row r="1480" spans="1:35" x14ac:dyDescent="0.3">
      <c r="A1480">
        <v>1463</v>
      </c>
      <c r="E1480" t="str">
        <f>_xlfn.LET(_xlpm.x,_xlfn.XLOOKUP(D1480,beans!$A$2:$A$300,beans!$H$2:$H$300,""),IF(_xlpm.x="","",_xlpm.x))</f>
        <v/>
      </c>
      <c r="F1480" s="22" t="str">
        <f>_xlfn.XLOOKUP(E1480,menu!$A$2:$A$37,menu!$B$2:$B$37,"")</f>
        <v/>
      </c>
      <c r="G1480" t="str">
        <f>_xlfn.XLOOKUP(E1480,menu!$A$2:$A$37,menu!$C$2:$C$37,"")</f>
        <v/>
      </c>
      <c r="H1480" t="str">
        <f>_xlfn.LET(_xlpm.x,_xlfn.XLOOKUP(_xlfn.XLOOKUP(D1480,beans!$A$2:$A$300,beans!$I$2:$I$300),menu!$E$2:$E$20,menu!$F$2:$F$20),IF(_xlpm.x="","",_xlpm.x))</f>
        <v/>
      </c>
      <c r="T1480" s="68" t="str">
        <f t="shared" si="158"/>
        <v/>
      </c>
      <c r="U1480" t="str">
        <f t="shared" si="154"/>
        <v/>
      </c>
      <c r="V1480">
        <f t="shared" si="159"/>
        <v>0</v>
      </c>
      <c r="W1480" t="str">
        <f t="shared" si="155"/>
        <v/>
      </c>
      <c r="AB1480" s="28" t="str">
        <f t="shared" si="156"/>
        <v xml:space="preserve"> </v>
      </c>
      <c r="AE1480" s="61" t="str">
        <f t="shared" si="157"/>
        <v/>
      </c>
      <c r="AF1480" s="77" t="str">
        <f>_xlfn.XLOOKUP(AD1480,menu!$K$2:$K$9,menu!$J$2:$J$9,"",1)</f>
        <v/>
      </c>
      <c r="AG1480" s="80" t="str">
        <f>_xlfn.XLOOKUP(AH1480,menu!$O$2:$O$9,menu!$H$2:$H$9,"")</f>
        <v/>
      </c>
      <c r="AI1480" t="str">
        <f>_xlfn.LET(_xlpm.x,_xlfn.CONCAT(_xlfn.XLOOKUP(D1480,beans!$A$2:$A$300,beans!$J$2:$J$300,"")," / ",_xlfn.XLOOKUP(D1480,beans!$A$2:$A$300,beans!$K$2:$K$300,"")," - ",_xlfn.XLOOKUP(D1480,beans!$A$2:$A$300,beans!$L$2:$L$300,"")),IF(_xlpm.x=" /  - ","",_xlpm.x))</f>
        <v/>
      </c>
    </row>
    <row r="1481" spans="1:35" x14ac:dyDescent="0.3">
      <c r="A1481">
        <v>1464</v>
      </c>
      <c r="E1481" t="str">
        <f>_xlfn.LET(_xlpm.x,_xlfn.XLOOKUP(D1481,beans!$A$2:$A$300,beans!$H$2:$H$300,""),IF(_xlpm.x="","",_xlpm.x))</f>
        <v/>
      </c>
      <c r="F1481" s="22" t="str">
        <f>_xlfn.XLOOKUP(E1481,menu!$A$2:$A$37,menu!$B$2:$B$37,"")</f>
        <v/>
      </c>
      <c r="G1481" t="str">
        <f>_xlfn.XLOOKUP(E1481,menu!$A$2:$A$37,menu!$C$2:$C$37,"")</f>
        <v/>
      </c>
      <c r="H1481" t="str">
        <f>_xlfn.LET(_xlpm.x,_xlfn.XLOOKUP(_xlfn.XLOOKUP(D1481,beans!$A$2:$A$300,beans!$I$2:$I$300),menu!$E$2:$E$20,menu!$F$2:$F$20),IF(_xlpm.x="","",_xlpm.x))</f>
        <v/>
      </c>
      <c r="T1481" s="68" t="str">
        <f t="shared" si="158"/>
        <v/>
      </c>
      <c r="U1481" t="str">
        <f t="shared" si="154"/>
        <v/>
      </c>
      <c r="V1481">
        <f t="shared" si="159"/>
        <v>0</v>
      </c>
      <c r="W1481" t="str">
        <f t="shared" si="155"/>
        <v/>
      </c>
      <c r="AB1481" s="28" t="str">
        <f t="shared" si="156"/>
        <v xml:space="preserve"> </v>
      </c>
      <c r="AE1481" s="61" t="str">
        <f t="shared" si="157"/>
        <v/>
      </c>
      <c r="AF1481" s="77" t="str">
        <f>_xlfn.XLOOKUP(AD1481,menu!$K$2:$K$9,menu!$J$2:$J$9,"",1)</f>
        <v/>
      </c>
      <c r="AG1481" s="80" t="str">
        <f>_xlfn.XLOOKUP(AH1481,menu!$O$2:$O$9,menu!$H$2:$H$9,"")</f>
        <v/>
      </c>
      <c r="AI1481" t="str">
        <f>_xlfn.LET(_xlpm.x,_xlfn.CONCAT(_xlfn.XLOOKUP(D1481,beans!$A$2:$A$300,beans!$J$2:$J$300,"")," / ",_xlfn.XLOOKUP(D1481,beans!$A$2:$A$300,beans!$K$2:$K$300,"")," - ",_xlfn.XLOOKUP(D1481,beans!$A$2:$A$300,beans!$L$2:$L$300,"")),IF(_xlpm.x=" /  - ","",_xlpm.x))</f>
        <v/>
      </c>
    </row>
    <row r="1482" spans="1:35" x14ac:dyDescent="0.3">
      <c r="A1482">
        <v>1465</v>
      </c>
      <c r="E1482" t="str">
        <f>_xlfn.LET(_xlpm.x,_xlfn.XLOOKUP(D1482,beans!$A$2:$A$300,beans!$H$2:$H$300,""),IF(_xlpm.x="","",_xlpm.x))</f>
        <v/>
      </c>
      <c r="F1482" s="22" t="str">
        <f>_xlfn.XLOOKUP(E1482,menu!$A$2:$A$37,menu!$B$2:$B$37,"")</f>
        <v/>
      </c>
      <c r="G1482" t="str">
        <f>_xlfn.XLOOKUP(E1482,menu!$A$2:$A$37,menu!$C$2:$C$37,"")</f>
        <v/>
      </c>
      <c r="H1482" t="str">
        <f>_xlfn.LET(_xlpm.x,_xlfn.XLOOKUP(_xlfn.XLOOKUP(D1482,beans!$A$2:$A$300,beans!$I$2:$I$300),menu!$E$2:$E$20,menu!$F$2:$F$20),IF(_xlpm.x="","",_xlpm.x))</f>
        <v/>
      </c>
      <c r="T1482" s="68" t="str">
        <f t="shared" si="158"/>
        <v/>
      </c>
      <c r="U1482" t="str">
        <f t="shared" si="154"/>
        <v/>
      </c>
      <c r="V1482">
        <f t="shared" si="159"/>
        <v>0</v>
      </c>
      <c r="W1482" t="str">
        <f t="shared" si="155"/>
        <v/>
      </c>
      <c r="AB1482" s="28" t="str">
        <f t="shared" si="156"/>
        <v xml:space="preserve"> </v>
      </c>
      <c r="AE1482" s="61" t="str">
        <f t="shared" si="157"/>
        <v/>
      </c>
      <c r="AF1482" s="77" t="str">
        <f>_xlfn.XLOOKUP(AD1482,menu!$K$2:$K$9,menu!$J$2:$J$9,"",1)</f>
        <v/>
      </c>
      <c r="AG1482" s="80" t="str">
        <f>_xlfn.XLOOKUP(AH1482,menu!$O$2:$O$9,menu!$H$2:$H$9,"")</f>
        <v/>
      </c>
      <c r="AI1482" t="str">
        <f>_xlfn.LET(_xlpm.x,_xlfn.CONCAT(_xlfn.XLOOKUP(D1482,beans!$A$2:$A$300,beans!$J$2:$J$300,"")," / ",_xlfn.XLOOKUP(D1482,beans!$A$2:$A$300,beans!$K$2:$K$300,"")," - ",_xlfn.XLOOKUP(D1482,beans!$A$2:$A$300,beans!$L$2:$L$300,"")),IF(_xlpm.x=" /  - ","",_xlpm.x))</f>
        <v/>
      </c>
    </row>
    <row r="1483" spans="1:35" x14ac:dyDescent="0.3">
      <c r="A1483">
        <v>1466</v>
      </c>
      <c r="E1483" t="str">
        <f>_xlfn.LET(_xlpm.x,_xlfn.XLOOKUP(D1483,beans!$A$2:$A$300,beans!$H$2:$H$300,""),IF(_xlpm.x="","",_xlpm.x))</f>
        <v/>
      </c>
      <c r="F1483" s="22" t="str">
        <f>_xlfn.XLOOKUP(E1483,menu!$A$2:$A$37,menu!$B$2:$B$37,"")</f>
        <v/>
      </c>
      <c r="G1483" t="str">
        <f>_xlfn.XLOOKUP(E1483,menu!$A$2:$A$37,menu!$C$2:$C$37,"")</f>
        <v/>
      </c>
      <c r="H1483" t="str">
        <f>_xlfn.LET(_xlpm.x,_xlfn.XLOOKUP(_xlfn.XLOOKUP(D1483,beans!$A$2:$A$300,beans!$I$2:$I$300),menu!$E$2:$E$20,menu!$F$2:$F$20),IF(_xlpm.x="","",_xlpm.x))</f>
        <v/>
      </c>
      <c r="T1483" s="68" t="str">
        <f t="shared" si="158"/>
        <v/>
      </c>
      <c r="U1483" t="str">
        <f t="shared" si="154"/>
        <v/>
      </c>
      <c r="V1483">
        <f t="shared" si="159"/>
        <v>0</v>
      </c>
      <c r="W1483" t="str">
        <f t="shared" si="155"/>
        <v/>
      </c>
      <c r="AB1483" s="28" t="str">
        <f t="shared" si="156"/>
        <v xml:space="preserve"> </v>
      </c>
      <c r="AE1483" s="61" t="str">
        <f t="shared" si="157"/>
        <v/>
      </c>
      <c r="AF1483" s="77" t="str">
        <f>_xlfn.XLOOKUP(AD1483,menu!$K$2:$K$9,menu!$J$2:$J$9,"",1)</f>
        <v/>
      </c>
      <c r="AG1483" s="80" t="str">
        <f>_xlfn.XLOOKUP(AH1483,menu!$O$2:$O$9,menu!$H$2:$H$9,"")</f>
        <v/>
      </c>
      <c r="AI1483" t="str">
        <f>_xlfn.LET(_xlpm.x,_xlfn.CONCAT(_xlfn.XLOOKUP(D1483,beans!$A$2:$A$300,beans!$J$2:$J$300,"")," / ",_xlfn.XLOOKUP(D1483,beans!$A$2:$A$300,beans!$K$2:$K$300,"")," - ",_xlfn.XLOOKUP(D1483,beans!$A$2:$A$300,beans!$L$2:$L$300,"")),IF(_xlpm.x=" /  - ","",_xlpm.x))</f>
        <v/>
      </c>
    </row>
    <row r="1484" spans="1:35" x14ac:dyDescent="0.3">
      <c r="A1484">
        <v>1467</v>
      </c>
      <c r="E1484" t="str">
        <f>_xlfn.LET(_xlpm.x,_xlfn.XLOOKUP(D1484,beans!$A$2:$A$300,beans!$H$2:$H$300,""),IF(_xlpm.x="","",_xlpm.x))</f>
        <v/>
      </c>
      <c r="F1484" s="22" t="str">
        <f>_xlfn.XLOOKUP(E1484,menu!$A$2:$A$37,menu!$B$2:$B$37,"")</f>
        <v/>
      </c>
      <c r="G1484" t="str">
        <f>_xlfn.XLOOKUP(E1484,menu!$A$2:$A$37,menu!$C$2:$C$37,"")</f>
        <v/>
      </c>
      <c r="H1484" t="str">
        <f>_xlfn.LET(_xlpm.x,_xlfn.XLOOKUP(_xlfn.XLOOKUP(D1484,beans!$A$2:$A$300,beans!$I$2:$I$300),menu!$E$2:$E$20,menu!$F$2:$F$20),IF(_xlpm.x="","",_xlpm.x))</f>
        <v/>
      </c>
      <c r="T1484" s="68" t="str">
        <f t="shared" si="158"/>
        <v/>
      </c>
      <c r="U1484" t="str">
        <f t="shared" si="154"/>
        <v/>
      </c>
      <c r="V1484">
        <f t="shared" si="159"/>
        <v>0</v>
      </c>
      <c r="W1484" t="str">
        <f t="shared" si="155"/>
        <v/>
      </c>
      <c r="AB1484" s="28" t="str">
        <f t="shared" si="156"/>
        <v xml:space="preserve"> </v>
      </c>
      <c r="AE1484" s="61" t="str">
        <f t="shared" si="157"/>
        <v/>
      </c>
      <c r="AF1484" s="77" t="str">
        <f>_xlfn.XLOOKUP(AD1484,menu!$K$2:$K$9,menu!$J$2:$J$9,"",1)</f>
        <v/>
      </c>
      <c r="AG1484" s="80" t="str">
        <f>_xlfn.XLOOKUP(AH1484,menu!$O$2:$O$9,menu!$H$2:$H$9,"")</f>
        <v/>
      </c>
      <c r="AI1484" t="str">
        <f>_xlfn.LET(_xlpm.x,_xlfn.CONCAT(_xlfn.XLOOKUP(D1484,beans!$A$2:$A$300,beans!$J$2:$J$300,"")," / ",_xlfn.XLOOKUP(D1484,beans!$A$2:$A$300,beans!$K$2:$K$300,"")," - ",_xlfn.XLOOKUP(D1484,beans!$A$2:$A$300,beans!$L$2:$L$300,"")),IF(_xlpm.x=" /  - ","",_xlpm.x))</f>
        <v/>
      </c>
    </row>
    <row r="1485" spans="1:35" x14ac:dyDescent="0.3">
      <c r="A1485">
        <v>1468</v>
      </c>
      <c r="E1485" t="str">
        <f>_xlfn.LET(_xlpm.x,_xlfn.XLOOKUP(D1485,beans!$A$2:$A$300,beans!$H$2:$H$300,""),IF(_xlpm.x="","",_xlpm.x))</f>
        <v/>
      </c>
      <c r="F1485" s="22" t="str">
        <f>_xlfn.XLOOKUP(E1485,menu!$A$2:$A$37,menu!$B$2:$B$37,"")</f>
        <v/>
      </c>
      <c r="G1485" t="str">
        <f>_xlfn.XLOOKUP(E1485,menu!$A$2:$A$37,menu!$C$2:$C$37,"")</f>
        <v/>
      </c>
      <c r="H1485" t="str">
        <f>_xlfn.LET(_xlpm.x,_xlfn.XLOOKUP(_xlfn.XLOOKUP(D1485,beans!$A$2:$A$300,beans!$I$2:$I$300),menu!$E$2:$E$20,menu!$F$2:$F$20),IF(_xlpm.x="","",_xlpm.x))</f>
        <v/>
      </c>
      <c r="T1485" s="68" t="str">
        <f t="shared" si="158"/>
        <v/>
      </c>
      <c r="U1485" t="str">
        <f t="shared" si="154"/>
        <v/>
      </c>
      <c r="V1485">
        <f t="shared" si="159"/>
        <v>0</v>
      </c>
      <c r="W1485" t="str">
        <f t="shared" si="155"/>
        <v/>
      </c>
      <c r="AB1485" s="28" t="str">
        <f t="shared" si="156"/>
        <v xml:space="preserve"> </v>
      </c>
      <c r="AE1485" s="61" t="str">
        <f t="shared" si="157"/>
        <v/>
      </c>
      <c r="AF1485" s="77" t="str">
        <f>_xlfn.XLOOKUP(AD1485,menu!$K$2:$K$9,menu!$J$2:$J$9,"",1)</f>
        <v/>
      </c>
      <c r="AG1485" s="80" t="str">
        <f>_xlfn.XLOOKUP(AH1485,menu!$O$2:$O$9,menu!$H$2:$H$9,"")</f>
        <v/>
      </c>
      <c r="AI1485" t="str">
        <f>_xlfn.LET(_xlpm.x,_xlfn.CONCAT(_xlfn.XLOOKUP(D1485,beans!$A$2:$A$300,beans!$J$2:$J$300,"")," / ",_xlfn.XLOOKUP(D1485,beans!$A$2:$A$300,beans!$K$2:$K$300,"")," - ",_xlfn.XLOOKUP(D1485,beans!$A$2:$A$300,beans!$L$2:$L$300,"")),IF(_xlpm.x=" /  - ","",_xlpm.x))</f>
        <v/>
      </c>
    </row>
    <row r="1486" spans="1:35" x14ac:dyDescent="0.3">
      <c r="A1486">
        <v>1469</v>
      </c>
      <c r="E1486" t="str">
        <f>_xlfn.LET(_xlpm.x,_xlfn.XLOOKUP(D1486,beans!$A$2:$A$300,beans!$H$2:$H$300,""),IF(_xlpm.x="","",_xlpm.x))</f>
        <v/>
      </c>
      <c r="F1486" s="22" t="str">
        <f>_xlfn.XLOOKUP(E1486,menu!$A$2:$A$37,menu!$B$2:$B$37,"")</f>
        <v/>
      </c>
      <c r="G1486" t="str">
        <f>_xlfn.XLOOKUP(E1486,menu!$A$2:$A$37,menu!$C$2:$C$37,"")</f>
        <v/>
      </c>
      <c r="H1486" t="str">
        <f>_xlfn.LET(_xlpm.x,_xlfn.XLOOKUP(_xlfn.XLOOKUP(D1486,beans!$A$2:$A$300,beans!$I$2:$I$300),menu!$E$2:$E$20,menu!$F$2:$F$20),IF(_xlpm.x="","",_xlpm.x))</f>
        <v/>
      </c>
      <c r="T1486" s="68" t="str">
        <f t="shared" si="158"/>
        <v/>
      </c>
      <c r="U1486" t="str">
        <f t="shared" si="154"/>
        <v/>
      </c>
      <c r="V1486">
        <f t="shared" si="159"/>
        <v>0</v>
      </c>
      <c r="W1486" t="str">
        <f t="shared" si="155"/>
        <v/>
      </c>
      <c r="AB1486" s="28" t="str">
        <f t="shared" si="156"/>
        <v xml:space="preserve"> </v>
      </c>
      <c r="AE1486" s="61" t="str">
        <f t="shared" si="157"/>
        <v/>
      </c>
      <c r="AF1486" s="77" t="str">
        <f>_xlfn.XLOOKUP(AD1486,menu!$K$2:$K$9,menu!$J$2:$J$9,"",1)</f>
        <v/>
      </c>
      <c r="AG1486" s="80" t="str">
        <f>_xlfn.XLOOKUP(AH1486,menu!$O$2:$O$9,menu!$H$2:$H$9,"")</f>
        <v/>
      </c>
      <c r="AI1486" t="str">
        <f>_xlfn.LET(_xlpm.x,_xlfn.CONCAT(_xlfn.XLOOKUP(D1486,beans!$A$2:$A$300,beans!$J$2:$J$300,"")," / ",_xlfn.XLOOKUP(D1486,beans!$A$2:$A$300,beans!$K$2:$K$300,"")," - ",_xlfn.XLOOKUP(D1486,beans!$A$2:$A$300,beans!$L$2:$L$300,"")),IF(_xlpm.x=" /  - ","",_xlpm.x))</f>
        <v/>
      </c>
    </row>
    <row r="1487" spans="1:35" x14ac:dyDescent="0.3">
      <c r="A1487">
        <v>1470</v>
      </c>
      <c r="E1487" t="str">
        <f>_xlfn.LET(_xlpm.x,_xlfn.XLOOKUP(D1487,beans!$A$2:$A$300,beans!$H$2:$H$300,""),IF(_xlpm.x="","",_xlpm.x))</f>
        <v/>
      </c>
      <c r="F1487" s="22" t="str">
        <f>_xlfn.XLOOKUP(E1487,menu!$A$2:$A$37,menu!$B$2:$B$37,"")</f>
        <v/>
      </c>
      <c r="G1487" t="str">
        <f>_xlfn.XLOOKUP(E1487,menu!$A$2:$A$37,menu!$C$2:$C$37,"")</f>
        <v/>
      </c>
      <c r="H1487" t="str">
        <f>_xlfn.LET(_xlpm.x,_xlfn.XLOOKUP(_xlfn.XLOOKUP(D1487,beans!$A$2:$A$300,beans!$I$2:$I$300),menu!$E$2:$E$20,menu!$F$2:$F$20),IF(_xlpm.x="","",_xlpm.x))</f>
        <v/>
      </c>
      <c r="T1487" s="68" t="str">
        <f t="shared" si="158"/>
        <v/>
      </c>
      <c r="U1487" t="str">
        <f t="shared" si="154"/>
        <v/>
      </c>
      <c r="V1487">
        <f t="shared" si="159"/>
        <v>0</v>
      </c>
      <c r="W1487" t="str">
        <f t="shared" si="155"/>
        <v/>
      </c>
      <c r="AB1487" s="28" t="str">
        <f t="shared" si="156"/>
        <v xml:space="preserve"> </v>
      </c>
      <c r="AE1487" s="61" t="str">
        <f t="shared" si="157"/>
        <v/>
      </c>
      <c r="AF1487" s="77" t="str">
        <f>_xlfn.XLOOKUP(AD1487,menu!$K$2:$K$9,menu!$J$2:$J$9,"",1)</f>
        <v/>
      </c>
      <c r="AG1487" s="80" t="str">
        <f>_xlfn.XLOOKUP(AH1487,menu!$O$2:$O$9,menu!$H$2:$H$9,"")</f>
        <v/>
      </c>
      <c r="AI1487" t="str">
        <f>_xlfn.LET(_xlpm.x,_xlfn.CONCAT(_xlfn.XLOOKUP(D1487,beans!$A$2:$A$300,beans!$J$2:$J$300,"")," / ",_xlfn.XLOOKUP(D1487,beans!$A$2:$A$300,beans!$K$2:$K$300,"")," - ",_xlfn.XLOOKUP(D1487,beans!$A$2:$A$300,beans!$L$2:$L$300,"")),IF(_xlpm.x=" /  - ","",_xlpm.x))</f>
        <v/>
      </c>
    </row>
    <row r="1488" spans="1:35" x14ac:dyDescent="0.3">
      <c r="A1488">
        <v>1471</v>
      </c>
      <c r="E1488" t="str">
        <f>_xlfn.LET(_xlpm.x,_xlfn.XLOOKUP(D1488,beans!$A$2:$A$300,beans!$H$2:$H$300,""),IF(_xlpm.x="","",_xlpm.x))</f>
        <v/>
      </c>
      <c r="F1488" s="22" t="str">
        <f>_xlfn.XLOOKUP(E1488,menu!$A$2:$A$37,menu!$B$2:$B$37,"")</f>
        <v/>
      </c>
      <c r="G1488" t="str">
        <f>_xlfn.XLOOKUP(E1488,menu!$A$2:$A$37,menu!$C$2:$C$37,"")</f>
        <v/>
      </c>
      <c r="H1488" t="str">
        <f>_xlfn.LET(_xlpm.x,_xlfn.XLOOKUP(_xlfn.XLOOKUP(D1488,beans!$A$2:$A$300,beans!$I$2:$I$300),menu!$E$2:$E$20,menu!$F$2:$F$20),IF(_xlpm.x="","",_xlpm.x))</f>
        <v/>
      </c>
      <c r="T1488" s="68" t="str">
        <f t="shared" si="158"/>
        <v/>
      </c>
      <c r="U1488" t="str">
        <f t="shared" si="154"/>
        <v/>
      </c>
      <c r="V1488">
        <f t="shared" si="159"/>
        <v>0</v>
      </c>
      <c r="W1488" t="str">
        <f t="shared" si="155"/>
        <v/>
      </c>
      <c r="AB1488" s="28" t="str">
        <f t="shared" si="156"/>
        <v xml:space="preserve"> </v>
      </c>
      <c r="AE1488" s="61" t="str">
        <f t="shared" si="157"/>
        <v/>
      </c>
      <c r="AF1488" s="77" t="str">
        <f>_xlfn.XLOOKUP(AD1488,menu!$K$2:$K$9,menu!$J$2:$J$9,"",1)</f>
        <v/>
      </c>
      <c r="AG1488" s="80" t="str">
        <f>_xlfn.XLOOKUP(AH1488,menu!$O$2:$O$9,menu!$H$2:$H$9,"")</f>
        <v/>
      </c>
      <c r="AI1488" t="str">
        <f>_xlfn.LET(_xlpm.x,_xlfn.CONCAT(_xlfn.XLOOKUP(D1488,beans!$A$2:$A$300,beans!$J$2:$J$300,"")," / ",_xlfn.XLOOKUP(D1488,beans!$A$2:$A$300,beans!$K$2:$K$300,"")," - ",_xlfn.XLOOKUP(D1488,beans!$A$2:$A$300,beans!$L$2:$L$300,"")),IF(_xlpm.x=" /  - ","",_xlpm.x))</f>
        <v/>
      </c>
    </row>
    <row r="1489" spans="1:35" x14ac:dyDescent="0.3">
      <c r="A1489">
        <v>1472</v>
      </c>
      <c r="E1489" t="str">
        <f>_xlfn.LET(_xlpm.x,_xlfn.XLOOKUP(D1489,beans!$A$2:$A$300,beans!$H$2:$H$300,""),IF(_xlpm.x="","",_xlpm.x))</f>
        <v/>
      </c>
      <c r="F1489" s="22" t="str">
        <f>_xlfn.XLOOKUP(E1489,menu!$A$2:$A$37,menu!$B$2:$B$37,"")</f>
        <v/>
      </c>
      <c r="G1489" t="str">
        <f>_xlfn.XLOOKUP(E1489,menu!$A$2:$A$37,menu!$C$2:$C$37,"")</f>
        <v/>
      </c>
      <c r="H1489" t="str">
        <f>_xlfn.LET(_xlpm.x,_xlfn.XLOOKUP(_xlfn.XLOOKUP(D1489,beans!$A$2:$A$300,beans!$I$2:$I$300),menu!$E$2:$E$20,menu!$F$2:$F$20),IF(_xlpm.x="","",_xlpm.x))</f>
        <v/>
      </c>
      <c r="T1489" s="68" t="str">
        <f t="shared" si="158"/>
        <v/>
      </c>
      <c r="U1489" t="str">
        <f t="shared" si="154"/>
        <v/>
      </c>
      <c r="V1489">
        <f t="shared" si="159"/>
        <v>0</v>
      </c>
      <c r="W1489" t="str">
        <f t="shared" si="155"/>
        <v/>
      </c>
      <c r="AB1489" s="28" t="str">
        <f t="shared" si="156"/>
        <v xml:space="preserve"> </v>
      </c>
      <c r="AE1489" s="61" t="str">
        <f t="shared" si="157"/>
        <v/>
      </c>
      <c r="AF1489" s="77" t="str">
        <f>_xlfn.XLOOKUP(AD1489,menu!$K$2:$K$9,menu!$J$2:$J$9,"",1)</f>
        <v/>
      </c>
      <c r="AG1489" s="80" t="str">
        <f>_xlfn.XLOOKUP(AH1489,menu!$O$2:$O$9,menu!$H$2:$H$9,"")</f>
        <v/>
      </c>
      <c r="AI1489" t="str">
        <f>_xlfn.LET(_xlpm.x,_xlfn.CONCAT(_xlfn.XLOOKUP(D1489,beans!$A$2:$A$300,beans!$J$2:$J$300,"")," / ",_xlfn.XLOOKUP(D1489,beans!$A$2:$A$300,beans!$K$2:$K$300,"")," - ",_xlfn.XLOOKUP(D1489,beans!$A$2:$A$300,beans!$L$2:$L$300,"")),IF(_xlpm.x=" /  - ","",_xlpm.x))</f>
        <v/>
      </c>
    </row>
    <row r="1490" spans="1:35" x14ac:dyDescent="0.3">
      <c r="A1490">
        <v>1473</v>
      </c>
      <c r="E1490" t="str">
        <f>_xlfn.LET(_xlpm.x,_xlfn.XLOOKUP(D1490,beans!$A$2:$A$300,beans!$H$2:$H$300,""),IF(_xlpm.x="","",_xlpm.x))</f>
        <v/>
      </c>
      <c r="F1490" s="22" t="str">
        <f>_xlfn.XLOOKUP(E1490,menu!$A$2:$A$37,menu!$B$2:$B$37,"")</f>
        <v/>
      </c>
      <c r="G1490" t="str">
        <f>_xlfn.XLOOKUP(E1490,menu!$A$2:$A$37,menu!$C$2:$C$37,"")</f>
        <v/>
      </c>
      <c r="H1490" t="str">
        <f>_xlfn.LET(_xlpm.x,_xlfn.XLOOKUP(_xlfn.XLOOKUP(D1490,beans!$A$2:$A$300,beans!$I$2:$I$300),menu!$E$2:$E$20,menu!$F$2:$F$20),IF(_xlpm.x="","",_xlpm.x))</f>
        <v/>
      </c>
      <c r="T1490" s="68" t="str">
        <f t="shared" si="158"/>
        <v/>
      </c>
      <c r="U1490" t="str">
        <f t="shared" si="154"/>
        <v/>
      </c>
      <c r="V1490">
        <f t="shared" si="159"/>
        <v>0</v>
      </c>
      <c r="W1490" t="str">
        <f t="shared" si="155"/>
        <v/>
      </c>
      <c r="AB1490" s="28" t="str">
        <f t="shared" si="156"/>
        <v xml:space="preserve"> </v>
      </c>
      <c r="AE1490" s="61" t="str">
        <f t="shared" si="157"/>
        <v/>
      </c>
      <c r="AF1490" s="77" t="str">
        <f>_xlfn.XLOOKUP(AD1490,menu!$K$2:$K$9,menu!$J$2:$J$9,"",1)</f>
        <v/>
      </c>
      <c r="AG1490" s="80" t="str">
        <f>_xlfn.XLOOKUP(AH1490,menu!$O$2:$O$9,menu!$H$2:$H$9,"")</f>
        <v/>
      </c>
      <c r="AI1490" t="str">
        <f>_xlfn.LET(_xlpm.x,_xlfn.CONCAT(_xlfn.XLOOKUP(D1490,beans!$A$2:$A$300,beans!$J$2:$J$300,"")," / ",_xlfn.XLOOKUP(D1490,beans!$A$2:$A$300,beans!$K$2:$K$300,"")," - ",_xlfn.XLOOKUP(D1490,beans!$A$2:$A$300,beans!$L$2:$L$300,"")),IF(_xlpm.x=" /  - ","",_xlpm.x))</f>
        <v/>
      </c>
    </row>
    <row r="1491" spans="1:35" x14ac:dyDescent="0.3">
      <c r="A1491">
        <v>1474</v>
      </c>
      <c r="E1491" t="str">
        <f>_xlfn.LET(_xlpm.x,_xlfn.XLOOKUP(D1491,beans!$A$2:$A$300,beans!$H$2:$H$300,""),IF(_xlpm.x="","",_xlpm.x))</f>
        <v/>
      </c>
      <c r="F1491" s="22" t="str">
        <f>_xlfn.XLOOKUP(E1491,menu!$A$2:$A$37,menu!$B$2:$B$37,"")</f>
        <v/>
      </c>
      <c r="G1491" t="str">
        <f>_xlfn.XLOOKUP(E1491,menu!$A$2:$A$37,menu!$C$2:$C$37,"")</f>
        <v/>
      </c>
      <c r="H1491" t="str">
        <f>_xlfn.LET(_xlpm.x,_xlfn.XLOOKUP(_xlfn.XLOOKUP(D1491,beans!$A$2:$A$300,beans!$I$2:$I$300),menu!$E$2:$E$20,menu!$F$2:$F$20),IF(_xlpm.x="","",_xlpm.x))</f>
        <v/>
      </c>
      <c r="T1491" s="68" t="str">
        <f t="shared" si="158"/>
        <v/>
      </c>
      <c r="U1491" t="str">
        <f t="shared" si="154"/>
        <v/>
      </c>
      <c r="V1491">
        <f t="shared" si="159"/>
        <v>0</v>
      </c>
      <c r="W1491" t="str">
        <f t="shared" si="155"/>
        <v/>
      </c>
      <c r="AB1491" s="28" t="str">
        <f t="shared" si="156"/>
        <v xml:space="preserve"> </v>
      </c>
      <c r="AE1491" s="61" t="str">
        <f t="shared" si="157"/>
        <v/>
      </c>
      <c r="AF1491" s="77" t="str">
        <f>_xlfn.XLOOKUP(AD1491,menu!$K$2:$K$9,menu!$J$2:$J$9,"",1)</f>
        <v/>
      </c>
      <c r="AG1491" s="80" t="str">
        <f>_xlfn.XLOOKUP(AH1491,menu!$O$2:$O$9,menu!$H$2:$H$9,"")</f>
        <v/>
      </c>
      <c r="AI1491" t="str">
        <f>_xlfn.LET(_xlpm.x,_xlfn.CONCAT(_xlfn.XLOOKUP(D1491,beans!$A$2:$A$300,beans!$J$2:$J$300,"")," / ",_xlfn.XLOOKUP(D1491,beans!$A$2:$A$300,beans!$K$2:$K$300,"")," - ",_xlfn.XLOOKUP(D1491,beans!$A$2:$A$300,beans!$L$2:$L$300,"")),IF(_xlpm.x=" /  - ","",_xlpm.x))</f>
        <v/>
      </c>
    </row>
    <row r="1492" spans="1:35" x14ac:dyDescent="0.3">
      <c r="A1492">
        <v>1475</v>
      </c>
      <c r="E1492" t="str">
        <f>_xlfn.LET(_xlpm.x,_xlfn.XLOOKUP(D1492,beans!$A$2:$A$300,beans!$H$2:$H$300,""),IF(_xlpm.x="","",_xlpm.x))</f>
        <v/>
      </c>
      <c r="F1492" s="22" t="str">
        <f>_xlfn.XLOOKUP(E1492,menu!$A$2:$A$37,menu!$B$2:$B$37,"")</f>
        <v/>
      </c>
      <c r="G1492" t="str">
        <f>_xlfn.XLOOKUP(E1492,menu!$A$2:$A$37,menu!$C$2:$C$37,"")</f>
        <v/>
      </c>
      <c r="H1492" t="str">
        <f>_xlfn.LET(_xlpm.x,_xlfn.XLOOKUP(_xlfn.XLOOKUP(D1492,beans!$A$2:$A$300,beans!$I$2:$I$300),menu!$E$2:$E$20,menu!$F$2:$F$20),IF(_xlpm.x="","",_xlpm.x))</f>
        <v/>
      </c>
      <c r="T1492" s="68" t="str">
        <f t="shared" si="158"/>
        <v/>
      </c>
      <c r="U1492" t="str">
        <f t="shared" si="154"/>
        <v/>
      </c>
      <c r="V1492">
        <f t="shared" si="159"/>
        <v>0</v>
      </c>
      <c r="W1492" t="str">
        <f t="shared" si="155"/>
        <v/>
      </c>
      <c r="AB1492" s="28" t="str">
        <f t="shared" si="156"/>
        <v xml:space="preserve"> </v>
      </c>
      <c r="AE1492" s="61" t="str">
        <f t="shared" si="157"/>
        <v/>
      </c>
      <c r="AF1492" s="77" t="str">
        <f>_xlfn.XLOOKUP(AD1492,menu!$K$2:$K$9,menu!$J$2:$J$9,"",1)</f>
        <v/>
      </c>
      <c r="AG1492" s="80" t="str">
        <f>_xlfn.XLOOKUP(AH1492,menu!$O$2:$O$9,menu!$H$2:$H$9,"")</f>
        <v/>
      </c>
      <c r="AI1492" t="str">
        <f>_xlfn.LET(_xlpm.x,_xlfn.CONCAT(_xlfn.XLOOKUP(D1492,beans!$A$2:$A$300,beans!$J$2:$J$300,"")," / ",_xlfn.XLOOKUP(D1492,beans!$A$2:$A$300,beans!$K$2:$K$300,"")," - ",_xlfn.XLOOKUP(D1492,beans!$A$2:$A$300,beans!$L$2:$L$300,"")),IF(_xlpm.x=" /  - ","",_xlpm.x))</f>
        <v/>
      </c>
    </row>
    <row r="1493" spans="1:35" x14ac:dyDescent="0.3">
      <c r="A1493">
        <v>1476</v>
      </c>
      <c r="E1493" t="str">
        <f>_xlfn.LET(_xlpm.x,_xlfn.XLOOKUP(D1493,beans!$A$2:$A$300,beans!$H$2:$H$300,""),IF(_xlpm.x="","",_xlpm.x))</f>
        <v/>
      </c>
      <c r="F1493" s="22" t="str">
        <f>_xlfn.XLOOKUP(E1493,menu!$A$2:$A$37,menu!$B$2:$B$37,"")</f>
        <v/>
      </c>
      <c r="G1493" t="str">
        <f>_xlfn.XLOOKUP(E1493,menu!$A$2:$A$37,menu!$C$2:$C$37,"")</f>
        <v/>
      </c>
      <c r="H1493" t="str">
        <f>_xlfn.LET(_xlpm.x,_xlfn.XLOOKUP(_xlfn.XLOOKUP(D1493,beans!$A$2:$A$300,beans!$I$2:$I$300),menu!$E$2:$E$20,menu!$F$2:$F$20),IF(_xlpm.x="","",_xlpm.x))</f>
        <v/>
      </c>
      <c r="T1493" s="68" t="str">
        <f t="shared" si="158"/>
        <v/>
      </c>
      <c r="U1493" t="str">
        <f t="shared" si="154"/>
        <v/>
      </c>
      <c r="V1493">
        <f t="shared" si="159"/>
        <v>0</v>
      </c>
      <c r="W1493" t="str">
        <f t="shared" si="155"/>
        <v/>
      </c>
      <c r="AB1493" s="28" t="str">
        <f t="shared" si="156"/>
        <v xml:space="preserve"> </v>
      </c>
      <c r="AE1493" s="61" t="str">
        <f t="shared" si="157"/>
        <v/>
      </c>
      <c r="AF1493" s="77" t="str">
        <f>_xlfn.XLOOKUP(AD1493,menu!$K$2:$K$9,menu!$J$2:$J$9,"",1)</f>
        <v/>
      </c>
      <c r="AG1493" s="80" t="str">
        <f>_xlfn.XLOOKUP(AH1493,menu!$O$2:$O$9,menu!$H$2:$H$9,"")</f>
        <v/>
      </c>
      <c r="AI1493" t="str">
        <f>_xlfn.LET(_xlpm.x,_xlfn.CONCAT(_xlfn.XLOOKUP(D1493,beans!$A$2:$A$300,beans!$J$2:$J$300,"")," / ",_xlfn.XLOOKUP(D1493,beans!$A$2:$A$300,beans!$K$2:$K$300,"")," - ",_xlfn.XLOOKUP(D1493,beans!$A$2:$A$300,beans!$L$2:$L$300,"")),IF(_xlpm.x=" /  - ","",_xlpm.x))</f>
        <v/>
      </c>
    </row>
    <row r="1494" spans="1:35" x14ac:dyDescent="0.3">
      <c r="A1494">
        <v>1477</v>
      </c>
      <c r="E1494" t="str">
        <f>_xlfn.LET(_xlpm.x,_xlfn.XLOOKUP(D1494,beans!$A$2:$A$300,beans!$H$2:$H$300,""),IF(_xlpm.x="","",_xlpm.x))</f>
        <v/>
      </c>
      <c r="F1494" s="22" t="str">
        <f>_xlfn.XLOOKUP(E1494,menu!$A$2:$A$37,menu!$B$2:$B$37,"")</f>
        <v/>
      </c>
      <c r="G1494" t="str">
        <f>_xlfn.XLOOKUP(E1494,menu!$A$2:$A$37,menu!$C$2:$C$37,"")</f>
        <v/>
      </c>
      <c r="H1494" t="str">
        <f>_xlfn.LET(_xlpm.x,_xlfn.XLOOKUP(_xlfn.XLOOKUP(D1494,beans!$A$2:$A$300,beans!$I$2:$I$300),menu!$E$2:$E$20,menu!$F$2:$F$20),IF(_xlpm.x="","",_xlpm.x))</f>
        <v/>
      </c>
      <c r="T1494" s="68" t="str">
        <f t="shared" si="158"/>
        <v/>
      </c>
      <c r="U1494" t="str">
        <f t="shared" si="154"/>
        <v/>
      </c>
      <c r="V1494">
        <f t="shared" si="159"/>
        <v>0</v>
      </c>
      <c r="W1494" t="str">
        <f t="shared" si="155"/>
        <v/>
      </c>
      <c r="AB1494" s="28" t="str">
        <f t="shared" si="156"/>
        <v xml:space="preserve"> </v>
      </c>
      <c r="AE1494" s="61" t="str">
        <f t="shared" si="157"/>
        <v/>
      </c>
      <c r="AF1494" s="77" t="str">
        <f>_xlfn.XLOOKUP(AD1494,menu!$K$2:$K$9,menu!$J$2:$J$9,"",1)</f>
        <v/>
      </c>
      <c r="AG1494" s="80" t="str">
        <f>_xlfn.XLOOKUP(AH1494,menu!$O$2:$O$9,menu!$H$2:$H$9,"")</f>
        <v/>
      </c>
      <c r="AI1494" t="str">
        <f>_xlfn.LET(_xlpm.x,_xlfn.CONCAT(_xlfn.XLOOKUP(D1494,beans!$A$2:$A$300,beans!$J$2:$J$300,"")," / ",_xlfn.XLOOKUP(D1494,beans!$A$2:$A$300,beans!$K$2:$K$300,"")," - ",_xlfn.XLOOKUP(D1494,beans!$A$2:$A$300,beans!$L$2:$L$300,"")),IF(_xlpm.x=" /  - ","",_xlpm.x))</f>
        <v/>
      </c>
    </row>
    <row r="1495" spans="1:35" x14ac:dyDescent="0.3">
      <c r="A1495">
        <v>1478</v>
      </c>
      <c r="E1495" t="str">
        <f>_xlfn.LET(_xlpm.x,_xlfn.XLOOKUP(D1495,beans!$A$2:$A$300,beans!$H$2:$H$300,""),IF(_xlpm.x="","",_xlpm.x))</f>
        <v/>
      </c>
      <c r="F1495" s="22" t="str">
        <f>_xlfn.XLOOKUP(E1495,menu!$A$2:$A$37,menu!$B$2:$B$37,"")</f>
        <v/>
      </c>
      <c r="G1495" t="str">
        <f>_xlfn.XLOOKUP(E1495,menu!$A$2:$A$37,menu!$C$2:$C$37,"")</f>
        <v/>
      </c>
      <c r="H1495" t="str">
        <f>_xlfn.LET(_xlpm.x,_xlfn.XLOOKUP(_xlfn.XLOOKUP(D1495,beans!$A$2:$A$300,beans!$I$2:$I$300),menu!$E$2:$E$20,menu!$F$2:$F$20),IF(_xlpm.x="","",_xlpm.x))</f>
        <v/>
      </c>
      <c r="T1495" s="68" t="str">
        <f t="shared" si="158"/>
        <v/>
      </c>
      <c r="U1495" t="str">
        <f t="shared" si="154"/>
        <v/>
      </c>
      <c r="V1495">
        <f t="shared" si="159"/>
        <v>0</v>
      </c>
      <c r="W1495" t="str">
        <f t="shared" si="155"/>
        <v/>
      </c>
      <c r="AB1495" s="28" t="str">
        <f t="shared" si="156"/>
        <v xml:space="preserve"> </v>
      </c>
      <c r="AE1495" s="61" t="str">
        <f t="shared" si="157"/>
        <v/>
      </c>
      <c r="AF1495" s="77" t="str">
        <f>_xlfn.XLOOKUP(AD1495,menu!$K$2:$K$9,menu!$J$2:$J$9,"",1)</f>
        <v/>
      </c>
      <c r="AG1495" s="80" t="str">
        <f>_xlfn.XLOOKUP(AH1495,menu!$O$2:$O$9,menu!$H$2:$H$9,"")</f>
        <v/>
      </c>
      <c r="AI1495" t="str">
        <f>_xlfn.LET(_xlpm.x,_xlfn.CONCAT(_xlfn.XLOOKUP(D1495,beans!$A$2:$A$300,beans!$J$2:$J$300,"")," / ",_xlfn.XLOOKUP(D1495,beans!$A$2:$A$300,beans!$K$2:$K$300,"")," - ",_xlfn.XLOOKUP(D1495,beans!$A$2:$A$300,beans!$L$2:$L$300,"")),IF(_xlpm.x=" /  - ","",_xlpm.x))</f>
        <v/>
      </c>
    </row>
    <row r="1496" spans="1:35" x14ac:dyDescent="0.3">
      <c r="A1496">
        <v>1479</v>
      </c>
      <c r="E1496" t="str">
        <f>_xlfn.LET(_xlpm.x,_xlfn.XLOOKUP(D1496,beans!$A$2:$A$300,beans!$H$2:$H$300,""),IF(_xlpm.x="","",_xlpm.x))</f>
        <v/>
      </c>
      <c r="F1496" s="22" t="str">
        <f>_xlfn.XLOOKUP(E1496,menu!$A$2:$A$37,menu!$B$2:$B$37,"")</f>
        <v/>
      </c>
      <c r="G1496" t="str">
        <f>_xlfn.XLOOKUP(E1496,menu!$A$2:$A$37,menu!$C$2:$C$37,"")</f>
        <v/>
      </c>
      <c r="H1496" t="str">
        <f>_xlfn.LET(_xlpm.x,_xlfn.XLOOKUP(_xlfn.XLOOKUP(D1496,beans!$A$2:$A$300,beans!$I$2:$I$300),menu!$E$2:$E$20,menu!$F$2:$F$20),IF(_xlpm.x="","",_xlpm.x))</f>
        <v/>
      </c>
      <c r="T1496" s="68" t="str">
        <f t="shared" si="158"/>
        <v/>
      </c>
      <c r="U1496" t="str">
        <f t="shared" si="154"/>
        <v/>
      </c>
      <c r="V1496">
        <f t="shared" si="159"/>
        <v>0</v>
      </c>
      <c r="W1496" t="str">
        <f t="shared" si="155"/>
        <v/>
      </c>
      <c r="AB1496" s="28" t="str">
        <f t="shared" si="156"/>
        <v xml:space="preserve"> </v>
      </c>
      <c r="AE1496" s="61" t="str">
        <f t="shared" si="157"/>
        <v/>
      </c>
      <c r="AF1496" s="77" t="str">
        <f>_xlfn.XLOOKUP(AD1496,menu!$K$2:$K$9,menu!$J$2:$J$9,"",1)</f>
        <v/>
      </c>
      <c r="AG1496" s="80" t="str">
        <f>_xlfn.XLOOKUP(AH1496,menu!$O$2:$O$9,menu!$H$2:$H$9,"")</f>
        <v/>
      </c>
      <c r="AI1496" t="str">
        <f>_xlfn.LET(_xlpm.x,_xlfn.CONCAT(_xlfn.XLOOKUP(D1496,beans!$A$2:$A$300,beans!$J$2:$J$300,"")," / ",_xlfn.XLOOKUP(D1496,beans!$A$2:$A$300,beans!$K$2:$K$300,"")," - ",_xlfn.XLOOKUP(D1496,beans!$A$2:$A$300,beans!$L$2:$L$300,"")),IF(_xlpm.x=" /  - ","",_xlpm.x))</f>
        <v/>
      </c>
    </row>
    <row r="1497" spans="1:35" x14ac:dyDescent="0.3">
      <c r="A1497">
        <v>1480</v>
      </c>
      <c r="E1497" t="str">
        <f>_xlfn.LET(_xlpm.x,_xlfn.XLOOKUP(D1497,beans!$A$2:$A$300,beans!$H$2:$H$300,""),IF(_xlpm.x="","",_xlpm.x))</f>
        <v/>
      </c>
      <c r="F1497" s="22" t="str">
        <f>_xlfn.XLOOKUP(E1497,menu!$A$2:$A$37,menu!$B$2:$B$37,"")</f>
        <v/>
      </c>
      <c r="G1497" t="str">
        <f>_xlfn.XLOOKUP(E1497,menu!$A$2:$A$37,menu!$C$2:$C$37,"")</f>
        <v/>
      </c>
      <c r="H1497" t="str">
        <f>_xlfn.LET(_xlpm.x,_xlfn.XLOOKUP(_xlfn.XLOOKUP(D1497,beans!$A$2:$A$300,beans!$I$2:$I$300),menu!$E$2:$E$20,menu!$F$2:$F$20),IF(_xlpm.x="","",_xlpm.x))</f>
        <v/>
      </c>
      <c r="T1497" s="68" t="str">
        <f t="shared" si="158"/>
        <v/>
      </c>
      <c r="U1497" t="str">
        <f t="shared" si="154"/>
        <v/>
      </c>
      <c r="V1497">
        <f t="shared" si="159"/>
        <v>0</v>
      </c>
      <c r="W1497" t="str">
        <f t="shared" si="155"/>
        <v/>
      </c>
      <c r="AB1497" s="28" t="str">
        <f t="shared" si="156"/>
        <v xml:space="preserve"> </v>
      </c>
      <c r="AE1497" s="61" t="str">
        <f t="shared" si="157"/>
        <v/>
      </c>
      <c r="AF1497" s="77" t="str">
        <f>_xlfn.XLOOKUP(AD1497,menu!$K$2:$K$9,menu!$J$2:$J$9,"",1)</f>
        <v/>
      </c>
      <c r="AG1497" s="80" t="str">
        <f>_xlfn.XLOOKUP(AH1497,menu!$O$2:$O$9,menu!$H$2:$H$9,"")</f>
        <v/>
      </c>
      <c r="AI1497" t="str">
        <f>_xlfn.LET(_xlpm.x,_xlfn.CONCAT(_xlfn.XLOOKUP(D1497,beans!$A$2:$A$300,beans!$J$2:$J$300,"")," / ",_xlfn.XLOOKUP(D1497,beans!$A$2:$A$300,beans!$K$2:$K$300,"")," - ",_xlfn.XLOOKUP(D1497,beans!$A$2:$A$300,beans!$L$2:$L$300,"")),IF(_xlpm.x=" /  - ","",_xlpm.x))</f>
        <v/>
      </c>
    </row>
    <row r="1498" spans="1:35" x14ac:dyDescent="0.3">
      <c r="A1498">
        <v>1481</v>
      </c>
      <c r="E1498" t="str">
        <f>_xlfn.LET(_xlpm.x,_xlfn.XLOOKUP(D1498,beans!$A$2:$A$300,beans!$H$2:$H$300,""),IF(_xlpm.x="","",_xlpm.x))</f>
        <v/>
      </c>
      <c r="F1498" s="22" t="str">
        <f>_xlfn.XLOOKUP(E1498,menu!$A$2:$A$37,menu!$B$2:$B$37,"")</f>
        <v/>
      </c>
      <c r="G1498" t="str">
        <f>_xlfn.XLOOKUP(E1498,menu!$A$2:$A$37,menu!$C$2:$C$37,"")</f>
        <v/>
      </c>
      <c r="H1498" t="str">
        <f>_xlfn.LET(_xlpm.x,_xlfn.XLOOKUP(_xlfn.XLOOKUP(D1498,beans!$A$2:$A$300,beans!$I$2:$I$300),menu!$E$2:$E$20,menu!$F$2:$F$20),IF(_xlpm.x="","",_xlpm.x))</f>
        <v/>
      </c>
      <c r="T1498" s="68" t="str">
        <f t="shared" si="158"/>
        <v/>
      </c>
      <c r="U1498" t="str">
        <f t="shared" si="154"/>
        <v/>
      </c>
      <c r="V1498">
        <f t="shared" si="159"/>
        <v>0</v>
      </c>
      <c r="W1498" t="str">
        <f t="shared" si="155"/>
        <v/>
      </c>
      <c r="AB1498" s="28" t="str">
        <f t="shared" si="156"/>
        <v xml:space="preserve"> </v>
      </c>
      <c r="AE1498" s="61" t="str">
        <f t="shared" si="157"/>
        <v/>
      </c>
      <c r="AF1498" s="77" t="str">
        <f>_xlfn.XLOOKUP(AD1498,menu!$K$2:$K$9,menu!$J$2:$J$9,"",1)</f>
        <v/>
      </c>
      <c r="AG1498" s="80" t="str">
        <f>_xlfn.XLOOKUP(AH1498,menu!$O$2:$O$9,menu!$H$2:$H$9,"")</f>
        <v/>
      </c>
      <c r="AI1498" t="str">
        <f>_xlfn.LET(_xlpm.x,_xlfn.CONCAT(_xlfn.XLOOKUP(D1498,beans!$A$2:$A$300,beans!$J$2:$J$300,"")," / ",_xlfn.XLOOKUP(D1498,beans!$A$2:$A$300,beans!$K$2:$K$300,"")," - ",_xlfn.XLOOKUP(D1498,beans!$A$2:$A$300,beans!$L$2:$L$300,"")),IF(_xlpm.x=" /  - ","",_xlpm.x))</f>
        <v/>
      </c>
    </row>
    <row r="1499" spans="1:35" x14ac:dyDescent="0.3">
      <c r="A1499">
        <v>1482</v>
      </c>
      <c r="E1499" t="str">
        <f>_xlfn.LET(_xlpm.x,_xlfn.XLOOKUP(D1499,beans!$A$2:$A$300,beans!$H$2:$H$300,""),IF(_xlpm.x="","",_xlpm.x))</f>
        <v/>
      </c>
      <c r="F1499" s="22" t="str">
        <f>_xlfn.XLOOKUP(E1499,menu!$A$2:$A$37,menu!$B$2:$B$37,"")</f>
        <v/>
      </c>
      <c r="G1499" t="str">
        <f>_xlfn.XLOOKUP(E1499,menu!$A$2:$A$37,menu!$C$2:$C$37,"")</f>
        <v/>
      </c>
      <c r="H1499" t="str">
        <f>_xlfn.LET(_xlpm.x,_xlfn.XLOOKUP(_xlfn.XLOOKUP(D1499,beans!$A$2:$A$300,beans!$I$2:$I$300),menu!$E$2:$E$20,menu!$F$2:$F$20),IF(_xlpm.x="","",_xlpm.x))</f>
        <v/>
      </c>
      <c r="T1499" s="68" t="str">
        <f t="shared" si="158"/>
        <v/>
      </c>
      <c r="U1499" t="str">
        <f t="shared" si="154"/>
        <v/>
      </c>
      <c r="V1499">
        <f t="shared" si="159"/>
        <v>0</v>
      </c>
      <c r="W1499" t="str">
        <f t="shared" si="155"/>
        <v/>
      </c>
      <c r="AB1499" s="28" t="str">
        <f t="shared" si="156"/>
        <v xml:space="preserve"> </v>
      </c>
      <c r="AE1499" s="61" t="str">
        <f t="shared" si="157"/>
        <v/>
      </c>
      <c r="AF1499" s="77" t="str">
        <f>_xlfn.XLOOKUP(AD1499,menu!$K$2:$K$9,menu!$J$2:$J$9,"",1)</f>
        <v/>
      </c>
      <c r="AG1499" s="80" t="str">
        <f>_xlfn.XLOOKUP(AH1499,menu!$O$2:$O$9,menu!$H$2:$H$9,"")</f>
        <v/>
      </c>
      <c r="AI1499" t="str">
        <f>_xlfn.LET(_xlpm.x,_xlfn.CONCAT(_xlfn.XLOOKUP(D1499,beans!$A$2:$A$300,beans!$J$2:$J$300,"")," / ",_xlfn.XLOOKUP(D1499,beans!$A$2:$A$300,beans!$K$2:$K$300,"")," - ",_xlfn.XLOOKUP(D1499,beans!$A$2:$A$300,beans!$L$2:$L$300,"")),IF(_xlpm.x=" /  - ","",_xlpm.x))</f>
        <v/>
      </c>
    </row>
    <row r="1500" spans="1:35" x14ac:dyDescent="0.3">
      <c r="A1500">
        <v>1483</v>
      </c>
      <c r="E1500" t="str">
        <f>_xlfn.LET(_xlpm.x,_xlfn.XLOOKUP(D1500,beans!$A$2:$A$300,beans!$H$2:$H$300,""),IF(_xlpm.x="","",_xlpm.x))</f>
        <v/>
      </c>
      <c r="F1500" s="22" t="str">
        <f>_xlfn.XLOOKUP(E1500,menu!$A$2:$A$37,menu!$B$2:$B$37,"")</f>
        <v/>
      </c>
      <c r="G1500" t="str">
        <f>_xlfn.XLOOKUP(E1500,menu!$A$2:$A$37,menu!$C$2:$C$37,"")</f>
        <v/>
      </c>
      <c r="H1500" t="str">
        <f>_xlfn.LET(_xlpm.x,_xlfn.XLOOKUP(_xlfn.XLOOKUP(D1500,beans!$A$2:$A$300,beans!$I$2:$I$300),menu!$E$2:$E$20,menu!$F$2:$F$20),IF(_xlpm.x="","",_xlpm.x))</f>
        <v/>
      </c>
      <c r="T1500" s="68" t="str">
        <f t="shared" si="158"/>
        <v/>
      </c>
      <c r="U1500" t="str">
        <f t="shared" si="154"/>
        <v/>
      </c>
      <c r="V1500">
        <f t="shared" si="159"/>
        <v>0</v>
      </c>
      <c r="W1500" t="str">
        <f t="shared" si="155"/>
        <v/>
      </c>
      <c r="AB1500" s="28" t="str">
        <f t="shared" si="156"/>
        <v xml:space="preserve"> </v>
      </c>
      <c r="AE1500" s="61" t="str">
        <f t="shared" si="157"/>
        <v/>
      </c>
      <c r="AF1500" s="77" t="str">
        <f>_xlfn.XLOOKUP(AD1500,menu!$K$2:$K$9,menu!$J$2:$J$9,"",1)</f>
        <v/>
      </c>
      <c r="AG1500" s="80" t="str">
        <f>_xlfn.XLOOKUP(AH1500,menu!$O$2:$O$9,menu!$H$2:$H$9,"")</f>
        <v/>
      </c>
      <c r="AI1500" t="str">
        <f>_xlfn.LET(_xlpm.x,_xlfn.CONCAT(_xlfn.XLOOKUP(D1500,beans!$A$2:$A$300,beans!$J$2:$J$300,"")," / ",_xlfn.XLOOKUP(D1500,beans!$A$2:$A$300,beans!$K$2:$K$300,"")," - ",_xlfn.XLOOKUP(D1500,beans!$A$2:$A$300,beans!$L$2:$L$300,"")),IF(_xlpm.x=" /  - ","",_xlpm.x))</f>
        <v/>
      </c>
    </row>
    <row r="1501" spans="1:35" x14ac:dyDescent="0.3">
      <c r="A1501">
        <v>1484</v>
      </c>
      <c r="H1501" t="str">
        <f>_xlfn.LET(_xlpm.x,_xlfn.XLOOKUP(_xlfn.XLOOKUP(D1501,beans!$A$2:$A$300,beans!$I$2:$I$300),menu!$E$2:$E$20,menu!$F$2:$F$20),IF(_xlpm.x="","",_xlpm.x))</f>
        <v/>
      </c>
      <c r="T1501" s="68" t="str">
        <f t="shared" si="158"/>
        <v/>
      </c>
      <c r="U1501" t="str">
        <f t="shared" si="154"/>
        <v/>
      </c>
      <c r="V1501">
        <f t="shared" si="159"/>
        <v>0</v>
      </c>
      <c r="W1501" t="str">
        <f t="shared" si="155"/>
        <v/>
      </c>
      <c r="AB1501" s="28" t="str">
        <f t="shared" si="156"/>
        <v xml:space="preserve"> </v>
      </c>
      <c r="AE1501" s="61" t="str">
        <f t="shared" si="157"/>
        <v/>
      </c>
      <c r="AF1501" s="77" t="str">
        <f>_xlfn.XLOOKUP(AD1501,menu!$K$2:$K$9,menu!$J$2:$J$9,"",1)</f>
        <v/>
      </c>
      <c r="AG1501" s="80" t="str">
        <f>_xlfn.XLOOKUP(AH1501,menu!$O$2:$O$9,menu!$H$2:$H$9,"")</f>
        <v/>
      </c>
      <c r="AI1501" t="str">
        <f>_xlfn.LET(_xlpm.x,_xlfn.CONCAT(_xlfn.XLOOKUP(D1501,beans!$A$2:$A$300,beans!$J$2:$J$300,"")," / ",_xlfn.XLOOKUP(D1501,beans!$A$2:$A$300,beans!$K$2:$K$300,"")," - ",_xlfn.XLOOKUP(D1501,beans!$A$2:$A$300,beans!$L$2:$L$300,"")),IF(_xlpm.x=" /  - ","",_xlpm.x))</f>
        <v/>
      </c>
    </row>
  </sheetData>
  <autoFilter ref="A1:AJ1501" xr:uid="{66A1624E-FD39-4063-AE2C-FD4B80532631}">
    <sortState xmlns:xlrd2="http://schemas.microsoft.com/office/spreadsheetml/2017/richdata2" ref="A28:AJ182">
      <sortCondition ref="A1:A1501"/>
    </sortState>
  </autoFilter>
  <sortState xmlns:xlrd2="http://schemas.microsoft.com/office/spreadsheetml/2017/richdata2" ref="A2:AK1501">
    <sortCondition ref="B2:B1501"/>
    <sortCondition ref="J2:J1501"/>
    <sortCondition ref="K2:K1501"/>
  </sortState>
  <phoneticPr fontId="1" type="noConversion"/>
  <conditionalFormatting sqref="A1:XFD527 A528:AI533 A534:XFD1048576 AK528:XFD533">
    <cfRule type="expression" dxfId="12" priority="9">
      <formula>AND(ISNUMBER($Z1),$Z1&lt;=0)</formula>
    </cfRule>
    <cfRule type="expression" dxfId="11" priority="10">
      <formula>AND(ISNUMBER($C1), $C1 &gt; 7)</formula>
    </cfRule>
  </conditionalFormatting>
  <conditionalFormatting sqref="T1:T1048576">
    <cfRule type="cellIs" dxfId="10" priority="6" operator="lessThan">
      <formula>7</formula>
    </cfRule>
  </conditionalFormatting>
  <conditionalFormatting sqref="W1:W1048576">
    <cfRule type="dataBar" priority="7">
      <dataBar>
        <cfvo type="percent" val="0"/>
        <cfvo type="percent" val="100"/>
        <color rgb="FFFF555A"/>
      </dataBar>
      <extLst>
        <ext xmlns:x14="http://schemas.microsoft.com/office/spreadsheetml/2009/9/main" uri="{B025F937-C7B1-47D3-B67F-A62EFF666E3E}">
          <x14:id>{E7180D3A-14C7-498A-81C5-9AF42BC7DE3F}</x14:id>
        </ext>
      </extLst>
    </cfRule>
  </conditionalFormatting>
  <conditionalFormatting sqref="AJ528:AJ533">
    <cfRule type="expression" dxfId="9" priority="22">
      <formula>AND(ISNUMBER($Z529),$Z529&lt;=0)</formula>
    </cfRule>
    <cfRule type="expression" dxfId="8" priority="23">
      <formula>AND(ISNUMBER($C529), $C529 &gt; 7)</formula>
    </cfRule>
  </conditionalFormatting>
  <conditionalFormatting sqref="AJ166:XFD167">
    <cfRule type="expression" dxfId="7" priority="2">
      <formula>AND(ISNUMBER($Z166),$Z166&lt;=0)</formula>
    </cfRule>
    <cfRule type="expression" dxfId="6" priority="3">
      <formula>AND(ISNUMBER($C166), $C166 &gt; 7)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180D3A-14C7-498A-81C5-9AF42BC7DE3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892B7137-0D43-4545-A1F0-C95E4EE2F48F}">
          <x14:formula1>
            <xm:f>menu!$A$2:$A$30</xm:f>
          </x14:formula1>
          <xm:sqref>E2:E1048576</xm:sqref>
        </x14:dataValidation>
        <x14:dataValidation type="list" allowBlank="1" showInputMessage="1" showErrorMessage="1" xr:uid="{38CA489D-13E6-4C57-A442-3FAFD2B974D8}">
          <x14:formula1>
            <xm:f>menu!$O$2:$O$9</xm:f>
          </x14:formula1>
          <xm:sqref>AH2:AH1048576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5F18-5A06-4175-A56D-30410483F7D1}">
  <dimension ref="A1:B5"/>
  <sheetViews>
    <sheetView workbookViewId="0">
      <selection activeCell="C8" sqref="C8"/>
    </sheetView>
  </sheetViews>
  <sheetFormatPr defaultRowHeight="16.2" x14ac:dyDescent="0.3"/>
  <cols>
    <col min="1" max="1" width="15.109375" bestFit="1" customWidth="1"/>
    <col min="2" max="2" width="16.21875" style="87" customWidth="1"/>
  </cols>
  <sheetData>
    <row r="1" spans="1:2" x14ac:dyDescent="0.3">
      <c r="A1" s="88" t="s">
        <v>1607</v>
      </c>
      <c r="B1" s="89">
        <f>SUM(beans!P:P)</f>
        <v>52250</v>
      </c>
    </row>
    <row r="2" spans="1:2" x14ac:dyDescent="0.3">
      <c r="A2" s="13" t="s">
        <v>1608</v>
      </c>
      <c r="B2" s="90">
        <f>SUM(roasts!Z:Z)</f>
        <v>1000</v>
      </c>
    </row>
    <row r="3" spans="1:2" ht="16.8" thickBot="1" x14ac:dyDescent="0.35">
      <c r="A3" s="15" t="s">
        <v>1609</v>
      </c>
      <c r="B3" s="91">
        <f>SUM(roasts!AA:AA)</f>
        <v>0</v>
      </c>
    </row>
    <row r="5" spans="1:2" x14ac:dyDescent="0.3">
      <c r="A5" t="s">
        <v>1610</v>
      </c>
      <c r="B5" s="87">
        <f>SUM(roasts!B:B)-7100</f>
        <v>254397.99999999994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C1C1-9E0F-4DDF-A65E-DF55E34E3626}">
  <dimension ref="A1:H297"/>
  <sheetViews>
    <sheetView topLeftCell="A199" workbookViewId="0">
      <selection activeCell="D231" sqref="D231"/>
    </sheetView>
  </sheetViews>
  <sheetFormatPr defaultRowHeight="16.2" x14ac:dyDescent="0.3"/>
  <cols>
    <col min="1" max="1" width="12.77734375" style="19" customWidth="1"/>
    <col min="2" max="2" width="42.77734375" style="118" customWidth="1"/>
    <col min="4" max="4" width="11.109375" style="131" bestFit="1" customWidth="1"/>
    <col min="5" max="5" width="12.44140625" style="116" customWidth="1"/>
    <col min="6" max="7" width="8.88671875" style="115"/>
    <col min="8" max="8" width="14.109375" style="116" customWidth="1"/>
  </cols>
  <sheetData>
    <row r="1" spans="1:8" x14ac:dyDescent="0.3">
      <c r="A1" s="113" t="s">
        <v>23</v>
      </c>
      <c r="B1" s="117" t="s">
        <v>1611</v>
      </c>
      <c r="C1" s="112" t="s">
        <v>1612</v>
      </c>
      <c r="D1" s="130" t="s">
        <v>1613</v>
      </c>
      <c r="E1" s="114" t="s">
        <v>1614</v>
      </c>
      <c r="G1" s="115" t="s">
        <v>1615</v>
      </c>
      <c r="H1" s="116">
        <f>SUM(E:E)</f>
        <v>-3529</v>
      </c>
    </row>
    <row r="2" spans="1:8" x14ac:dyDescent="0.3">
      <c r="A2" s="19">
        <v>45221</v>
      </c>
      <c r="B2" s="118" t="s">
        <v>1616</v>
      </c>
      <c r="C2">
        <v>2</v>
      </c>
      <c r="D2" s="131">
        <v>-530</v>
      </c>
      <c r="E2" s="116">
        <f t="shared" ref="E2:E33" si="0">C2*D2</f>
        <v>-1060</v>
      </c>
      <c r="G2" s="115" t="s">
        <v>1617</v>
      </c>
      <c r="H2" s="116">
        <f>SUMIF(E:E,"&gt;0")</f>
        <v>170068</v>
      </c>
    </row>
    <row r="3" spans="1:8" x14ac:dyDescent="0.3">
      <c r="A3" s="19">
        <v>45221</v>
      </c>
      <c r="B3" s="118" t="s">
        <v>1618</v>
      </c>
      <c r="C3">
        <v>5</v>
      </c>
      <c r="D3" s="131">
        <v>-650</v>
      </c>
      <c r="E3" s="116">
        <f t="shared" si="0"/>
        <v>-3250</v>
      </c>
      <c r="G3" s="115" t="s">
        <v>1619</v>
      </c>
      <c r="H3" s="116">
        <f>SUMIF(E:E,"&lt;0")</f>
        <v>-173597</v>
      </c>
    </row>
    <row r="4" spans="1:8" x14ac:dyDescent="0.3">
      <c r="A4" s="19">
        <v>45221</v>
      </c>
      <c r="B4" s="118" t="s">
        <v>1139</v>
      </c>
      <c r="C4">
        <v>1</v>
      </c>
      <c r="D4" s="131">
        <v>-520</v>
      </c>
      <c r="E4" s="116">
        <f t="shared" si="0"/>
        <v>-520</v>
      </c>
    </row>
    <row r="5" spans="1:8" x14ac:dyDescent="0.3">
      <c r="A5" s="19">
        <v>45236</v>
      </c>
      <c r="B5" s="118" t="s">
        <v>1620</v>
      </c>
      <c r="C5">
        <v>1</v>
      </c>
      <c r="D5" s="131">
        <v>-13917</v>
      </c>
      <c r="E5" s="116">
        <f t="shared" si="0"/>
        <v>-13917</v>
      </c>
    </row>
    <row r="6" spans="1:8" x14ac:dyDescent="0.3">
      <c r="A6" s="19">
        <v>45241</v>
      </c>
      <c r="B6" s="118" t="s">
        <v>1139</v>
      </c>
      <c r="C6">
        <v>4</v>
      </c>
      <c r="D6" s="131">
        <v>-490</v>
      </c>
      <c r="E6" s="116">
        <f t="shared" si="0"/>
        <v>-1960</v>
      </c>
    </row>
    <row r="7" spans="1:8" x14ac:dyDescent="0.3">
      <c r="A7" s="19">
        <v>45243</v>
      </c>
      <c r="B7" s="118" t="s">
        <v>1621</v>
      </c>
      <c r="C7">
        <v>30</v>
      </c>
      <c r="D7" s="131">
        <v>-440</v>
      </c>
      <c r="E7" s="116">
        <f t="shared" si="0"/>
        <v>-13200</v>
      </c>
    </row>
    <row r="8" spans="1:8" x14ac:dyDescent="0.3">
      <c r="A8" s="19">
        <v>45245</v>
      </c>
      <c r="B8" s="118" t="s">
        <v>1622</v>
      </c>
      <c r="C8">
        <v>1</v>
      </c>
      <c r="D8" s="131">
        <v>2865</v>
      </c>
      <c r="E8" s="116">
        <f t="shared" si="0"/>
        <v>2865</v>
      </c>
    </row>
    <row r="9" spans="1:8" x14ac:dyDescent="0.3">
      <c r="A9" s="19">
        <v>45254</v>
      </c>
      <c r="B9" s="118" t="s">
        <v>1623</v>
      </c>
      <c r="C9">
        <v>5</v>
      </c>
      <c r="D9" s="131">
        <v>-440</v>
      </c>
      <c r="E9" s="116">
        <f t="shared" si="0"/>
        <v>-2200</v>
      </c>
    </row>
    <row r="10" spans="1:8" x14ac:dyDescent="0.3">
      <c r="A10" s="19">
        <v>45254</v>
      </c>
      <c r="B10" s="118" t="s">
        <v>1624</v>
      </c>
      <c r="C10">
        <v>1</v>
      </c>
      <c r="D10" s="131">
        <v>-9625</v>
      </c>
      <c r="E10" s="116">
        <f t="shared" si="0"/>
        <v>-9625</v>
      </c>
    </row>
    <row r="11" spans="1:8" x14ac:dyDescent="0.3">
      <c r="A11" s="19">
        <v>45254</v>
      </c>
      <c r="B11" s="118" t="s">
        <v>1625</v>
      </c>
      <c r="C11">
        <v>10</v>
      </c>
      <c r="D11" s="131">
        <v>-386</v>
      </c>
      <c r="E11" s="116">
        <f t="shared" si="0"/>
        <v>-3860</v>
      </c>
    </row>
    <row r="12" spans="1:8" x14ac:dyDescent="0.3">
      <c r="A12" s="19">
        <v>45254</v>
      </c>
      <c r="B12" s="118" t="s">
        <v>1626</v>
      </c>
      <c r="C12">
        <v>1</v>
      </c>
      <c r="D12" s="131">
        <v>-3415</v>
      </c>
      <c r="E12" s="116">
        <f t="shared" si="0"/>
        <v>-3415</v>
      </c>
    </row>
    <row r="13" spans="1:8" x14ac:dyDescent="0.3">
      <c r="A13" s="19">
        <v>45254</v>
      </c>
      <c r="B13" s="118" t="s">
        <v>1627</v>
      </c>
      <c r="C13">
        <v>1</v>
      </c>
      <c r="D13" s="131">
        <v>450</v>
      </c>
      <c r="E13" s="116">
        <f t="shared" si="0"/>
        <v>450</v>
      </c>
    </row>
    <row r="14" spans="1:8" x14ac:dyDescent="0.3">
      <c r="A14" s="19">
        <v>45254</v>
      </c>
      <c r="B14" s="118" t="s">
        <v>1628</v>
      </c>
      <c r="C14">
        <v>1</v>
      </c>
      <c r="D14" s="131">
        <v>375</v>
      </c>
      <c r="E14" s="116">
        <f t="shared" si="0"/>
        <v>375</v>
      </c>
    </row>
    <row r="15" spans="1:8" x14ac:dyDescent="0.3">
      <c r="A15" s="19">
        <v>45254</v>
      </c>
      <c r="B15" s="118" t="s">
        <v>1629</v>
      </c>
      <c r="C15">
        <v>1</v>
      </c>
      <c r="D15" s="131">
        <v>400</v>
      </c>
      <c r="E15" s="116">
        <f t="shared" si="0"/>
        <v>400</v>
      </c>
    </row>
    <row r="16" spans="1:8" x14ac:dyDescent="0.3">
      <c r="A16" s="19">
        <v>45254</v>
      </c>
      <c r="B16" s="118" t="s">
        <v>1630</v>
      </c>
      <c r="C16">
        <v>1</v>
      </c>
      <c r="D16" s="131">
        <v>1270</v>
      </c>
      <c r="E16" s="116">
        <f t="shared" si="0"/>
        <v>1270</v>
      </c>
    </row>
    <row r="17" spans="1:5" x14ac:dyDescent="0.3">
      <c r="A17" s="19">
        <v>45254</v>
      </c>
      <c r="B17" s="118" t="s">
        <v>1631</v>
      </c>
      <c r="C17">
        <v>1</v>
      </c>
      <c r="D17" s="131">
        <v>6160</v>
      </c>
      <c r="E17" s="116">
        <f t="shared" si="0"/>
        <v>6160</v>
      </c>
    </row>
    <row r="18" spans="1:5" x14ac:dyDescent="0.3">
      <c r="A18" s="19">
        <v>45256</v>
      </c>
      <c r="B18" s="118" t="s">
        <v>1618</v>
      </c>
      <c r="C18">
        <v>5</v>
      </c>
      <c r="D18" s="131">
        <v>-670</v>
      </c>
      <c r="E18" s="116">
        <f t="shared" si="0"/>
        <v>-3350</v>
      </c>
    </row>
    <row r="19" spans="1:5" x14ac:dyDescent="0.3">
      <c r="A19" s="19">
        <v>45259</v>
      </c>
      <c r="B19" s="118" t="s">
        <v>1632</v>
      </c>
      <c r="C19">
        <v>5</v>
      </c>
      <c r="D19" s="131">
        <v>-751</v>
      </c>
      <c r="E19" s="116">
        <f t="shared" si="0"/>
        <v>-3755</v>
      </c>
    </row>
    <row r="20" spans="1:5" x14ac:dyDescent="0.3">
      <c r="A20" s="19">
        <v>45259</v>
      </c>
      <c r="B20" s="118" t="s">
        <v>1633</v>
      </c>
      <c r="C20">
        <v>5</v>
      </c>
      <c r="D20" s="131">
        <v>-380</v>
      </c>
      <c r="E20" s="116">
        <f t="shared" si="0"/>
        <v>-1900</v>
      </c>
    </row>
    <row r="21" spans="1:5" x14ac:dyDescent="0.3">
      <c r="A21" s="19">
        <v>45271</v>
      </c>
      <c r="B21" s="118" t="s">
        <v>1634</v>
      </c>
      <c r="C21">
        <v>1</v>
      </c>
      <c r="D21" s="131">
        <v>230</v>
      </c>
      <c r="E21" s="116">
        <f t="shared" si="0"/>
        <v>230</v>
      </c>
    </row>
    <row r="22" spans="1:5" x14ac:dyDescent="0.3">
      <c r="A22" s="19">
        <v>45273</v>
      </c>
      <c r="B22" s="118" t="s">
        <v>1635</v>
      </c>
      <c r="C22">
        <v>1</v>
      </c>
      <c r="D22" s="131">
        <v>1875</v>
      </c>
      <c r="E22" s="116">
        <f t="shared" si="0"/>
        <v>1875</v>
      </c>
    </row>
    <row r="23" spans="1:5" x14ac:dyDescent="0.3">
      <c r="A23" s="19">
        <v>45276</v>
      </c>
      <c r="B23" s="118" t="s">
        <v>1636</v>
      </c>
      <c r="C23">
        <v>4</v>
      </c>
      <c r="D23" s="131">
        <v>450</v>
      </c>
      <c r="E23" s="116">
        <f t="shared" si="0"/>
        <v>1800</v>
      </c>
    </row>
    <row r="24" spans="1:5" x14ac:dyDescent="0.3">
      <c r="A24" s="19">
        <v>45281</v>
      </c>
      <c r="B24" s="118" t="s">
        <v>1637</v>
      </c>
      <c r="C24">
        <v>1</v>
      </c>
      <c r="D24" s="131">
        <v>895</v>
      </c>
      <c r="E24" s="116">
        <f t="shared" si="0"/>
        <v>895</v>
      </c>
    </row>
    <row r="25" spans="1:5" x14ac:dyDescent="0.3">
      <c r="A25" s="19">
        <v>45285</v>
      </c>
      <c r="B25" s="118" t="s">
        <v>1638</v>
      </c>
      <c r="C25">
        <v>1</v>
      </c>
      <c r="D25" s="131">
        <v>520</v>
      </c>
      <c r="E25" s="116">
        <f t="shared" si="0"/>
        <v>520</v>
      </c>
    </row>
    <row r="26" spans="1:5" x14ac:dyDescent="0.3">
      <c r="A26" s="19">
        <v>45286</v>
      </c>
      <c r="B26" s="118" t="s">
        <v>1639</v>
      </c>
      <c r="C26">
        <v>5</v>
      </c>
      <c r="D26" s="131">
        <v>-590</v>
      </c>
      <c r="E26" s="116">
        <f t="shared" si="0"/>
        <v>-2950</v>
      </c>
    </row>
    <row r="27" spans="1:5" x14ac:dyDescent="0.3">
      <c r="A27" s="19">
        <v>45286</v>
      </c>
      <c r="B27" s="118" t="s">
        <v>1640</v>
      </c>
      <c r="C27">
        <v>1</v>
      </c>
      <c r="D27" s="131">
        <v>-400</v>
      </c>
      <c r="E27" s="116">
        <f t="shared" si="0"/>
        <v>-400</v>
      </c>
    </row>
    <row r="28" spans="1:5" x14ac:dyDescent="0.3">
      <c r="A28" s="19">
        <v>45297</v>
      </c>
      <c r="B28" s="118" t="s">
        <v>1641</v>
      </c>
      <c r="C28">
        <v>1</v>
      </c>
      <c r="D28" s="131">
        <v>1380</v>
      </c>
      <c r="E28" s="116">
        <f t="shared" si="0"/>
        <v>1380</v>
      </c>
    </row>
    <row r="29" spans="1:5" x14ac:dyDescent="0.3">
      <c r="A29" s="19">
        <v>45299</v>
      </c>
      <c r="B29" s="118" t="s">
        <v>1642</v>
      </c>
      <c r="C29">
        <v>1</v>
      </c>
      <c r="D29" s="131">
        <v>970</v>
      </c>
      <c r="E29" s="116">
        <f t="shared" si="0"/>
        <v>970</v>
      </c>
    </row>
    <row r="30" spans="1:5" x14ac:dyDescent="0.3">
      <c r="A30" s="19">
        <v>45308</v>
      </c>
      <c r="B30" s="118" t="s">
        <v>1643</v>
      </c>
      <c r="C30">
        <v>1</v>
      </c>
      <c r="D30" s="131">
        <v>3135</v>
      </c>
      <c r="E30" s="116">
        <f t="shared" si="0"/>
        <v>3135</v>
      </c>
    </row>
    <row r="31" spans="1:5" x14ac:dyDescent="0.3">
      <c r="A31" s="19">
        <v>45308</v>
      </c>
      <c r="B31" s="118" t="s">
        <v>1644</v>
      </c>
      <c r="C31">
        <v>1</v>
      </c>
      <c r="D31" s="131">
        <v>200</v>
      </c>
      <c r="E31" s="116">
        <f t="shared" si="0"/>
        <v>200</v>
      </c>
    </row>
    <row r="32" spans="1:5" x14ac:dyDescent="0.3">
      <c r="A32" s="19">
        <v>45308</v>
      </c>
      <c r="B32" s="118" t="s">
        <v>1645</v>
      </c>
      <c r="C32">
        <v>1</v>
      </c>
      <c r="D32" s="131">
        <v>280</v>
      </c>
      <c r="E32" s="116">
        <f t="shared" si="0"/>
        <v>280</v>
      </c>
    </row>
    <row r="33" spans="1:5" x14ac:dyDescent="0.3">
      <c r="A33" s="19">
        <v>45318</v>
      </c>
      <c r="B33" s="118" t="s">
        <v>1646</v>
      </c>
      <c r="C33">
        <v>1</v>
      </c>
      <c r="D33" s="131">
        <v>605</v>
      </c>
      <c r="E33" s="116">
        <f t="shared" si="0"/>
        <v>605</v>
      </c>
    </row>
    <row r="34" spans="1:5" x14ac:dyDescent="0.3">
      <c r="A34" s="19">
        <v>45319</v>
      </c>
      <c r="B34" s="118" t="s">
        <v>1647</v>
      </c>
      <c r="C34">
        <v>1</v>
      </c>
      <c r="D34" s="131">
        <v>520</v>
      </c>
      <c r="E34" s="116">
        <f t="shared" ref="E34:E65" si="1">C34*D34</f>
        <v>520</v>
      </c>
    </row>
    <row r="35" spans="1:5" x14ac:dyDescent="0.3">
      <c r="A35" s="19">
        <v>45319</v>
      </c>
      <c r="B35" s="118" t="s">
        <v>1648</v>
      </c>
      <c r="C35">
        <v>1</v>
      </c>
      <c r="D35" s="131">
        <v>1720</v>
      </c>
      <c r="E35" s="116">
        <f t="shared" si="1"/>
        <v>1720</v>
      </c>
    </row>
    <row r="36" spans="1:5" x14ac:dyDescent="0.3">
      <c r="A36" s="19">
        <v>45321</v>
      </c>
      <c r="B36" s="118" t="s">
        <v>1649</v>
      </c>
      <c r="C36">
        <v>1</v>
      </c>
      <c r="D36" s="131">
        <v>-5526</v>
      </c>
      <c r="E36" s="116">
        <f t="shared" si="1"/>
        <v>-5526</v>
      </c>
    </row>
    <row r="37" spans="1:5" x14ac:dyDescent="0.3">
      <c r="A37" s="19">
        <v>45322</v>
      </c>
      <c r="B37" s="118" t="s">
        <v>1650</v>
      </c>
      <c r="C37">
        <v>1</v>
      </c>
      <c r="D37" s="131">
        <v>700</v>
      </c>
      <c r="E37" s="116">
        <f t="shared" si="1"/>
        <v>700</v>
      </c>
    </row>
    <row r="38" spans="1:5" x14ac:dyDescent="0.3">
      <c r="A38" s="19">
        <v>45330</v>
      </c>
      <c r="B38" s="118" t="s">
        <v>1651</v>
      </c>
      <c r="C38">
        <v>1</v>
      </c>
      <c r="D38" s="131">
        <v>1018</v>
      </c>
      <c r="E38" s="116">
        <f t="shared" si="1"/>
        <v>1018</v>
      </c>
    </row>
    <row r="39" spans="1:5" x14ac:dyDescent="0.3">
      <c r="A39" s="19">
        <v>45338</v>
      </c>
      <c r="B39" s="118" t="s">
        <v>1652</v>
      </c>
      <c r="C39">
        <v>1</v>
      </c>
      <c r="D39" s="131">
        <v>2190</v>
      </c>
      <c r="E39" s="116">
        <f t="shared" si="1"/>
        <v>2190</v>
      </c>
    </row>
    <row r="40" spans="1:5" x14ac:dyDescent="0.3">
      <c r="A40" s="19">
        <v>45340</v>
      </c>
      <c r="B40" s="118" t="s">
        <v>1653</v>
      </c>
      <c r="C40">
        <v>2</v>
      </c>
      <c r="D40" s="131">
        <v>-650</v>
      </c>
      <c r="E40" s="116">
        <f t="shared" si="1"/>
        <v>-1300</v>
      </c>
    </row>
    <row r="41" spans="1:5" x14ac:dyDescent="0.3">
      <c r="A41" s="19">
        <v>45341</v>
      </c>
      <c r="B41" s="118" t="s">
        <v>1654</v>
      </c>
      <c r="C41">
        <v>1</v>
      </c>
      <c r="D41" s="131">
        <v>1921</v>
      </c>
      <c r="E41" s="116">
        <f t="shared" si="1"/>
        <v>1921</v>
      </c>
    </row>
    <row r="42" spans="1:5" x14ac:dyDescent="0.3">
      <c r="A42" s="19">
        <v>45341</v>
      </c>
      <c r="B42" s="118" t="s">
        <v>1655</v>
      </c>
      <c r="C42">
        <v>1</v>
      </c>
      <c r="D42" s="131">
        <v>1260</v>
      </c>
      <c r="E42" s="116">
        <f t="shared" si="1"/>
        <v>1260</v>
      </c>
    </row>
    <row r="43" spans="1:5" x14ac:dyDescent="0.3">
      <c r="A43" s="19">
        <v>45347</v>
      </c>
      <c r="B43" s="118" t="s">
        <v>1656</v>
      </c>
      <c r="C43">
        <v>1</v>
      </c>
      <c r="D43" s="131">
        <v>450</v>
      </c>
      <c r="E43" s="116">
        <f t="shared" si="1"/>
        <v>450</v>
      </c>
    </row>
    <row r="44" spans="1:5" x14ac:dyDescent="0.3">
      <c r="A44" s="19">
        <v>45341</v>
      </c>
      <c r="B44" s="119" t="s">
        <v>1657</v>
      </c>
      <c r="C44">
        <v>1</v>
      </c>
      <c r="D44" s="131">
        <v>250</v>
      </c>
      <c r="E44" s="116">
        <f t="shared" si="1"/>
        <v>250</v>
      </c>
    </row>
    <row r="45" spans="1:5" x14ac:dyDescent="0.3">
      <c r="A45" s="19">
        <v>45347</v>
      </c>
      <c r="B45" s="118" t="s">
        <v>1658</v>
      </c>
      <c r="C45">
        <v>5</v>
      </c>
      <c r="D45" s="131">
        <v>-343</v>
      </c>
      <c r="E45" s="116">
        <f t="shared" si="1"/>
        <v>-1715</v>
      </c>
    </row>
    <row r="46" spans="1:5" x14ac:dyDescent="0.3">
      <c r="A46" s="19">
        <v>45352</v>
      </c>
      <c r="B46" s="118" t="s">
        <v>1649</v>
      </c>
      <c r="C46">
        <v>1</v>
      </c>
      <c r="D46" s="131">
        <v>-269</v>
      </c>
      <c r="E46" s="116">
        <f t="shared" si="1"/>
        <v>-269</v>
      </c>
    </row>
    <row r="47" spans="1:5" x14ac:dyDescent="0.3">
      <c r="A47" s="19">
        <v>45354</v>
      </c>
      <c r="B47" s="118" t="s">
        <v>1659</v>
      </c>
      <c r="C47">
        <v>1</v>
      </c>
      <c r="D47" s="131">
        <v>950</v>
      </c>
      <c r="E47" s="116">
        <f t="shared" si="1"/>
        <v>950</v>
      </c>
    </row>
    <row r="48" spans="1:5" x14ac:dyDescent="0.3">
      <c r="A48" s="19">
        <v>45354</v>
      </c>
      <c r="B48" s="118" t="s">
        <v>1660</v>
      </c>
      <c r="C48">
        <v>1</v>
      </c>
      <c r="D48" s="131">
        <v>1005</v>
      </c>
      <c r="E48" s="116">
        <f t="shared" si="1"/>
        <v>1005</v>
      </c>
    </row>
    <row r="49" spans="1:5" x14ac:dyDescent="0.3">
      <c r="A49" s="19">
        <v>45360</v>
      </c>
      <c r="B49" s="118" t="s">
        <v>1661</v>
      </c>
      <c r="C49">
        <v>2</v>
      </c>
      <c r="D49" s="131">
        <v>-310</v>
      </c>
      <c r="E49" s="116">
        <f t="shared" si="1"/>
        <v>-620</v>
      </c>
    </row>
    <row r="50" spans="1:5" x14ac:dyDescent="0.3">
      <c r="A50" s="19">
        <v>45355</v>
      </c>
      <c r="B50" s="118" t="s">
        <v>1662</v>
      </c>
      <c r="C50">
        <v>2</v>
      </c>
      <c r="D50" s="131">
        <v>-470</v>
      </c>
      <c r="E50" s="116">
        <f t="shared" si="1"/>
        <v>-940</v>
      </c>
    </row>
    <row r="51" spans="1:5" x14ac:dyDescent="0.3">
      <c r="A51" s="19">
        <v>45355</v>
      </c>
      <c r="B51" s="118" t="s">
        <v>1663</v>
      </c>
      <c r="C51">
        <v>2</v>
      </c>
      <c r="D51" s="131">
        <v>-854</v>
      </c>
      <c r="E51" s="116">
        <f t="shared" si="1"/>
        <v>-1708</v>
      </c>
    </row>
    <row r="52" spans="1:5" x14ac:dyDescent="0.3">
      <c r="A52" s="19">
        <v>45361</v>
      </c>
      <c r="B52" s="118" t="s">
        <v>1664</v>
      </c>
      <c r="C52">
        <v>1</v>
      </c>
      <c r="D52" s="131">
        <v>1320</v>
      </c>
      <c r="E52" s="116">
        <f t="shared" si="1"/>
        <v>1320</v>
      </c>
    </row>
    <row r="53" spans="1:5" x14ac:dyDescent="0.3">
      <c r="A53" s="19">
        <v>45361</v>
      </c>
      <c r="B53" s="118" t="s">
        <v>1665</v>
      </c>
      <c r="C53">
        <v>5</v>
      </c>
      <c r="D53" s="131">
        <v>100</v>
      </c>
      <c r="E53" s="116">
        <f t="shared" si="1"/>
        <v>500</v>
      </c>
    </row>
    <row r="54" spans="1:5" x14ac:dyDescent="0.3">
      <c r="A54" s="19">
        <v>45361</v>
      </c>
      <c r="B54" s="118" t="s">
        <v>1666</v>
      </c>
      <c r="C54">
        <v>1</v>
      </c>
      <c r="D54" s="131">
        <v>550</v>
      </c>
      <c r="E54" s="116">
        <f t="shared" si="1"/>
        <v>550</v>
      </c>
    </row>
    <row r="55" spans="1:5" x14ac:dyDescent="0.3">
      <c r="A55" s="19">
        <v>45371</v>
      </c>
      <c r="B55" s="118" t="s">
        <v>1667</v>
      </c>
      <c r="C55">
        <v>2</v>
      </c>
      <c r="D55" s="131">
        <v>-600</v>
      </c>
      <c r="E55" s="116">
        <f t="shared" si="1"/>
        <v>-1200</v>
      </c>
    </row>
    <row r="56" spans="1:5" x14ac:dyDescent="0.3">
      <c r="A56" s="19">
        <v>45371</v>
      </c>
      <c r="B56" s="118" t="s">
        <v>1668</v>
      </c>
      <c r="C56">
        <v>2</v>
      </c>
      <c r="D56" s="131">
        <v>-790</v>
      </c>
      <c r="E56" s="116">
        <f t="shared" si="1"/>
        <v>-1580</v>
      </c>
    </row>
    <row r="57" spans="1:5" x14ac:dyDescent="0.3">
      <c r="A57" s="19">
        <v>45371</v>
      </c>
      <c r="B57" s="118" t="s">
        <v>1669</v>
      </c>
      <c r="C57">
        <v>1</v>
      </c>
      <c r="D57" s="131">
        <v>-600</v>
      </c>
      <c r="E57" s="116">
        <f t="shared" si="1"/>
        <v>-600</v>
      </c>
    </row>
    <row r="58" spans="1:5" x14ac:dyDescent="0.3">
      <c r="A58" s="19">
        <v>45373</v>
      </c>
      <c r="B58" s="118" t="s">
        <v>1670</v>
      </c>
      <c r="C58">
        <v>1</v>
      </c>
      <c r="D58" s="131">
        <v>715</v>
      </c>
      <c r="E58" s="116">
        <f t="shared" si="1"/>
        <v>715</v>
      </c>
    </row>
    <row r="59" spans="1:5" x14ac:dyDescent="0.3">
      <c r="A59" s="19">
        <v>45380</v>
      </c>
      <c r="B59" s="118" t="s">
        <v>1671</v>
      </c>
      <c r="C59">
        <v>1</v>
      </c>
      <c r="D59" s="131">
        <v>-500</v>
      </c>
      <c r="E59" s="116">
        <f t="shared" si="1"/>
        <v>-500</v>
      </c>
    </row>
    <row r="60" spans="1:5" x14ac:dyDescent="0.3">
      <c r="A60" s="19">
        <v>45380</v>
      </c>
      <c r="B60" s="118" t="s">
        <v>1672</v>
      </c>
      <c r="C60">
        <v>1</v>
      </c>
      <c r="D60" s="131">
        <v>-500</v>
      </c>
      <c r="E60" s="116">
        <f t="shared" si="1"/>
        <v>-500</v>
      </c>
    </row>
    <row r="61" spans="1:5" x14ac:dyDescent="0.3">
      <c r="A61" s="19">
        <v>45382</v>
      </c>
      <c r="B61" s="118" t="s">
        <v>1673</v>
      </c>
      <c r="C61">
        <v>2</v>
      </c>
      <c r="D61" s="131">
        <v>100</v>
      </c>
      <c r="E61" s="116">
        <f t="shared" si="1"/>
        <v>200</v>
      </c>
    </row>
    <row r="62" spans="1:5" x14ac:dyDescent="0.3">
      <c r="A62" s="19">
        <v>45389</v>
      </c>
      <c r="B62" s="118" t="s">
        <v>1674</v>
      </c>
      <c r="C62">
        <v>1</v>
      </c>
      <c r="D62" s="131">
        <v>1005</v>
      </c>
      <c r="E62" s="116">
        <f t="shared" si="1"/>
        <v>1005</v>
      </c>
    </row>
    <row r="63" spans="1:5" x14ac:dyDescent="0.3">
      <c r="A63" s="19">
        <v>45392</v>
      </c>
      <c r="B63" s="118" t="s">
        <v>1675</v>
      </c>
      <c r="C63">
        <v>1</v>
      </c>
      <c r="D63" s="131">
        <v>444</v>
      </c>
      <c r="E63" s="116">
        <f t="shared" si="1"/>
        <v>444</v>
      </c>
    </row>
    <row r="64" spans="1:5" x14ac:dyDescent="0.3">
      <c r="A64" s="19">
        <v>45392</v>
      </c>
      <c r="B64" s="118" t="s">
        <v>1676</v>
      </c>
      <c r="C64">
        <v>1</v>
      </c>
      <c r="D64" s="131">
        <v>560</v>
      </c>
      <c r="E64" s="116">
        <f t="shared" si="1"/>
        <v>560</v>
      </c>
    </row>
    <row r="65" spans="1:5" x14ac:dyDescent="0.3">
      <c r="A65" s="19">
        <v>45393</v>
      </c>
      <c r="B65" s="118" t="s">
        <v>1677</v>
      </c>
      <c r="C65">
        <v>1</v>
      </c>
      <c r="D65" s="131">
        <v>-500</v>
      </c>
      <c r="E65" s="116">
        <f t="shared" si="1"/>
        <v>-500</v>
      </c>
    </row>
    <row r="66" spans="1:5" x14ac:dyDescent="0.3">
      <c r="A66" s="19">
        <v>45393</v>
      </c>
      <c r="B66" s="118" t="s">
        <v>1678</v>
      </c>
      <c r="C66">
        <v>1</v>
      </c>
      <c r="D66" s="131">
        <v>-500</v>
      </c>
      <c r="E66" s="116">
        <f t="shared" ref="E66:E97" si="2">C66*D66</f>
        <v>-500</v>
      </c>
    </row>
    <row r="67" spans="1:5" x14ac:dyDescent="0.3">
      <c r="A67" s="19">
        <v>45393</v>
      </c>
      <c r="B67" s="118" t="s">
        <v>1679</v>
      </c>
      <c r="C67">
        <v>3</v>
      </c>
      <c r="D67" s="131">
        <v>-460</v>
      </c>
      <c r="E67" s="116">
        <f t="shared" si="2"/>
        <v>-1380</v>
      </c>
    </row>
    <row r="68" spans="1:5" x14ac:dyDescent="0.3">
      <c r="A68" s="19">
        <v>45394</v>
      </c>
      <c r="B68" s="118" t="s">
        <v>1680</v>
      </c>
      <c r="C68">
        <v>1</v>
      </c>
      <c r="D68" s="131">
        <v>372</v>
      </c>
      <c r="E68" s="116">
        <f t="shared" si="2"/>
        <v>372</v>
      </c>
    </row>
    <row r="69" spans="1:5" x14ac:dyDescent="0.3">
      <c r="A69" s="19">
        <v>45395</v>
      </c>
      <c r="B69" s="118" t="s">
        <v>1681</v>
      </c>
      <c r="C69">
        <v>1</v>
      </c>
      <c r="D69" s="131">
        <v>2900</v>
      </c>
      <c r="E69" s="116">
        <f t="shared" si="2"/>
        <v>2900</v>
      </c>
    </row>
    <row r="70" spans="1:5" x14ac:dyDescent="0.3">
      <c r="A70" s="19">
        <v>45412</v>
      </c>
      <c r="B70" s="119" t="s">
        <v>1682</v>
      </c>
      <c r="C70">
        <v>1</v>
      </c>
      <c r="D70" s="131">
        <v>530</v>
      </c>
      <c r="E70" s="116">
        <f t="shared" ref="E70" si="3">C70*D70</f>
        <v>530</v>
      </c>
    </row>
    <row r="71" spans="1:5" x14ac:dyDescent="0.3">
      <c r="A71" s="19">
        <v>45416</v>
      </c>
      <c r="B71" s="119" t="s">
        <v>1683</v>
      </c>
      <c r="C71">
        <v>1</v>
      </c>
      <c r="D71" s="131">
        <v>415</v>
      </c>
      <c r="E71" s="116">
        <f t="shared" si="2"/>
        <v>415</v>
      </c>
    </row>
    <row r="72" spans="1:5" x14ac:dyDescent="0.3">
      <c r="A72" s="19">
        <v>45416</v>
      </c>
      <c r="B72" s="118" t="s">
        <v>1684</v>
      </c>
      <c r="C72">
        <v>1</v>
      </c>
      <c r="D72" s="131">
        <v>3000</v>
      </c>
      <c r="E72" s="116">
        <f t="shared" si="2"/>
        <v>3000</v>
      </c>
    </row>
    <row r="73" spans="1:5" x14ac:dyDescent="0.3">
      <c r="A73" s="19">
        <v>45416</v>
      </c>
      <c r="B73" s="118" t="s">
        <v>536</v>
      </c>
      <c r="C73">
        <v>2</v>
      </c>
      <c r="D73" s="131">
        <v>100</v>
      </c>
      <c r="E73" s="116">
        <f t="shared" si="2"/>
        <v>200</v>
      </c>
    </row>
    <row r="74" spans="1:5" x14ac:dyDescent="0.3">
      <c r="A74" s="19">
        <v>45417</v>
      </c>
      <c r="B74" s="118" t="s">
        <v>1656</v>
      </c>
      <c r="C74">
        <v>1</v>
      </c>
      <c r="D74" s="131">
        <v>815</v>
      </c>
      <c r="E74" s="116">
        <f t="shared" si="2"/>
        <v>815</v>
      </c>
    </row>
    <row r="75" spans="1:5" x14ac:dyDescent="0.3">
      <c r="A75" s="19">
        <v>45416</v>
      </c>
      <c r="B75" s="119" t="s">
        <v>1685</v>
      </c>
      <c r="C75">
        <v>1</v>
      </c>
      <c r="D75" s="131">
        <v>705</v>
      </c>
      <c r="E75" s="116">
        <f t="shared" si="2"/>
        <v>705</v>
      </c>
    </row>
    <row r="76" spans="1:5" x14ac:dyDescent="0.3">
      <c r="A76" s="19">
        <v>45416</v>
      </c>
      <c r="B76" s="118" t="s">
        <v>1649</v>
      </c>
      <c r="C76">
        <v>1</v>
      </c>
      <c r="D76" s="131">
        <v>-400</v>
      </c>
      <c r="E76" s="116">
        <f t="shared" si="2"/>
        <v>-400</v>
      </c>
    </row>
    <row r="77" spans="1:5" x14ac:dyDescent="0.3">
      <c r="A77" s="19">
        <v>45420</v>
      </c>
      <c r="B77" s="118" t="s">
        <v>1207</v>
      </c>
      <c r="C77">
        <v>2</v>
      </c>
      <c r="D77" s="131">
        <v>-400</v>
      </c>
      <c r="E77" s="116">
        <f t="shared" si="2"/>
        <v>-800</v>
      </c>
    </row>
    <row r="78" spans="1:5" x14ac:dyDescent="0.3">
      <c r="A78" s="19">
        <v>45422</v>
      </c>
      <c r="B78" s="118" t="s">
        <v>1686</v>
      </c>
      <c r="C78">
        <v>1</v>
      </c>
      <c r="D78" s="131">
        <v>1990</v>
      </c>
      <c r="E78" s="116">
        <f t="shared" si="2"/>
        <v>1990</v>
      </c>
    </row>
    <row r="79" spans="1:5" x14ac:dyDescent="0.3">
      <c r="A79" s="19">
        <v>45422</v>
      </c>
      <c r="B79" s="118" t="s">
        <v>1687</v>
      </c>
      <c r="C79">
        <v>1</v>
      </c>
      <c r="D79" s="131">
        <v>1170</v>
      </c>
      <c r="E79" s="116">
        <f t="shared" si="2"/>
        <v>1170</v>
      </c>
    </row>
    <row r="80" spans="1:5" x14ac:dyDescent="0.3">
      <c r="A80" s="19">
        <v>45435</v>
      </c>
      <c r="B80" s="118" t="s">
        <v>1688</v>
      </c>
      <c r="C80">
        <v>1</v>
      </c>
      <c r="D80" s="131">
        <v>-440</v>
      </c>
      <c r="E80" s="116">
        <f t="shared" si="2"/>
        <v>-440</v>
      </c>
    </row>
    <row r="81" spans="1:5" x14ac:dyDescent="0.3">
      <c r="A81" s="19">
        <v>45439</v>
      </c>
      <c r="B81" s="119" t="s">
        <v>1689</v>
      </c>
      <c r="C81">
        <v>1</v>
      </c>
      <c r="D81" s="131">
        <v>730</v>
      </c>
      <c r="E81" s="116">
        <f t="shared" si="2"/>
        <v>730</v>
      </c>
    </row>
    <row r="82" spans="1:5" x14ac:dyDescent="0.3">
      <c r="A82" s="19">
        <v>45443</v>
      </c>
      <c r="B82" s="118" t="s">
        <v>1690</v>
      </c>
      <c r="C82">
        <v>1</v>
      </c>
      <c r="D82" s="131">
        <v>-530</v>
      </c>
      <c r="E82" s="116">
        <f t="shared" si="2"/>
        <v>-530</v>
      </c>
    </row>
    <row r="83" spans="1:5" x14ac:dyDescent="0.3">
      <c r="A83" s="19">
        <v>45444</v>
      </c>
      <c r="B83" s="118" t="s">
        <v>1691</v>
      </c>
      <c r="C83">
        <v>1</v>
      </c>
      <c r="D83" s="131">
        <v>830</v>
      </c>
      <c r="E83" s="116">
        <f t="shared" si="2"/>
        <v>830</v>
      </c>
    </row>
    <row r="84" spans="1:5" x14ac:dyDescent="0.3">
      <c r="A84" s="19">
        <v>45444</v>
      </c>
      <c r="B84" s="118" t="s">
        <v>548</v>
      </c>
      <c r="C84">
        <v>1</v>
      </c>
      <c r="D84" s="131">
        <v>1530</v>
      </c>
      <c r="E84" s="116">
        <f t="shared" si="2"/>
        <v>1530</v>
      </c>
    </row>
    <row r="85" spans="1:5" x14ac:dyDescent="0.3">
      <c r="A85" s="19">
        <v>45463</v>
      </c>
      <c r="B85" s="118" t="s">
        <v>1692</v>
      </c>
      <c r="C85">
        <v>1</v>
      </c>
      <c r="D85" s="131">
        <v>270</v>
      </c>
      <c r="E85" s="116">
        <f t="shared" si="2"/>
        <v>270</v>
      </c>
    </row>
    <row r="86" spans="1:5" x14ac:dyDescent="0.3">
      <c r="A86" s="19">
        <v>45468</v>
      </c>
      <c r="B86" s="118" t="s">
        <v>1693</v>
      </c>
      <c r="C86">
        <v>3</v>
      </c>
      <c r="D86" s="131">
        <v>-480</v>
      </c>
      <c r="E86" s="116">
        <f t="shared" si="2"/>
        <v>-1440</v>
      </c>
    </row>
    <row r="87" spans="1:5" x14ac:dyDescent="0.3">
      <c r="A87" s="19">
        <v>45469</v>
      </c>
      <c r="B87" s="119" t="s">
        <v>1694</v>
      </c>
      <c r="C87">
        <v>1</v>
      </c>
      <c r="D87" s="131">
        <v>1540</v>
      </c>
      <c r="E87" s="116">
        <f t="shared" si="2"/>
        <v>1540</v>
      </c>
    </row>
    <row r="88" spans="1:5" x14ac:dyDescent="0.3">
      <c r="A88" s="19">
        <v>45472</v>
      </c>
      <c r="B88" s="118" t="s">
        <v>1695</v>
      </c>
      <c r="C88">
        <v>4</v>
      </c>
      <c r="D88" s="131">
        <v>100</v>
      </c>
      <c r="E88" s="116">
        <f t="shared" si="2"/>
        <v>400</v>
      </c>
    </row>
    <row r="89" spans="1:5" x14ac:dyDescent="0.3">
      <c r="A89" s="19">
        <v>45473</v>
      </c>
      <c r="B89" s="118" t="s">
        <v>1696</v>
      </c>
      <c r="C89">
        <v>3</v>
      </c>
      <c r="D89" s="131">
        <v>100</v>
      </c>
      <c r="E89" s="116">
        <f t="shared" si="2"/>
        <v>300</v>
      </c>
    </row>
    <row r="90" spans="1:5" x14ac:dyDescent="0.3">
      <c r="A90" s="19">
        <v>45488</v>
      </c>
      <c r="B90" s="118" t="s">
        <v>592</v>
      </c>
      <c r="C90">
        <v>1</v>
      </c>
      <c r="D90" s="131">
        <v>1390</v>
      </c>
      <c r="E90" s="116">
        <f t="shared" si="2"/>
        <v>1390</v>
      </c>
    </row>
    <row r="91" spans="1:5" x14ac:dyDescent="0.3">
      <c r="A91" s="19">
        <v>45489</v>
      </c>
      <c r="B91" s="119" t="s">
        <v>1697</v>
      </c>
      <c r="C91">
        <v>1</v>
      </c>
      <c r="D91" s="131">
        <v>240</v>
      </c>
      <c r="E91" s="116">
        <f t="shared" si="2"/>
        <v>240</v>
      </c>
    </row>
    <row r="92" spans="1:5" x14ac:dyDescent="0.3">
      <c r="A92" s="19">
        <v>45508</v>
      </c>
      <c r="B92" s="118" t="s">
        <v>1698</v>
      </c>
      <c r="C92">
        <v>1</v>
      </c>
      <c r="D92" s="131">
        <v>755</v>
      </c>
      <c r="E92" s="116">
        <f t="shared" si="2"/>
        <v>755</v>
      </c>
    </row>
    <row r="93" spans="1:5" x14ac:dyDescent="0.3">
      <c r="A93" s="19">
        <v>45527</v>
      </c>
      <c r="B93" s="118" t="s">
        <v>1699</v>
      </c>
      <c r="C93">
        <v>2</v>
      </c>
      <c r="D93" s="131">
        <v>-475</v>
      </c>
      <c r="E93" s="116">
        <f t="shared" si="2"/>
        <v>-950</v>
      </c>
    </row>
    <row r="94" spans="1:5" x14ac:dyDescent="0.3">
      <c r="A94" s="19">
        <v>45526</v>
      </c>
      <c r="B94" s="119" t="s">
        <v>1700</v>
      </c>
      <c r="C94">
        <v>1</v>
      </c>
      <c r="D94" s="131">
        <v>785</v>
      </c>
      <c r="E94" s="116">
        <f t="shared" si="2"/>
        <v>785</v>
      </c>
    </row>
    <row r="95" spans="1:5" x14ac:dyDescent="0.3">
      <c r="A95" s="19">
        <v>45525</v>
      </c>
      <c r="B95" s="119" t="s">
        <v>1701</v>
      </c>
      <c r="C95">
        <v>1</v>
      </c>
      <c r="D95" s="131">
        <v>800</v>
      </c>
      <c r="E95" s="116">
        <f t="shared" si="2"/>
        <v>800</v>
      </c>
    </row>
    <row r="96" spans="1:5" x14ac:dyDescent="0.3">
      <c r="A96" s="19">
        <v>45534</v>
      </c>
      <c r="B96" s="119" t="s">
        <v>1702</v>
      </c>
      <c r="C96">
        <v>1</v>
      </c>
      <c r="D96" s="131">
        <v>-480</v>
      </c>
      <c r="E96" s="116">
        <f t="shared" si="2"/>
        <v>-480</v>
      </c>
    </row>
    <row r="97" spans="1:5" x14ac:dyDescent="0.3">
      <c r="A97" s="19">
        <v>45537</v>
      </c>
      <c r="B97" s="119" t="s">
        <v>1703</v>
      </c>
      <c r="C97">
        <v>1</v>
      </c>
      <c r="D97" s="131">
        <v>2768</v>
      </c>
      <c r="E97" s="116">
        <f t="shared" si="2"/>
        <v>2768</v>
      </c>
    </row>
    <row r="98" spans="1:5" x14ac:dyDescent="0.3">
      <c r="A98" s="19">
        <v>45537</v>
      </c>
      <c r="B98" s="119" t="s">
        <v>1704</v>
      </c>
      <c r="C98">
        <v>1</v>
      </c>
      <c r="D98" s="131">
        <f>2160-80</f>
        <v>2080</v>
      </c>
      <c r="E98" s="116">
        <f t="shared" ref="E98:E104" si="4">C98*D98</f>
        <v>2080</v>
      </c>
    </row>
    <row r="99" spans="1:5" x14ac:dyDescent="0.3">
      <c r="A99" s="19">
        <v>45537</v>
      </c>
      <c r="B99" s="119" t="s">
        <v>1705</v>
      </c>
      <c r="C99">
        <v>2</v>
      </c>
      <c r="D99" s="131">
        <v>-500</v>
      </c>
      <c r="E99" s="116">
        <f t="shared" si="4"/>
        <v>-1000</v>
      </c>
    </row>
    <row r="100" spans="1:5" x14ac:dyDescent="0.3">
      <c r="A100" s="19">
        <v>45550</v>
      </c>
      <c r="B100" s="119" t="s">
        <v>1706</v>
      </c>
      <c r="C100">
        <v>2</v>
      </c>
      <c r="D100" s="131">
        <v>-400</v>
      </c>
      <c r="E100" s="116">
        <f t="shared" si="4"/>
        <v>-800</v>
      </c>
    </row>
    <row r="101" spans="1:5" x14ac:dyDescent="0.3">
      <c r="A101" s="19">
        <v>45550</v>
      </c>
      <c r="B101" s="119" t="s">
        <v>1707</v>
      </c>
      <c r="C101">
        <v>2</v>
      </c>
      <c r="D101" s="131">
        <v>-480</v>
      </c>
      <c r="E101" s="116">
        <f t="shared" si="4"/>
        <v>-960</v>
      </c>
    </row>
    <row r="102" spans="1:5" x14ac:dyDescent="0.3">
      <c r="A102" s="19">
        <v>45561</v>
      </c>
      <c r="B102" s="119" t="s">
        <v>1708</v>
      </c>
      <c r="C102">
        <v>1</v>
      </c>
      <c r="D102" s="131">
        <v>-4640</v>
      </c>
      <c r="E102" s="116">
        <f t="shared" si="4"/>
        <v>-4640</v>
      </c>
    </row>
    <row r="103" spans="1:5" x14ac:dyDescent="0.3">
      <c r="A103" s="19">
        <v>45555</v>
      </c>
      <c r="B103" s="119" t="s">
        <v>1709</v>
      </c>
      <c r="C103">
        <v>1</v>
      </c>
      <c r="D103" s="131">
        <v>120</v>
      </c>
      <c r="E103" s="116">
        <f t="shared" si="4"/>
        <v>120</v>
      </c>
    </row>
    <row r="104" spans="1:5" x14ac:dyDescent="0.3">
      <c r="A104" s="19">
        <v>45551</v>
      </c>
      <c r="B104" s="119" t="s">
        <v>1710</v>
      </c>
      <c r="C104">
        <v>1</v>
      </c>
      <c r="D104" s="131">
        <v>1695</v>
      </c>
      <c r="E104" s="116">
        <f t="shared" si="4"/>
        <v>1695</v>
      </c>
    </row>
    <row r="105" spans="1:5" x14ac:dyDescent="0.3">
      <c r="A105" s="19">
        <v>45550</v>
      </c>
      <c r="B105" s="119" t="s">
        <v>1711</v>
      </c>
      <c r="C105">
        <v>1</v>
      </c>
      <c r="D105" s="131">
        <v>-390</v>
      </c>
      <c r="E105" s="116">
        <f>C105*D105</f>
        <v>-390</v>
      </c>
    </row>
    <row r="106" spans="1:5" x14ac:dyDescent="0.3">
      <c r="A106" s="19">
        <v>45564</v>
      </c>
      <c r="B106" s="119" t="s">
        <v>1712</v>
      </c>
      <c r="C106">
        <v>1</v>
      </c>
      <c r="D106" s="131">
        <v>-1221</v>
      </c>
      <c r="E106" s="116">
        <f>C106*D106</f>
        <v>-1221</v>
      </c>
    </row>
    <row r="107" spans="1:5" x14ac:dyDescent="0.3">
      <c r="A107" s="19">
        <v>45576</v>
      </c>
      <c r="B107" s="126" t="s">
        <v>1713</v>
      </c>
      <c r="C107">
        <v>1</v>
      </c>
      <c r="D107" s="131">
        <v>-1260</v>
      </c>
      <c r="E107" s="116">
        <f>C107*D107</f>
        <v>-1260</v>
      </c>
    </row>
    <row r="108" spans="1:5" x14ac:dyDescent="0.3">
      <c r="A108" s="19">
        <v>45576</v>
      </c>
      <c r="B108" s="119" t="s">
        <v>1714</v>
      </c>
      <c r="C108">
        <v>1</v>
      </c>
      <c r="D108" s="131">
        <v>205</v>
      </c>
      <c r="E108" s="116">
        <f t="shared" ref="E108:E111" si="5">C108*D108</f>
        <v>205</v>
      </c>
    </row>
    <row r="109" spans="1:5" x14ac:dyDescent="0.3">
      <c r="A109" s="19">
        <v>45578</v>
      </c>
      <c r="B109" s="119" t="s">
        <v>1715</v>
      </c>
      <c r="C109">
        <v>1</v>
      </c>
      <c r="D109" s="131">
        <v>660</v>
      </c>
      <c r="E109" s="116">
        <f t="shared" si="5"/>
        <v>660</v>
      </c>
    </row>
    <row r="110" spans="1:5" x14ac:dyDescent="0.3">
      <c r="A110" s="19">
        <v>45576</v>
      </c>
      <c r="B110" s="119" t="s">
        <v>1716</v>
      </c>
      <c r="C110">
        <v>1</v>
      </c>
      <c r="D110" s="131">
        <v>4230</v>
      </c>
      <c r="E110" s="116">
        <f t="shared" si="5"/>
        <v>4230</v>
      </c>
    </row>
    <row r="111" spans="1:5" x14ac:dyDescent="0.3">
      <c r="A111" s="19">
        <v>45592</v>
      </c>
      <c r="B111" s="119" t="s">
        <v>1717</v>
      </c>
      <c r="C111">
        <v>5</v>
      </c>
      <c r="D111" s="131">
        <v>-470</v>
      </c>
      <c r="E111" s="116">
        <f t="shared" si="5"/>
        <v>-2350</v>
      </c>
    </row>
    <row r="112" spans="1:5" x14ac:dyDescent="0.3">
      <c r="A112" s="19">
        <v>45592</v>
      </c>
      <c r="B112" s="119" t="s">
        <v>1718</v>
      </c>
      <c r="C112">
        <v>5</v>
      </c>
      <c r="D112" s="131">
        <v>-365</v>
      </c>
      <c r="E112" s="116">
        <f t="shared" ref="E112:E175" si="6">C112*D112</f>
        <v>-1825</v>
      </c>
    </row>
    <row r="113" spans="1:5" x14ac:dyDescent="0.3">
      <c r="A113" s="19">
        <v>45593</v>
      </c>
      <c r="B113" s="119" t="s">
        <v>1719</v>
      </c>
      <c r="C113">
        <v>1</v>
      </c>
      <c r="D113" s="131">
        <v>975</v>
      </c>
      <c r="E113" s="116">
        <f t="shared" si="6"/>
        <v>975</v>
      </c>
    </row>
    <row r="114" spans="1:5" x14ac:dyDescent="0.3">
      <c r="A114" s="19">
        <v>45590</v>
      </c>
      <c r="B114" s="119" t="s">
        <v>1720</v>
      </c>
      <c r="C114">
        <v>1</v>
      </c>
      <c r="D114" s="131">
        <v>462</v>
      </c>
      <c r="E114" s="116">
        <f t="shared" si="6"/>
        <v>462</v>
      </c>
    </row>
    <row r="115" spans="1:5" x14ac:dyDescent="0.3">
      <c r="A115" s="19">
        <v>45586</v>
      </c>
      <c r="B115" s="119" t="s">
        <v>1721</v>
      </c>
      <c r="C115">
        <v>1</v>
      </c>
      <c r="D115" s="131">
        <v>-845</v>
      </c>
      <c r="E115" s="116">
        <f t="shared" si="6"/>
        <v>-845</v>
      </c>
    </row>
    <row r="116" spans="1:5" x14ac:dyDescent="0.3">
      <c r="A116" s="19">
        <v>45594</v>
      </c>
      <c r="B116" s="119" t="s">
        <v>1722</v>
      </c>
      <c r="C116">
        <v>1</v>
      </c>
      <c r="D116" s="131">
        <v>2530</v>
      </c>
      <c r="E116" s="116">
        <f t="shared" si="6"/>
        <v>2530</v>
      </c>
    </row>
    <row r="117" spans="1:5" x14ac:dyDescent="0.3">
      <c r="A117" s="19">
        <v>45600</v>
      </c>
      <c r="B117" s="119" t="s">
        <v>1723</v>
      </c>
      <c r="C117">
        <v>3</v>
      </c>
      <c r="D117" s="131">
        <v>-910</v>
      </c>
      <c r="E117" s="116">
        <f t="shared" si="6"/>
        <v>-2730</v>
      </c>
    </row>
    <row r="118" spans="1:5" x14ac:dyDescent="0.3">
      <c r="A118" s="19">
        <v>45607</v>
      </c>
      <c r="B118" s="119" t="s">
        <v>1724</v>
      </c>
      <c r="C118">
        <v>1</v>
      </c>
      <c r="D118" s="131">
        <v>240</v>
      </c>
      <c r="E118" s="116">
        <f t="shared" si="6"/>
        <v>240</v>
      </c>
    </row>
    <row r="119" spans="1:5" x14ac:dyDescent="0.3">
      <c r="A119" s="19">
        <v>45606</v>
      </c>
      <c r="B119" s="119" t="s">
        <v>1725</v>
      </c>
      <c r="C119">
        <v>1</v>
      </c>
      <c r="D119" s="131">
        <v>400</v>
      </c>
      <c r="E119" s="116">
        <f t="shared" si="6"/>
        <v>400</v>
      </c>
    </row>
    <row r="120" spans="1:5" x14ac:dyDescent="0.3">
      <c r="A120" s="19">
        <v>45612</v>
      </c>
      <c r="B120" s="119" t="s">
        <v>1726</v>
      </c>
      <c r="C120">
        <v>1</v>
      </c>
      <c r="D120" s="131">
        <v>-300</v>
      </c>
      <c r="E120" s="116">
        <f t="shared" si="6"/>
        <v>-300</v>
      </c>
    </row>
    <row r="121" spans="1:5" x14ac:dyDescent="0.3">
      <c r="A121" s="19">
        <v>45610</v>
      </c>
      <c r="B121" s="119" t="s">
        <v>1727</v>
      </c>
      <c r="C121">
        <v>1</v>
      </c>
      <c r="D121" s="131">
        <v>2255</v>
      </c>
      <c r="E121" s="116">
        <f t="shared" si="6"/>
        <v>2255</v>
      </c>
    </row>
    <row r="122" spans="1:5" x14ac:dyDescent="0.3">
      <c r="A122" s="19">
        <v>45620</v>
      </c>
      <c r="B122" s="119" t="s">
        <v>1728</v>
      </c>
      <c r="C122">
        <v>1</v>
      </c>
      <c r="D122" s="131">
        <v>380</v>
      </c>
      <c r="E122" s="116">
        <f t="shared" si="6"/>
        <v>380</v>
      </c>
    </row>
    <row r="123" spans="1:5" x14ac:dyDescent="0.3">
      <c r="A123" s="19">
        <v>45620</v>
      </c>
      <c r="B123" s="119" t="s">
        <v>1729</v>
      </c>
      <c r="C123">
        <v>1</v>
      </c>
      <c r="D123" s="131">
        <v>1010</v>
      </c>
      <c r="E123" s="116">
        <f t="shared" si="6"/>
        <v>1010</v>
      </c>
    </row>
    <row r="124" spans="1:5" x14ac:dyDescent="0.3">
      <c r="A124" s="19">
        <v>45620</v>
      </c>
      <c r="B124" s="119" t="s">
        <v>1730</v>
      </c>
      <c r="C124">
        <v>1</v>
      </c>
      <c r="D124" s="131">
        <v>430</v>
      </c>
      <c r="E124" s="116">
        <f t="shared" si="6"/>
        <v>430</v>
      </c>
    </row>
    <row r="125" spans="1:5" x14ac:dyDescent="0.3">
      <c r="A125" s="19">
        <v>45627</v>
      </c>
      <c r="B125" s="126" t="s">
        <v>1731</v>
      </c>
      <c r="C125">
        <v>1</v>
      </c>
      <c r="D125" s="131">
        <v>-519</v>
      </c>
      <c r="E125" s="116">
        <f t="shared" si="6"/>
        <v>-519</v>
      </c>
    </row>
    <row r="126" spans="1:5" x14ac:dyDescent="0.3">
      <c r="A126" s="19">
        <v>45627</v>
      </c>
      <c r="B126" s="119" t="s">
        <v>1732</v>
      </c>
      <c r="C126">
        <v>1</v>
      </c>
      <c r="D126" s="131">
        <v>-640</v>
      </c>
      <c r="E126" s="116">
        <f t="shared" si="6"/>
        <v>-640</v>
      </c>
    </row>
    <row r="127" spans="1:5" x14ac:dyDescent="0.3">
      <c r="A127" s="19">
        <v>45627</v>
      </c>
      <c r="B127" s="119" t="s">
        <v>1733</v>
      </c>
      <c r="C127">
        <v>1</v>
      </c>
      <c r="D127" s="131">
        <v>500</v>
      </c>
      <c r="E127" s="116">
        <f t="shared" si="6"/>
        <v>500</v>
      </c>
    </row>
    <row r="128" spans="1:5" x14ac:dyDescent="0.3">
      <c r="A128" s="19">
        <v>45627</v>
      </c>
      <c r="B128" s="119" t="s">
        <v>1734</v>
      </c>
      <c r="C128">
        <v>1</v>
      </c>
      <c r="D128" s="131">
        <v>1010</v>
      </c>
      <c r="E128" s="116">
        <f t="shared" si="6"/>
        <v>1010</v>
      </c>
    </row>
    <row r="129" spans="1:5" x14ac:dyDescent="0.3">
      <c r="A129" s="19">
        <v>45630</v>
      </c>
      <c r="B129" s="119" t="s">
        <v>1735</v>
      </c>
      <c r="C129">
        <v>1</v>
      </c>
      <c r="D129" s="131">
        <v>846</v>
      </c>
      <c r="E129" s="116">
        <f t="shared" si="6"/>
        <v>846</v>
      </c>
    </row>
    <row r="130" spans="1:5" x14ac:dyDescent="0.3">
      <c r="A130" s="19">
        <v>45631</v>
      </c>
      <c r="B130" s="119" t="s">
        <v>1736</v>
      </c>
      <c r="C130">
        <v>1</v>
      </c>
      <c r="D130" s="131">
        <v>645</v>
      </c>
      <c r="E130" s="116">
        <f t="shared" si="6"/>
        <v>645</v>
      </c>
    </row>
    <row r="131" spans="1:5" x14ac:dyDescent="0.3">
      <c r="A131" s="19">
        <v>45631</v>
      </c>
      <c r="B131" s="119" t="s">
        <v>1737</v>
      </c>
      <c r="C131">
        <v>1</v>
      </c>
      <c r="D131" s="131">
        <v>400</v>
      </c>
      <c r="E131" s="116">
        <f t="shared" si="6"/>
        <v>400</v>
      </c>
    </row>
    <row r="132" spans="1:5" x14ac:dyDescent="0.3">
      <c r="A132" s="19">
        <v>45633</v>
      </c>
      <c r="B132" s="119" t="s">
        <v>1738</v>
      </c>
      <c r="C132">
        <v>1</v>
      </c>
      <c r="D132" s="131">
        <v>850</v>
      </c>
      <c r="E132" s="116">
        <f t="shared" si="6"/>
        <v>850</v>
      </c>
    </row>
    <row r="133" spans="1:5" x14ac:dyDescent="0.3">
      <c r="A133" s="19">
        <v>45633</v>
      </c>
      <c r="B133" s="119" t="s">
        <v>1739</v>
      </c>
      <c r="C133">
        <v>1</v>
      </c>
      <c r="D133" s="131">
        <v>920</v>
      </c>
      <c r="E133" s="116">
        <f t="shared" si="6"/>
        <v>920</v>
      </c>
    </row>
    <row r="134" spans="1:5" x14ac:dyDescent="0.3">
      <c r="A134" s="19">
        <v>45633</v>
      </c>
      <c r="B134" s="119" t="s">
        <v>1740</v>
      </c>
      <c r="C134">
        <v>1</v>
      </c>
      <c r="D134" s="131">
        <v>-260</v>
      </c>
      <c r="E134" s="116">
        <f t="shared" si="6"/>
        <v>-260</v>
      </c>
    </row>
    <row r="135" spans="1:5" x14ac:dyDescent="0.3">
      <c r="A135" s="19">
        <v>45633</v>
      </c>
      <c r="B135" s="119" t="s">
        <v>1741</v>
      </c>
      <c r="C135">
        <v>1</v>
      </c>
      <c r="D135" s="131">
        <v>-60</v>
      </c>
      <c r="E135" s="116">
        <f t="shared" si="6"/>
        <v>-60</v>
      </c>
    </row>
    <row r="136" spans="1:5" x14ac:dyDescent="0.3">
      <c r="A136" s="19">
        <v>45637</v>
      </c>
      <c r="B136" s="119" t="s">
        <v>1742</v>
      </c>
      <c r="C136">
        <v>1</v>
      </c>
      <c r="D136" s="131">
        <v>1130</v>
      </c>
      <c r="E136" s="116">
        <f t="shared" si="6"/>
        <v>1130</v>
      </c>
    </row>
    <row r="137" spans="1:5" x14ac:dyDescent="0.3">
      <c r="A137" s="19">
        <v>45637</v>
      </c>
      <c r="B137" s="119" t="s">
        <v>1743</v>
      </c>
      <c r="C137">
        <v>1</v>
      </c>
      <c r="D137" s="131">
        <v>1460</v>
      </c>
      <c r="E137" s="116">
        <f t="shared" si="6"/>
        <v>1460</v>
      </c>
    </row>
    <row r="138" spans="1:5" x14ac:dyDescent="0.3">
      <c r="A138" s="19">
        <v>45640</v>
      </c>
      <c r="B138" s="119" t="s">
        <v>1744</v>
      </c>
      <c r="C138">
        <v>1</v>
      </c>
      <c r="D138" s="131">
        <v>1110</v>
      </c>
      <c r="E138" s="116">
        <f t="shared" si="6"/>
        <v>1110</v>
      </c>
    </row>
    <row r="139" spans="1:5" x14ac:dyDescent="0.3">
      <c r="A139" s="19">
        <v>45641</v>
      </c>
      <c r="B139" s="119" t="s">
        <v>1745</v>
      </c>
      <c r="C139">
        <v>1</v>
      </c>
      <c r="D139" s="131">
        <v>1070</v>
      </c>
      <c r="E139" s="116">
        <f t="shared" si="6"/>
        <v>1070</v>
      </c>
    </row>
    <row r="140" spans="1:5" x14ac:dyDescent="0.3">
      <c r="A140" s="19">
        <v>45642</v>
      </c>
      <c r="B140" s="118" t="s">
        <v>1746</v>
      </c>
      <c r="C140">
        <v>1</v>
      </c>
      <c r="D140" s="131">
        <v>940</v>
      </c>
      <c r="E140" s="116">
        <f t="shared" si="6"/>
        <v>940</v>
      </c>
    </row>
    <row r="141" spans="1:5" x14ac:dyDescent="0.3">
      <c r="A141" s="19">
        <v>45645</v>
      </c>
      <c r="B141" s="119" t="s">
        <v>1747</v>
      </c>
      <c r="C141">
        <v>1</v>
      </c>
      <c r="D141" s="131">
        <v>222</v>
      </c>
      <c r="E141" s="116">
        <f t="shared" si="6"/>
        <v>222</v>
      </c>
    </row>
    <row r="142" spans="1:5" x14ac:dyDescent="0.3">
      <c r="A142" s="19">
        <v>45635</v>
      </c>
      <c r="B142" s="119" t="s">
        <v>1748</v>
      </c>
      <c r="C142">
        <v>1</v>
      </c>
      <c r="D142" s="131">
        <v>-2165</v>
      </c>
      <c r="E142" s="116">
        <f t="shared" si="6"/>
        <v>-2165</v>
      </c>
    </row>
    <row r="143" spans="1:5" x14ac:dyDescent="0.3">
      <c r="A143" s="19">
        <v>45647</v>
      </c>
      <c r="B143" s="119" t="s">
        <v>1749</v>
      </c>
      <c r="C143">
        <v>1</v>
      </c>
      <c r="D143" s="131">
        <v>-2980</v>
      </c>
      <c r="E143" s="116">
        <f t="shared" si="6"/>
        <v>-2980</v>
      </c>
    </row>
    <row r="144" spans="1:5" x14ac:dyDescent="0.3">
      <c r="A144" s="19">
        <v>45645</v>
      </c>
      <c r="B144" s="119" t="s">
        <v>1750</v>
      </c>
      <c r="C144">
        <v>1</v>
      </c>
      <c r="D144" s="131">
        <v>600</v>
      </c>
      <c r="E144" s="116">
        <f t="shared" si="6"/>
        <v>600</v>
      </c>
    </row>
    <row r="145" spans="1:5" x14ac:dyDescent="0.3">
      <c r="A145" s="19">
        <v>45641</v>
      </c>
      <c r="B145" s="119" t="s">
        <v>1751</v>
      </c>
      <c r="C145">
        <v>2</v>
      </c>
      <c r="D145" s="131">
        <v>-60</v>
      </c>
      <c r="E145" s="116">
        <f t="shared" si="6"/>
        <v>-120</v>
      </c>
    </row>
    <row r="146" spans="1:5" x14ac:dyDescent="0.3">
      <c r="A146" s="19">
        <v>45655</v>
      </c>
      <c r="B146" s="119" t="s">
        <v>1752</v>
      </c>
      <c r="C146">
        <v>3</v>
      </c>
      <c r="D146" s="131">
        <v>-60</v>
      </c>
      <c r="E146" s="116">
        <f t="shared" si="6"/>
        <v>-180</v>
      </c>
    </row>
    <row r="147" spans="1:5" x14ac:dyDescent="0.3">
      <c r="A147" s="19">
        <v>45655</v>
      </c>
      <c r="B147" s="119" t="s">
        <v>1753</v>
      </c>
      <c r="C147">
        <v>1</v>
      </c>
      <c r="D147" s="131">
        <v>-201</v>
      </c>
      <c r="E147" s="116">
        <f t="shared" si="6"/>
        <v>-201</v>
      </c>
    </row>
    <row r="148" spans="1:5" x14ac:dyDescent="0.3">
      <c r="A148" s="19">
        <v>45655</v>
      </c>
      <c r="B148" s="119" t="s">
        <v>1754</v>
      </c>
      <c r="C148">
        <v>1</v>
      </c>
      <c r="D148" s="131">
        <v>-219</v>
      </c>
      <c r="E148" s="116">
        <f t="shared" si="6"/>
        <v>-219</v>
      </c>
    </row>
    <row r="149" spans="1:5" x14ac:dyDescent="0.3">
      <c r="A149" s="19">
        <v>45656</v>
      </c>
      <c r="B149" s="119" t="s">
        <v>1755</v>
      </c>
      <c r="C149">
        <v>2000</v>
      </c>
      <c r="D149" s="131">
        <v>-2.65</v>
      </c>
      <c r="E149" s="116">
        <f t="shared" si="6"/>
        <v>-5300</v>
      </c>
    </row>
    <row r="150" spans="1:5" x14ac:dyDescent="0.3">
      <c r="A150" s="19">
        <v>45656</v>
      </c>
      <c r="B150" s="119" t="s">
        <v>1756</v>
      </c>
      <c r="C150">
        <v>1</v>
      </c>
      <c r="D150" s="131">
        <v>730</v>
      </c>
      <c r="E150" s="116">
        <f t="shared" si="6"/>
        <v>730</v>
      </c>
    </row>
    <row r="151" spans="1:5" x14ac:dyDescent="0.3">
      <c r="A151" s="19">
        <v>46015</v>
      </c>
      <c r="B151" s="119" t="s">
        <v>1757</v>
      </c>
      <c r="C151">
        <v>1</v>
      </c>
      <c r="D151" s="131">
        <v>-7027</v>
      </c>
      <c r="E151" s="116">
        <f t="shared" si="6"/>
        <v>-7027</v>
      </c>
    </row>
    <row r="152" spans="1:5" x14ac:dyDescent="0.3">
      <c r="A152" s="19">
        <v>46022</v>
      </c>
      <c r="B152" s="119" t="s">
        <v>1758</v>
      </c>
      <c r="C152">
        <v>1</v>
      </c>
      <c r="D152" s="131">
        <v>22500</v>
      </c>
      <c r="E152" s="116">
        <f t="shared" si="6"/>
        <v>22500</v>
      </c>
    </row>
    <row r="153" spans="1:5" x14ac:dyDescent="0.3">
      <c r="A153" s="19">
        <v>46021</v>
      </c>
      <c r="B153" s="119" t="s">
        <v>1759</v>
      </c>
      <c r="C153">
        <v>1</v>
      </c>
      <c r="D153" s="131">
        <v>-5790</v>
      </c>
      <c r="E153" s="116">
        <f t="shared" si="6"/>
        <v>-5790</v>
      </c>
    </row>
    <row r="154" spans="1:5" x14ac:dyDescent="0.3">
      <c r="A154" s="19">
        <v>45659</v>
      </c>
      <c r="B154" s="119" t="s">
        <v>1760</v>
      </c>
      <c r="C154">
        <v>1</v>
      </c>
      <c r="D154" s="131">
        <v>1000</v>
      </c>
      <c r="E154" s="116">
        <f t="shared" si="6"/>
        <v>1000</v>
      </c>
    </row>
    <row r="155" spans="1:5" x14ac:dyDescent="0.3">
      <c r="A155" s="19">
        <v>45659</v>
      </c>
      <c r="B155" s="119" t="s">
        <v>1761</v>
      </c>
      <c r="C155">
        <v>1</v>
      </c>
      <c r="D155" s="131">
        <v>850</v>
      </c>
      <c r="E155" s="116">
        <f t="shared" si="6"/>
        <v>850</v>
      </c>
    </row>
    <row r="156" spans="1:5" ht="16.8" thickBot="1" x14ac:dyDescent="0.35">
      <c r="A156" s="19">
        <v>45659</v>
      </c>
      <c r="B156" s="119" t="s">
        <v>1762</v>
      </c>
      <c r="C156">
        <v>1</v>
      </c>
      <c r="D156" s="131">
        <v>2650</v>
      </c>
      <c r="E156" s="116">
        <f t="shared" si="6"/>
        <v>2650</v>
      </c>
    </row>
    <row r="157" spans="1:5" ht="16.8" thickBot="1" x14ac:dyDescent="0.3">
      <c r="A157" s="19">
        <v>45660</v>
      </c>
      <c r="B157" s="132" t="s">
        <v>736</v>
      </c>
      <c r="C157">
        <v>1</v>
      </c>
      <c r="D157" s="131">
        <v>530</v>
      </c>
      <c r="E157" s="116">
        <f t="shared" si="6"/>
        <v>530</v>
      </c>
    </row>
    <row r="158" spans="1:5" ht="16.8" thickBot="1" x14ac:dyDescent="0.3">
      <c r="A158" s="19">
        <v>45665</v>
      </c>
      <c r="B158" s="132" t="s">
        <v>1763</v>
      </c>
      <c r="C158">
        <v>1</v>
      </c>
      <c r="D158" s="131">
        <v>1635</v>
      </c>
      <c r="E158" s="116">
        <f t="shared" si="6"/>
        <v>1635</v>
      </c>
    </row>
    <row r="159" spans="1:5" x14ac:dyDescent="0.3">
      <c r="A159" s="19">
        <v>45662</v>
      </c>
      <c r="B159" s="119" t="s">
        <v>1764</v>
      </c>
      <c r="C159">
        <v>1</v>
      </c>
      <c r="D159" s="131">
        <v>705</v>
      </c>
      <c r="E159" s="116">
        <f t="shared" si="6"/>
        <v>705</v>
      </c>
    </row>
    <row r="160" spans="1:5" x14ac:dyDescent="0.3">
      <c r="A160" s="19">
        <v>45670</v>
      </c>
      <c r="B160" s="119" t="s">
        <v>1765</v>
      </c>
      <c r="C160">
        <v>1</v>
      </c>
      <c r="D160" s="131">
        <v>545</v>
      </c>
      <c r="E160" s="116">
        <f t="shared" si="6"/>
        <v>545</v>
      </c>
    </row>
    <row r="161" spans="1:5" x14ac:dyDescent="0.3">
      <c r="A161" s="19">
        <v>45670</v>
      </c>
      <c r="B161" s="119" t="s">
        <v>1766</v>
      </c>
      <c r="C161">
        <v>1</v>
      </c>
      <c r="D161" s="131">
        <v>250</v>
      </c>
      <c r="E161" s="116">
        <f t="shared" si="6"/>
        <v>250</v>
      </c>
    </row>
    <row r="162" spans="1:5" x14ac:dyDescent="0.3">
      <c r="A162" s="19">
        <v>45676</v>
      </c>
      <c r="B162" s="119" t="s">
        <v>1767</v>
      </c>
      <c r="C162">
        <v>1</v>
      </c>
      <c r="D162" s="131">
        <v>1590</v>
      </c>
      <c r="E162" s="116">
        <f t="shared" si="6"/>
        <v>1590</v>
      </c>
    </row>
    <row r="163" spans="1:5" x14ac:dyDescent="0.3">
      <c r="A163" s="19">
        <v>45685</v>
      </c>
      <c r="B163" s="119" t="s">
        <v>1768</v>
      </c>
      <c r="C163">
        <v>1</v>
      </c>
      <c r="D163" s="131">
        <v>945</v>
      </c>
      <c r="E163" s="116">
        <f t="shared" si="6"/>
        <v>945</v>
      </c>
    </row>
    <row r="164" spans="1:5" x14ac:dyDescent="0.3">
      <c r="A164" s="19">
        <v>45675</v>
      </c>
      <c r="B164" s="119" t="s">
        <v>1769</v>
      </c>
      <c r="C164">
        <v>1</v>
      </c>
      <c r="D164" s="131">
        <v>-420</v>
      </c>
      <c r="E164" s="116">
        <f t="shared" si="6"/>
        <v>-420</v>
      </c>
    </row>
    <row r="165" spans="1:5" ht="16.8" thickBot="1" x14ac:dyDescent="0.35">
      <c r="A165" s="19">
        <v>45668</v>
      </c>
      <c r="B165" s="119" t="s">
        <v>1770</v>
      </c>
      <c r="C165">
        <v>1</v>
      </c>
      <c r="D165" s="131">
        <v>-60</v>
      </c>
      <c r="E165" s="116">
        <f t="shared" si="6"/>
        <v>-60</v>
      </c>
    </row>
    <row r="166" spans="1:5" ht="16.8" thickBot="1" x14ac:dyDescent="0.3">
      <c r="A166" s="19">
        <v>45692</v>
      </c>
      <c r="B166" s="132" t="s">
        <v>1771</v>
      </c>
      <c r="C166">
        <v>1</v>
      </c>
      <c r="D166" s="131">
        <v>1345</v>
      </c>
      <c r="E166" s="116">
        <f t="shared" si="6"/>
        <v>1345</v>
      </c>
    </row>
    <row r="167" spans="1:5" ht="16.8" thickBot="1" x14ac:dyDescent="0.3">
      <c r="A167" s="19">
        <v>45692</v>
      </c>
      <c r="B167" s="132" t="s">
        <v>1772</v>
      </c>
      <c r="C167">
        <v>1</v>
      </c>
      <c r="D167" s="131">
        <v>265</v>
      </c>
      <c r="E167" s="116">
        <f t="shared" si="6"/>
        <v>265</v>
      </c>
    </row>
    <row r="168" spans="1:5" x14ac:dyDescent="0.3">
      <c r="A168" s="19">
        <v>45698</v>
      </c>
      <c r="B168" s="119" t="s">
        <v>1773</v>
      </c>
      <c r="C168">
        <v>1</v>
      </c>
      <c r="D168" s="131">
        <v>-475</v>
      </c>
      <c r="E168" s="116">
        <f t="shared" si="6"/>
        <v>-475</v>
      </c>
    </row>
    <row r="169" spans="1:5" x14ac:dyDescent="0.3">
      <c r="A169" s="19">
        <v>45704</v>
      </c>
      <c r="B169" s="119" t="s">
        <v>1774</v>
      </c>
      <c r="C169">
        <v>1</v>
      </c>
      <c r="D169" s="131">
        <v>600</v>
      </c>
      <c r="E169" s="116">
        <f t="shared" si="6"/>
        <v>600</v>
      </c>
    </row>
    <row r="170" spans="1:5" ht="16.8" thickBot="1" x14ac:dyDescent="0.35">
      <c r="A170" s="19">
        <v>45699</v>
      </c>
      <c r="B170" s="119" t="s">
        <v>1775</v>
      </c>
      <c r="C170">
        <v>1</v>
      </c>
      <c r="D170" s="131">
        <v>470</v>
      </c>
      <c r="E170" s="116">
        <f t="shared" si="6"/>
        <v>470</v>
      </c>
    </row>
    <row r="171" spans="1:5" ht="16.8" thickBot="1" x14ac:dyDescent="0.35">
      <c r="A171" s="19">
        <v>45709</v>
      </c>
      <c r="B171" s="133" t="s">
        <v>1776</v>
      </c>
      <c r="C171">
        <v>1</v>
      </c>
      <c r="D171" s="131">
        <v>1630</v>
      </c>
      <c r="E171" s="116">
        <f t="shared" si="6"/>
        <v>1630</v>
      </c>
    </row>
    <row r="172" spans="1:5" ht="16.8" thickBot="1" x14ac:dyDescent="0.3">
      <c r="A172" s="19">
        <v>45711</v>
      </c>
      <c r="B172" s="132" t="s">
        <v>1777</v>
      </c>
      <c r="C172">
        <v>1</v>
      </c>
      <c r="D172" s="131">
        <v>2858</v>
      </c>
      <c r="E172" s="116">
        <f t="shared" si="6"/>
        <v>2858</v>
      </c>
    </row>
    <row r="173" spans="1:5" ht="16.8" thickBot="1" x14ac:dyDescent="0.3">
      <c r="A173" s="19">
        <v>45718</v>
      </c>
      <c r="B173" s="132" t="s">
        <v>1778</v>
      </c>
      <c r="C173">
        <v>1</v>
      </c>
      <c r="D173" s="131">
        <v>2175</v>
      </c>
      <c r="E173" s="116">
        <f t="shared" si="6"/>
        <v>2175</v>
      </c>
    </row>
    <row r="174" spans="1:5" ht="16.8" thickBot="1" x14ac:dyDescent="0.3">
      <c r="A174" s="19">
        <v>45718</v>
      </c>
      <c r="B174" s="132" t="s">
        <v>1779</v>
      </c>
      <c r="C174">
        <v>1</v>
      </c>
      <c r="D174" s="131">
        <v>930</v>
      </c>
      <c r="E174" s="116">
        <f t="shared" si="6"/>
        <v>930</v>
      </c>
    </row>
    <row r="175" spans="1:5" x14ac:dyDescent="0.3">
      <c r="A175" s="19">
        <v>45722</v>
      </c>
      <c r="B175" s="134" t="s">
        <v>1780</v>
      </c>
      <c r="C175">
        <v>1</v>
      </c>
      <c r="D175" s="131">
        <v>-2630</v>
      </c>
      <c r="E175" s="116">
        <f t="shared" si="6"/>
        <v>-2630</v>
      </c>
    </row>
    <row r="176" spans="1:5" x14ac:dyDescent="0.25">
      <c r="A176" s="19">
        <v>45726</v>
      </c>
      <c r="B176" s="136" t="s">
        <v>1781</v>
      </c>
      <c r="C176">
        <v>1</v>
      </c>
      <c r="D176" s="131">
        <v>-3945</v>
      </c>
      <c r="E176" s="116">
        <f t="shared" ref="E176:E239" si="7">C176*D176</f>
        <v>-3945</v>
      </c>
    </row>
    <row r="177" spans="1:5" ht="16.8" thickBot="1" x14ac:dyDescent="0.3">
      <c r="A177" s="19">
        <v>45731</v>
      </c>
      <c r="B177" s="136" t="s">
        <v>1782</v>
      </c>
      <c r="C177">
        <v>1</v>
      </c>
      <c r="D177" s="131">
        <v>-2000</v>
      </c>
      <c r="E177" s="116">
        <f t="shared" si="7"/>
        <v>-2000</v>
      </c>
    </row>
    <row r="178" spans="1:5" ht="16.8" thickBot="1" x14ac:dyDescent="0.3">
      <c r="A178" s="19">
        <v>45737</v>
      </c>
      <c r="B178" s="132" t="s">
        <v>1783</v>
      </c>
      <c r="C178">
        <v>1</v>
      </c>
      <c r="D178" s="131">
        <v>1000</v>
      </c>
      <c r="E178" s="116">
        <f t="shared" si="7"/>
        <v>1000</v>
      </c>
    </row>
    <row r="179" spans="1:5" ht="16.8" thickBot="1" x14ac:dyDescent="0.3">
      <c r="A179" s="19">
        <v>45737</v>
      </c>
      <c r="B179" s="132" t="s">
        <v>1762</v>
      </c>
      <c r="C179">
        <v>1</v>
      </c>
      <c r="D179" s="131">
        <v>2220</v>
      </c>
      <c r="E179" s="116">
        <f t="shared" si="7"/>
        <v>2220</v>
      </c>
    </row>
    <row r="180" spans="1:5" ht="16.8" thickBot="1" x14ac:dyDescent="0.3">
      <c r="A180" s="19">
        <v>45738</v>
      </c>
      <c r="B180" s="132" t="s">
        <v>1784</v>
      </c>
      <c r="C180">
        <v>1</v>
      </c>
      <c r="D180" s="131">
        <v>1000</v>
      </c>
      <c r="E180" s="116">
        <f t="shared" si="7"/>
        <v>1000</v>
      </c>
    </row>
    <row r="181" spans="1:5" ht="16.8" thickBot="1" x14ac:dyDescent="0.3">
      <c r="A181" s="19">
        <v>45739</v>
      </c>
      <c r="B181" s="132" t="s">
        <v>1785</v>
      </c>
      <c r="C181">
        <v>1</v>
      </c>
      <c r="D181" s="131">
        <v>705</v>
      </c>
      <c r="E181" s="116">
        <f t="shared" si="7"/>
        <v>705</v>
      </c>
    </row>
    <row r="182" spans="1:5" ht="16.8" thickBot="1" x14ac:dyDescent="0.3">
      <c r="A182" s="19">
        <v>45739</v>
      </c>
      <c r="B182" s="132" t="s">
        <v>1786</v>
      </c>
      <c r="C182">
        <v>1</v>
      </c>
      <c r="D182" s="131">
        <v>635</v>
      </c>
      <c r="E182" s="116">
        <f t="shared" si="7"/>
        <v>635</v>
      </c>
    </row>
    <row r="183" spans="1:5" ht="16.8" thickBot="1" x14ac:dyDescent="0.3">
      <c r="A183" s="19">
        <v>45737</v>
      </c>
      <c r="B183" s="132" t="s">
        <v>1787</v>
      </c>
      <c r="C183">
        <v>2</v>
      </c>
      <c r="D183" s="131">
        <v>-400</v>
      </c>
      <c r="E183" s="116">
        <f t="shared" si="7"/>
        <v>-800</v>
      </c>
    </row>
    <row r="184" spans="1:5" x14ac:dyDescent="0.25">
      <c r="A184" s="19">
        <v>45739</v>
      </c>
      <c r="B184" s="137" t="s">
        <v>1708</v>
      </c>
      <c r="C184">
        <v>1</v>
      </c>
      <c r="D184" s="131">
        <v>-3670</v>
      </c>
      <c r="E184" s="116">
        <f t="shared" si="7"/>
        <v>-3670</v>
      </c>
    </row>
    <row r="185" spans="1:5" x14ac:dyDescent="0.25">
      <c r="A185" s="19">
        <v>45741</v>
      </c>
      <c r="B185" s="137" t="s">
        <v>1788</v>
      </c>
      <c r="C185">
        <v>1</v>
      </c>
      <c r="D185" s="131">
        <v>445</v>
      </c>
      <c r="E185" s="116">
        <f t="shared" si="7"/>
        <v>445</v>
      </c>
    </row>
    <row r="186" spans="1:5" ht="16.8" thickBot="1" x14ac:dyDescent="0.35">
      <c r="A186" s="19">
        <v>45746</v>
      </c>
      <c r="B186" s="119" t="s">
        <v>1789</v>
      </c>
      <c r="C186">
        <v>1</v>
      </c>
      <c r="D186" s="131">
        <v>-570</v>
      </c>
      <c r="E186" s="116">
        <f t="shared" si="7"/>
        <v>-570</v>
      </c>
    </row>
    <row r="187" spans="1:5" ht="16.8" thickBot="1" x14ac:dyDescent="0.3">
      <c r="A187" s="19">
        <v>45746</v>
      </c>
      <c r="B187" s="132" t="s">
        <v>1790</v>
      </c>
      <c r="C187">
        <v>1</v>
      </c>
      <c r="D187" s="131">
        <v>780</v>
      </c>
      <c r="E187" s="116">
        <f t="shared" si="7"/>
        <v>780</v>
      </c>
    </row>
    <row r="188" spans="1:5" ht="16.8" thickBot="1" x14ac:dyDescent="0.3">
      <c r="A188" s="19">
        <v>45746</v>
      </c>
      <c r="B188" s="132" t="s">
        <v>1791</v>
      </c>
      <c r="C188">
        <v>1</v>
      </c>
      <c r="D188" s="131">
        <v>795</v>
      </c>
      <c r="E188" s="116">
        <f t="shared" si="7"/>
        <v>795</v>
      </c>
    </row>
    <row r="189" spans="1:5" ht="16.8" thickBot="1" x14ac:dyDescent="0.3">
      <c r="A189" s="19">
        <v>45746</v>
      </c>
      <c r="B189" s="132" t="s">
        <v>1792</v>
      </c>
      <c r="C189">
        <v>1</v>
      </c>
      <c r="D189" s="131">
        <v>335</v>
      </c>
      <c r="E189" s="116">
        <f t="shared" si="7"/>
        <v>335</v>
      </c>
    </row>
    <row r="190" spans="1:5" ht="16.8" thickBot="1" x14ac:dyDescent="0.3">
      <c r="A190" s="19">
        <v>45747</v>
      </c>
      <c r="B190" s="132" t="s">
        <v>1793</v>
      </c>
      <c r="C190">
        <v>1</v>
      </c>
      <c r="D190" s="131">
        <v>930</v>
      </c>
      <c r="E190" s="116">
        <f t="shared" si="7"/>
        <v>930</v>
      </c>
    </row>
    <row r="191" spans="1:5" ht="16.8" thickBot="1" x14ac:dyDescent="0.3">
      <c r="A191" s="19">
        <v>45755</v>
      </c>
      <c r="B191" s="132" t="s">
        <v>1794</v>
      </c>
      <c r="C191">
        <v>1</v>
      </c>
      <c r="D191" s="131">
        <v>1485</v>
      </c>
      <c r="E191" s="116">
        <f t="shared" si="7"/>
        <v>1485</v>
      </c>
    </row>
    <row r="192" spans="1:5" ht="16.8" thickBot="1" x14ac:dyDescent="0.3">
      <c r="A192" s="19">
        <v>45755</v>
      </c>
      <c r="B192" s="132" t="s">
        <v>1795</v>
      </c>
      <c r="C192">
        <v>1</v>
      </c>
      <c r="D192" s="131">
        <v>990</v>
      </c>
      <c r="E192" s="116">
        <f t="shared" si="7"/>
        <v>990</v>
      </c>
    </row>
    <row r="193" spans="1:5" ht="16.8" thickBot="1" x14ac:dyDescent="0.3">
      <c r="A193" s="19">
        <v>45755</v>
      </c>
      <c r="B193" s="132" t="s">
        <v>1796</v>
      </c>
      <c r="C193">
        <v>1</v>
      </c>
      <c r="D193" s="131">
        <v>425</v>
      </c>
      <c r="E193" s="116">
        <f t="shared" si="7"/>
        <v>425</v>
      </c>
    </row>
    <row r="194" spans="1:5" ht="16.8" thickBot="1" x14ac:dyDescent="0.3">
      <c r="A194" s="19">
        <v>45755</v>
      </c>
      <c r="B194" s="132" t="s">
        <v>1797</v>
      </c>
      <c r="C194">
        <v>1</v>
      </c>
      <c r="D194" s="131">
        <v>550</v>
      </c>
      <c r="E194" s="116">
        <f t="shared" si="7"/>
        <v>550</v>
      </c>
    </row>
    <row r="195" spans="1:5" ht="16.8" thickBot="1" x14ac:dyDescent="0.3">
      <c r="A195" s="19">
        <v>45756</v>
      </c>
      <c r="B195" s="132" t="s">
        <v>1798</v>
      </c>
      <c r="C195">
        <v>1</v>
      </c>
      <c r="D195" s="131">
        <v>553</v>
      </c>
      <c r="E195" s="116">
        <f t="shared" si="7"/>
        <v>553</v>
      </c>
    </row>
    <row r="196" spans="1:5" ht="16.8" thickBot="1" x14ac:dyDescent="0.3">
      <c r="A196" s="19">
        <v>45757</v>
      </c>
      <c r="B196" s="132" t="s">
        <v>1799</v>
      </c>
      <c r="C196">
        <v>1</v>
      </c>
      <c r="D196" s="131">
        <v>525</v>
      </c>
      <c r="E196" s="116">
        <f t="shared" si="7"/>
        <v>525</v>
      </c>
    </row>
    <row r="197" spans="1:5" ht="16.8" thickBot="1" x14ac:dyDescent="0.3">
      <c r="A197" s="19">
        <v>45758</v>
      </c>
      <c r="B197" s="132" t="s">
        <v>1800</v>
      </c>
      <c r="C197">
        <v>1</v>
      </c>
      <c r="D197" s="131">
        <v>-1440</v>
      </c>
      <c r="E197" s="116">
        <f t="shared" si="7"/>
        <v>-1440</v>
      </c>
    </row>
    <row r="198" spans="1:5" x14ac:dyDescent="0.3">
      <c r="A198" s="19">
        <v>45768</v>
      </c>
      <c r="B198" s="119" t="s">
        <v>1801</v>
      </c>
      <c r="C198">
        <v>1</v>
      </c>
      <c r="D198" s="131">
        <v>-390</v>
      </c>
      <c r="E198" s="116">
        <f t="shared" si="7"/>
        <v>-390</v>
      </c>
    </row>
    <row r="199" spans="1:5" x14ac:dyDescent="0.3">
      <c r="A199" s="19">
        <v>45768</v>
      </c>
      <c r="B199" s="119" t="s">
        <v>1802</v>
      </c>
      <c r="C199">
        <v>1</v>
      </c>
      <c r="D199" s="131">
        <v>-400</v>
      </c>
      <c r="E199" s="116">
        <f t="shared" si="7"/>
        <v>-400</v>
      </c>
    </row>
    <row r="200" spans="1:5" x14ac:dyDescent="0.3">
      <c r="A200" s="19">
        <v>45768</v>
      </c>
      <c r="B200" s="119" t="s">
        <v>1803</v>
      </c>
      <c r="C200">
        <v>1</v>
      </c>
      <c r="D200" s="131">
        <v>-400</v>
      </c>
      <c r="E200" s="116">
        <f t="shared" si="7"/>
        <v>-400</v>
      </c>
    </row>
    <row r="201" spans="1:5" x14ac:dyDescent="0.3">
      <c r="A201" s="19">
        <v>45768</v>
      </c>
      <c r="B201" s="119" t="s">
        <v>1804</v>
      </c>
      <c r="C201">
        <v>1</v>
      </c>
      <c r="D201" s="131">
        <v>-500</v>
      </c>
      <c r="E201" s="116">
        <f t="shared" si="7"/>
        <v>-500</v>
      </c>
    </row>
    <row r="202" spans="1:5" x14ac:dyDescent="0.3">
      <c r="A202" s="19">
        <v>45768</v>
      </c>
      <c r="B202" s="119" t="s">
        <v>1805</v>
      </c>
      <c r="C202">
        <v>2</v>
      </c>
      <c r="D202" s="131">
        <v>-355</v>
      </c>
      <c r="E202" s="116">
        <f t="shared" si="7"/>
        <v>-710</v>
      </c>
    </row>
    <row r="203" spans="1:5" ht="16.8" thickBot="1" x14ac:dyDescent="0.35">
      <c r="A203" s="19">
        <v>45768</v>
      </c>
      <c r="B203" s="126" t="s">
        <v>1806</v>
      </c>
      <c r="C203">
        <v>2</v>
      </c>
      <c r="D203" s="131">
        <v>-390</v>
      </c>
      <c r="E203" s="116">
        <f t="shared" si="7"/>
        <v>-780</v>
      </c>
    </row>
    <row r="204" spans="1:5" ht="16.8" thickBot="1" x14ac:dyDescent="0.3">
      <c r="A204" s="19">
        <v>45770</v>
      </c>
      <c r="B204" s="132" t="s">
        <v>1807</v>
      </c>
      <c r="C204">
        <v>1</v>
      </c>
      <c r="D204" s="131">
        <v>1870</v>
      </c>
      <c r="E204" s="116">
        <f t="shared" si="7"/>
        <v>1870</v>
      </c>
    </row>
    <row r="205" spans="1:5" ht="16.8" thickBot="1" x14ac:dyDescent="0.3">
      <c r="A205" s="19">
        <v>45770</v>
      </c>
      <c r="B205" s="132" t="s">
        <v>1808</v>
      </c>
      <c r="C205">
        <v>1</v>
      </c>
      <c r="D205" s="131">
        <v>1280</v>
      </c>
      <c r="E205" s="116">
        <f t="shared" si="7"/>
        <v>1280</v>
      </c>
    </row>
    <row r="206" spans="1:5" ht="16.8" thickBot="1" x14ac:dyDescent="0.3">
      <c r="A206" s="19">
        <v>45771</v>
      </c>
      <c r="B206" s="132" t="s">
        <v>1809</v>
      </c>
      <c r="C206">
        <v>1</v>
      </c>
      <c r="D206" s="131">
        <v>890</v>
      </c>
      <c r="E206" s="116">
        <f t="shared" si="7"/>
        <v>890</v>
      </c>
    </row>
    <row r="207" spans="1:5" ht="16.8" thickBot="1" x14ac:dyDescent="0.3">
      <c r="A207" s="19">
        <v>45771</v>
      </c>
      <c r="B207" s="132" t="s">
        <v>1810</v>
      </c>
      <c r="C207">
        <v>1</v>
      </c>
      <c r="D207" s="131">
        <v>920</v>
      </c>
      <c r="E207" s="116">
        <f t="shared" si="7"/>
        <v>920</v>
      </c>
    </row>
    <row r="208" spans="1:5" ht="16.8" thickBot="1" x14ac:dyDescent="0.3">
      <c r="A208" s="19">
        <v>45771</v>
      </c>
      <c r="B208" s="132" t="s">
        <v>1811</v>
      </c>
      <c r="C208">
        <v>1</v>
      </c>
      <c r="D208" s="131">
        <v>230</v>
      </c>
      <c r="E208" s="116">
        <f t="shared" si="7"/>
        <v>230</v>
      </c>
    </row>
    <row r="209" spans="1:5" ht="16.8" thickBot="1" x14ac:dyDescent="0.35">
      <c r="A209" s="19">
        <v>45764</v>
      </c>
      <c r="B209" s="118" t="s">
        <v>1812</v>
      </c>
      <c r="C209">
        <v>1</v>
      </c>
      <c r="D209" s="131">
        <v>-1700</v>
      </c>
      <c r="E209" s="116">
        <f t="shared" si="7"/>
        <v>-1700</v>
      </c>
    </row>
    <row r="210" spans="1:5" ht="16.8" thickBot="1" x14ac:dyDescent="0.3">
      <c r="A210" s="19">
        <v>45775</v>
      </c>
      <c r="B210" s="132" t="s">
        <v>1813</v>
      </c>
      <c r="C210">
        <v>1</v>
      </c>
      <c r="D210" s="131">
        <v>1050</v>
      </c>
      <c r="E210" s="116">
        <f t="shared" si="7"/>
        <v>1050</v>
      </c>
    </row>
    <row r="211" spans="1:5" ht="16.8" thickBot="1" x14ac:dyDescent="0.3">
      <c r="A211" s="19">
        <v>45775</v>
      </c>
      <c r="B211" s="132" t="s">
        <v>1814</v>
      </c>
      <c r="C211">
        <v>1</v>
      </c>
      <c r="D211" s="131">
        <v>1530</v>
      </c>
      <c r="E211" s="116">
        <f t="shared" si="7"/>
        <v>1530</v>
      </c>
    </row>
    <row r="212" spans="1:5" ht="16.8" thickBot="1" x14ac:dyDescent="0.3">
      <c r="A212" s="19">
        <v>45777</v>
      </c>
      <c r="B212" s="132" t="s">
        <v>1815</v>
      </c>
      <c r="C212">
        <v>1</v>
      </c>
      <c r="D212" s="131">
        <v>-470</v>
      </c>
      <c r="E212" s="116">
        <f t="shared" si="7"/>
        <v>-470</v>
      </c>
    </row>
    <row r="213" spans="1:5" ht="16.8" thickBot="1" x14ac:dyDescent="0.3">
      <c r="A213" s="19">
        <v>45780</v>
      </c>
      <c r="B213" s="132" t="s">
        <v>1816</v>
      </c>
      <c r="C213">
        <v>1</v>
      </c>
      <c r="D213" s="131">
        <v>475</v>
      </c>
      <c r="E213" s="116">
        <f t="shared" si="7"/>
        <v>475</v>
      </c>
    </row>
    <row r="214" spans="1:5" x14ac:dyDescent="0.25">
      <c r="A214" s="19">
        <v>45785</v>
      </c>
      <c r="B214" s="136" t="s">
        <v>1818</v>
      </c>
      <c r="C214">
        <v>2</v>
      </c>
      <c r="D214" s="131">
        <v>-450</v>
      </c>
      <c r="E214" s="116">
        <f t="shared" si="7"/>
        <v>-900</v>
      </c>
    </row>
    <row r="215" spans="1:5" ht="16.8" thickBot="1" x14ac:dyDescent="0.3">
      <c r="A215" s="19">
        <v>45785</v>
      </c>
      <c r="B215" s="136" t="s">
        <v>1817</v>
      </c>
      <c r="C215">
        <v>1</v>
      </c>
      <c r="D215" s="131">
        <v>-450</v>
      </c>
      <c r="E215" s="116">
        <f t="shared" si="7"/>
        <v>-450</v>
      </c>
    </row>
    <row r="216" spans="1:5" ht="16.8" thickBot="1" x14ac:dyDescent="0.3">
      <c r="A216" s="19">
        <v>45785</v>
      </c>
      <c r="B216" s="132" t="s">
        <v>1832</v>
      </c>
      <c r="C216">
        <v>1</v>
      </c>
      <c r="D216" s="131">
        <v>755</v>
      </c>
      <c r="E216" s="116">
        <f t="shared" si="7"/>
        <v>755</v>
      </c>
    </row>
    <row r="217" spans="1:5" ht="16.8" thickBot="1" x14ac:dyDescent="0.3">
      <c r="A217" s="19">
        <v>45785</v>
      </c>
      <c r="B217" s="132" t="s">
        <v>1833</v>
      </c>
      <c r="C217">
        <v>1</v>
      </c>
      <c r="D217" s="131">
        <v>1415</v>
      </c>
      <c r="E217" s="116">
        <f t="shared" si="7"/>
        <v>1415</v>
      </c>
    </row>
    <row r="218" spans="1:5" x14ac:dyDescent="0.3">
      <c r="A218" s="19">
        <v>45808</v>
      </c>
      <c r="B218" s="119" t="s">
        <v>1875</v>
      </c>
      <c r="C218">
        <v>1</v>
      </c>
      <c r="D218" s="131">
        <v>-6035</v>
      </c>
      <c r="E218" s="116">
        <f t="shared" si="7"/>
        <v>-6035</v>
      </c>
    </row>
    <row r="219" spans="1:5" x14ac:dyDescent="0.3">
      <c r="A219" s="19">
        <v>45808</v>
      </c>
      <c r="B219" s="119" t="s">
        <v>1876</v>
      </c>
      <c r="C219">
        <v>1</v>
      </c>
      <c r="D219" s="131">
        <v>-1440</v>
      </c>
      <c r="E219" s="116">
        <f t="shared" si="7"/>
        <v>-1440</v>
      </c>
    </row>
    <row r="220" spans="1:5" x14ac:dyDescent="0.3">
      <c r="A220" s="19">
        <v>45808</v>
      </c>
      <c r="B220" s="119" t="s">
        <v>1877</v>
      </c>
      <c r="C220">
        <v>1</v>
      </c>
      <c r="D220" s="131">
        <v>380</v>
      </c>
      <c r="E220" s="116">
        <f t="shared" si="7"/>
        <v>380</v>
      </c>
    </row>
    <row r="221" spans="1:5" x14ac:dyDescent="0.3">
      <c r="A221" s="19">
        <v>45809</v>
      </c>
      <c r="B221" s="119" t="s">
        <v>1942</v>
      </c>
      <c r="C221">
        <v>1</v>
      </c>
      <c r="D221" s="131">
        <v>2165</v>
      </c>
      <c r="E221" s="116">
        <f t="shared" si="7"/>
        <v>2165</v>
      </c>
    </row>
    <row r="222" spans="1:5" x14ac:dyDescent="0.3">
      <c r="A222" s="19">
        <v>45801</v>
      </c>
      <c r="B222" s="119" t="s">
        <v>1943</v>
      </c>
      <c r="C222">
        <v>1</v>
      </c>
      <c r="D222" s="131">
        <v>930</v>
      </c>
      <c r="E222" s="116">
        <f t="shared" si="7"/>
        <v>930</v>
      </c>
    </row>
    <row r="223" spans="1:5" ht="16.8" thickBot="1" x14ac:dyDescent="0.35">
      <c r="A223" s="19">
        <v>45817</v>
      </c>
      <c r="B223" s="119" t="s">
        <v>1944</v>
      </c>
      <c r="C223">
        <v>1</v>
      </c>
      <c r="D223" s="131">
        <v>-4865</v>
      </c>
      <c r="E223" s="116">
        <f t="shared" si="7"/>
        <v>-4865</v>
      </c>
    </row>
    <row r="224" spans="1:5" ht="16.8" thickBot="1" x14ac:dyDescent="0.3">
      <c r="A224" s="19">
        <v>45817</v>
      </c>
      <c r="B224" s="132" t="s">
        <v>1952</v>
      </c>
      <c r="C224">
        <v>1</v>
      </c>
      <c r="D224" s="131">
        <v>282</v>
      </c>
      <c r="E224" s="116">
        <f t="shared" si="7"/>
        <v>282</v>
      </c>
    </row>
    <row r="225" spans="1:5" ht="16.8" thickBot="1" x14ac:dyDescent="0.3">
      <c r="A225" s="19">
        <v>45822</v>
      </c>
      <c r="B225" s="132" t="s">
        <v>1953</v>
      </c>
      <c r="C225">
        <v>1</v>
      </c>
      <c r="D225" s="131">
        <v>538</v>
      </c>
      <c r="E225" s="116">
        <f t="shared" si="7"/>
        <v>538</v>
      </c>
    </row>
    <row r="226" spans="1:5" ht="16.8" thickBot="1" x14ac:dyDescent="0.3">
      <c r="A226" s="19">
        <v>45822</v>
      </c>
      <c r="B226" s="132" t="s">
        <v>1954</v>
      </c>
      <c r="C226">
        <v>1</v>
      </c>
      <c r="D226" s="131">
        <v>530</v>
      </c>
      <c r="E226" s="116">
        <f t="shared" si="7"/>
        <v>530</v>
      </c>
    </row>
    <row r="227" spans="1:5" ht="16.8" thickBot="1" x14ac:dyDescent="0.3">
      <c r="A227" s="19">
        <v>45809</v>
      </c>
      <c r="B227" s="132" t="s">
        <v>1955</v>
      </c>
      <c r="C227">
        <v>1</v>
      </c>
      <c r="D227" s="131">
        <v>2229</v>
      </c>
      <c r="E227" s="116">
        <f t="shared" si="7"/>
        <v>2229</v>
      </c>
    </row>
    <row r="228" spans="1:5" ht="16.8" thickBot="1" x14ac:dyDescent="0.3">
      <c r="A228" s="19">
        <v>45809</v>
      </c>
      <c r="B228" s="132" t="s">
        <v>1956</v>
      </c>
      <c r="C228">
        <v>1</v>
      </c>
      <c r="D228" s="131">
        <v>525</v>
      </c>
      <c r="E228" s="116">
        <f t="shared" si="7"/>
        <v>525</v>
      </c>
    </row>
    <row r="229" spans="1:5" x14ac:dyDescent="0.3">
      <c r="A229" s="19">
        <v>45842</v>
      </c>
      <c r="B229" s="119" t="s">
        <v>2045</v>
      </c>
      <c r="C229">
        <v>1</v>
      </c>
      <c r="D229" s="131">
        <v>-3030</v>
      </c>
      <c r="E229" s="116">
        <f t="shared" si="7"/>
        <v>-3030</v>
      </c>
    </row>
    <row r="230" spans="1:5" x14ac:dyDescent="0.3">
      <c r="A230" s="19">
        <v>45842</v>
      </c>
      <c r="B230" s="119" t="s">
        <v>2046</v>
      </c>
      <c r="C230">
        <v>1</v>
      </c>
      <c r="D230" s="131">
        <v>-2495</v>
      </c>
      <c r="E230" s="116">
        <f t="shared" si="7"/>
        <v>-2495</v>
      </c>
    </row>
    <row r="231" spans="1:5" x14ac:dyDescent="0.3">
      <c r="E231" s="116">
        <f t="shared" si="7"/>
        <v>0</v>
      </c>
    </row>
    <row r="232" spans="1:5" x14ac:dyDescent="0.3">
      <c r="E232" s="116">
        <f t="shared" si="7"/>
        <v>0</v>
      </c>
    </row>
    <row r="233" spans="1:5" x14ac:dyDescent="0.3">
      <c r="E233" s="116">
        <f t="shared" si="7"/>
        <v>0</v>
      </c>
    </row>
    <row r="234" spans="1:5" x14ac:dyDescent="0.3">
      <c r="E234" s="116">
        <f t="shared" si="7"/>
        <v>0</v>
      </c>
    </row>
    <row r="235" spans="1:5" x14ac:dyDescent="0.3">
      <c r="E235" s="116">
        <f t="shared" si="7"/>
        <v>0</v>
      </c>
    </row>
    <row r="236" spans="1:5" x14ac:dyDescent="0.3">
      <c r="E236" s="116">
        <f t="shared" si="7"/>
        <v>0</v>
      </c>
    </row>
    <row r="237" spans="1:5" x14ac:dyDescent="0.3">
      <c r="E237" s="116">
        <f t="shared" si="7"/>
        <v>0</v>
      </c>
    </row>
    <row r="238" spans="1:5" x14ac:dyDescent="0.3">
      <c r="E238" s="116">
        <f t="shared" si="7"/>
        <v>0</v>
      </c>
    </row>
    <row r="239" spans="1:5" x14ac:dyDescent="0.3">
      <c r="E239" s="116">
        <f t="shared" si="7"/>
        <v>0</v>
      </c>
    </row>
    <row r="240" spans="1:5" x14ac:dyDescent="0.3">
      <c r="E240" s="116">
        <f t="shared" ref="E240:E297" si="8">C240*D240</f>
        <v>0</v>
      </c>
    </row>
    <row r="241" spans="5:5" x14ac:dyDescent="0.3">
      <c r="E241" s="116">
        <f t="shared" si="8"/>
        <v>0</v>
      </c>
    </row>
    <row r="242" spans="5:5" x14ac:dyDescent="0.3">
      <c r="E242" s="116">
        <f t="shared" si="8"/>
        <v>0</v>
      </c>
    </row>
    <row r="243" spans="5:5" x14ac:dyDescent="0.3">
      <c r="E243" s="116">
        <f t="shared" si="8"/>
        <v>0</v>
      </c>
    </row>
    <row r="244" spans="5:5" x14ac:dyDescent="0.3">
      <c r="E244" s="116">
        <f t="shared" si="8"/>
        <v>0</v>
      </c>
    </row>
    <row r="245" spans="5:5" x14ac:dyDescent="0.3">
      <c r="E245" s="116">
        <f t="shared" si="8"/>
        <v>0</v>
      </c>
    </row>
    <row r="246" spans="5:5" x14ac:dyDescent="0.3">
      <c r="E246" s="116">
        <f t="shared" si="8"/>
        <v>0</v>
      </c>
    </row>
    <row r="247" spans="5:5" x14ac:dyDescent="0.3">
      <c r="E247" s="116">
        <f t="shared" si="8"/>
        <v>0</v>
      </c>
    </row>
    <row r="248" spans="5:5" x14ac:dyDescent="0.3">
      <c r="E248" s="116">
        <f t="shared" si="8"/>
        <v>0</v>
      </c>
    </row>
    <row r="249" spans="5:5" x14ac:dyDescent="0.3">
      <c r="E249" s="116">
        <f t="shared" si="8"/>
        <v>0</v>
      </c>
    </row>
    <row r="250" spans="5:5" x14ac:dyDescent="0.3">
      <c r="E250" s="116">
        <f t="shared" si="8"/>
        <v>0</v>
      </c>
    </row>
    <row r="251" spans="5:5" x14ac:dyDescent="0.3">
      <c r="E251" s="116">
        <f t="shared" si="8"/>
        <v>0</v>
      </c>
    </row>
    <row r="252" spans="5:5" x14ac:dyDescent="0.3">
      <c r="E252" s="116">
        <f t="shared" si="8"/>
        <v>0</v>
      </c>
    </row>
    <row r="253" spans="5:5" x14ac:dyDescent="0.3">
      <c r="E253" s="116">
        <f t="shared" si="8"/>
        <v>0</v>
      </c>
    </row>
    <row r="254" spans="5:5" x14ac:dyDescent="0.3">
      <c r="E254" s="116">
        <f t="shared" si="8"/>
        <v>0</v>
      </c>
    </row>
    <row r="255" spans="5:5" x14ac:dyDescent="0.3">
      <c r="E255" s="116">
        <f t="shared" si="8"/>
        <v>0</v>
      </c>
    </row>
    <row r="256" spans="5:5" x14ac:dyDescent="0.3">
      <c r="E256" s="116">
        <f t="shared" si="8"/>
        <v>0</v>
      </c>
    </row>
    <row r="257" spans="5:5" x14ac:dyDescent="0.3">
      <c r="E257" s="116">
        <f t="shared" si="8"/>
        <v>0</v>
      </c>
    </row>
    <row r="258" spans="5:5" x14ac:dyDescent="0.3">
      <c r="E258" s="116">
        <f t="shared" si="8"/>
        <v>0</v>
      </c>
    </row>
    <row r="259" spans="5:5" x14ac:dyDescent="0.3">
      <c r="E259" s="116">
        <f t="shared" si="8"/>
        <v>0</v>
      </c>
    </row>
    <row r="260" spans="5:5" x14ac:dyDescent="0.3">
      <c r="E260" s="116">
        <f t="shared" si="8"/>
        <v>0</v>
      </c>
    </row>
    <row r="261" spans="5:5" x14ac:dyDescent="0.3">
      <c r="E261" s="116">
        <f t="shared" si="8"/>
        <v>0</v>
      </c>
    </row>
    <row r="262" spans="5:5" x14ac:dyDescent="0.3">
      <c r="E262" s="116">
        <f t="shared" si="8"/>
        <v>0</v>
      </c>
    </row>
    <row r="263" spans="5:5" x14ac:dyDescent="0.3">
      <c r="E263" s="116">
        <f t="shared" si="8"/>
        <v>0</v>
      </c>
    </row>
    <row r="264" spans="5:5" x14ac:dyDescent="0.3">
      <c r="E264" s="116">
        <f t="shared" si="8"/>
        <v>0</v>
      </c>
    </row>
    <row r="265" spans="5:5" x14ac:dyDescent="0.3">
      <c r="E265" s="116">
        <f t="shared" si="8"/>
        <v>0</v>
      </c>
    </row>
    <row r="266" spans="5:5" x14ac:dyDescent="0.3">
      <c r="E266" s="116">
        <f t="shared" si="8"/>
        <v>0</v>
      </c>
    </row>
    <row r="267" spans="5:5" x14ac:dyDescent="0.3">
      <c r="E267" s="116">
        <f t="shared" si="8"/>
        <v>0</v>
      </c>
    </row>
    <row r="268" spans="5:5" x14ac:dyDescent="0.3">
      <c r="E268" s="116">
        <f t="shared" si="8"/>
        <v>0</v>
      </c>
    </row>
    <row r="269" spans="5:5" x14ac:dyDescent="0.3">
      <c r="E269" s="116">
        <f t="shared" si="8"/>
        <v>0</v>
      </c>
    </row>
    <row r="270" spans="5:5" x14ac:dyDescent="0.3">
      <c r="E270" s="116">
        <f t="shared" si="8"/>
        <v>0</v>
      </c>
    </row>
    <row r="271" spans="5:5" x14ac:dyDescent="0.3">
      <c r="E271" s="116">
        <f t="shared" si="8"/>
        <v>0</v>
      </c>
    </row>
    <row r="272" spans="5:5" x14ac:dyDescent="0.3">
      <c r="E272" s="116">
        <f t="shared" si="8"/>
        <v>0</v>
      </c>
    </row>
    <row r="273" spans="5:5" x14ac:dyDescent="0.3">
      <c r="E273" s="116">
        <f t="shared" si="8"/>
        <v>0</v>
      </c>
    </row>
    <row r="274" spans="5:5" x14ac:dyDescent="0.3">
      <c r="E274" s="116">
        <f t="shared" si="8"/>
        <v>0</v>
      </c>
    </row>
    <row r="275" spans="5:5" x14ac:dyDescent="0.3">
      <c r="E275" s="116">
        <f t="shared" si="8"/>
        <v>0</v>
      </c>
    </row>
    <row r="276" spans="5:5" x14ac:dyDescent="0.3">
      <c r="E276" s="116">
        <f t="shared" si="8"/>
        <v>0</v>
      </c>
    </row>
    <row r="277" spans="5:5" x14ac:dyDescent="0.3">
      <c r="E277" s="116">
        <f t="shared" si="8"/>
        <v>0</v>
      </c>
    </row>
    <row r="278" spans="5:5" x14ac:dyDescent="0.3">
      <c r="E278" s="116">
        <f t="shared" si="8"/>
        <v>0</v>
      </c>
    </row>
    <row r="279" spans="5:5" x14ac:dyDescent="0.3">
      <c r="E279" s="116">
        <f t="shared" si="8"/>
        <v>0</v>
      </c>
    </row>
    <row r="280" spans="5:5" x14ac:dyDescent="0.3">
      <c r="E280" s="116">
        <f t="shared" si="8"/>
        <v>0</v>
      </c>
    </row>
    <row r="281" spans="5:5" x14ac:dyDescent="0.3">
      <c r="E281" s="116">
        <f t="shared" si="8"/>
        <v>0</v>
      </c>
    </row>
    <row r="282" spans="5:5" x14ac:dyDescent="0.3">
      <c r="E282" s="116">
        <f t="shared" si="8"/>
        <v>0</v>
      </c>
    </row>
    <row r="283" spans="5:5" x14ac:dyDescent="0.3">
      <c r="E283" s="116">
        <f t="shared" si="8"/>
        <v>0</v>
      </c>
    </row>
    <row r="284" spans="5:5" x14ac:dyDescent="0.3">
      <c r="E284" s="116">
        <f t="shared" si="8"/>
        <v>0</v>
      </c>
    </row>
    <row r="285" spans="5:5" x14ac:dyDescent="0.3">
      <c r="E285" s="116">
        <f t="shared" si="8"/>
        <v>0</v>
      </c>
    </row>
    <row r="286" spans="5:5" x14ac:dyDescent="0.3">
      <c r="E286" s="116">
        <f t="shared" si="8"/>
        <v>0</v>
      </c>
    </row>
    <row r="287" spans="5:5" x14ac:dyDescent="0.3">
      <c r="E287" s="116">
        <f t="shared" si="8"/>
        <v>0</v>
      </c>
    </row>
    <row r="288" spans="5:5" x14ac:dyDescent="0.3">
      <c r="E288" s="116">
        <f t="shared" si="8"/>
        <v>0</v>
      </c>
    </row>
    <row r="289" spans="5:5" x14ac:dyDescent="0.3">
      <c r="E289" s="116">
        <f t="shared" si="8"/>
        <v>0</v>
      </c>
    </row>
    <row r="290" spans="5:5" x14ac:dyDescent="0.3">
      <c r="E290" s="116">
        <f t="shared" si="8"/>
        <v>0</v>
      </c>
    </row>
    <row r="291" spans="5:5" x14ac:dyDescent="0.3">
      <c r="E291" s="116">
        <f t="shared" si="8"/>
        <v>0</v>
      </c>
    </row>
    <row r="292" spans="5:5" x14ac:dyDescent="0.3">
      <c r="E292" s="116">
        <f t="shared" si="8"/>
        <v>0</v>
      </c>
    </row>
    <row r="293" spans="5:5" x14ac:dyDescent="0.3">
      <c r="E293" s="116">
        <f t="shared" si="8"/>
        <v>0</v>
      </c>
    </row>
    <row r="294" spans="5:5" x14ac:dyDescent="0.3">
      <c r="E294" s="116">
        <f t="shared" si="8"/>
        <v>0</v>
      </c>
    </row>
    <row r="295" spans="5:5" x14ac:dyDescent="0.3">
      <c r="E295" s="116">
        <f t="shared" si="8"/>
        <v>0</v>
      </c>
    </row>
    <row r="296" spans="5:5" x14ac:dyDescent="0.3">
      <c r="E296" s="116">
        <f t="shared" si="8"/>
        <v>0</v>
      </c>
    </row>
    <row r="297" spans="5:5" x14ac:dyDescent="0.3">
      <c r="E297" s="116">
        <f t="shared" si="8"/>
        <v>0</v>
      </c>
    </row>
  </sheetData>
  <autoFilter ref="A1:E104" xr:uid="{D6D4C1C1-9E0F-4DDF-A65E-DF55E34E3626}">
    <sortState xmlns:xlrd2="http://schemas.microsoft.com/office/spreadsheetml/2017/richdata2" ref="A2:E104">
      <sortCondition ref="A1:A104"/>
    </sortState>
  </autoFilter>
  <phoneticPr fontId="1" type="noConversion"/>
  <conditionalFormatting sqref="D1:H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6C51-CB02-4942-BE72-C4287BD687E5}">
  <dimension ref="A1:O19"/>
  <sheetViews>
    <sheetView workbookViewId="0">
      <selection activeCell="G15" sqref="G15"/>
    </sheetView>
  </sheetViews>
  <sheetFormatPr defaultRowHeight="16.2" x14ac:dyDescent="0.3"/>
  <cols>
    <col min="2" max="2" width="10" customWidth="1"/>
    <col min="9" max="9" width="10.44140625" bestFit="1" customWidth="1"/>
    <col min="14" max="14" width="14.109375" customWidth="1"/>
    <col min="15" max="15" width="104.88671875" customWidth="1"/>
  </cols>
  <sheetData>
    <row r="1" spans="1:15" x14ac:dyDescent="0.3">
      <c r="B1" s="141" t="s">
        <v>849</v>
      </c>
      <c r="C1" s="142"/>
      <c r="D1" s="143"/>
      <c r="E1" s="141" t="s">
        <v>850</v>
      </c>
      <c r="F1" s="142"/>
      <c r="G1" s="142"/>
      <c r="H1" s="141" t="s">
        <v>851</v>
      </c>
      <c r="I1" s="142"/>
      <c r="J1" s="143"/>
      <c r="K1" s="141" t="s">
        <v>852</v>
      </c>
      <c r="L1" s="142"/>
      <c r="M1" s="143"/>
      <c r="N1" t="s">
        <v>853</v>
      </c>
      <c r="O1" t="s">
        <v>854</v>
      </c>
    </row>
    <row r="2" spans="1:15" ht="16.8" thickBot="1" x14ac:dyDescent="0.35">
      <c r="A2" s="102" t="s">
        <v>855</v>
      </c>
      <c r="B2" s="103" t="s">
        <v>856</v>
      </c>
      <c r="C2" s="102"/>
      <c r="D2" s="104" t="s">
        <v>857</v>
      </c>
      <c r="E2" s="103" t="s">
        <v>856</v>
      </c>
      <c r="F2" s="102"/>
      <c r="G2" s="102" t="s">
        <v>857</v>
      </c>
      <c r="H2" s="103" t="s">
        <v>856</v>
      </c>
      <c r="I2" s="102"/>
      <c r="J2" s="104" t="s">
        <v>857</v>
      </c>
      <c r="K2" s="103" t="s">
        <v>856</v>
      </c>
      <c r="L2" s="102"/>
      <c r="M2" s="105" t="s">
        <v>857</v>
      </c>
      <c r="O2" t="s">
        <v>858</v>
      </c>
    </row>
    <row r="3" spans="1:15" ht="16.8" thickTop="1" x14ac:dyDescent="0.3">
      <c r="A3">
        <v>1</v>
      </c>
      <c r="B3" s="98"/>
      <c r="C3" s="145">
        <f>6/14</f>
        <v>0.42857142857142855</v>
      </c>
      <c r="D3" s="81"/>
      <c r="E3" s="94"/>
      <c r="F3" s="145">
        <f>5/10</f>
        <v>0.5</v>
      </c>
      <c r="G3" s="152">
        <f>(E8-E4)/(A8-A4)</f>
        <v>20</v>
      </c>
      <c r="H3" s="94"/>
      <c r="I3" s="151">
        <f>7/11.5</f>
        <v>0.60869565217391308</v>
      </c>
      <c r="J3" s="81"/>
      <c r="K3" s="94"/>
      <c r="L3" s="145">
        <f>5/10</f>
        <v>0.5</v>
      </c>
      <c r="M3" s="81"/>
      <c r="O3" t="s">
        <v>859</v>
      </c>
    </row>
    <row r="4" spans="1:15" x14ac:dyDescent="0.3">
      <c r="A4">
        <v>1.5</v>
      </c>
      <c r="B4" s="98">
        <v>90</v>
      </c>
      <c r="C4" s="145"/>
      <c r="D4" s="150">
        <f>(B9-B4)/(A9-A4)</f>
        <v>15.555555555555555</v>
      </c>
      <c r="E4" s="94">
        <v>90</v>
      </c>
      <c r="F4" s="145"/>
      <c r="G4" s="152"/>
      <c r="H4" s="94">
        <v>90</v>
      </c>
      <c r="I4" s="145"/>
      <c r="J4" s="144">
        <v>13</v>
      </c>
      <c r="K4" s="106">
        <v>90</v>
      </c>
      <c r="L4" s="145"/>
      <c r="M4" s="144">
        <v>20</v>
      </c>
      <c r="O4" t="s">
        <v>860</v>
      </c>
    </row>
    <row r="5" spans="1:15" x14ac:dyDescent="0.3">
      <c r="A5">
        <v>2</v>
      </c>
      <c r="B5" s="98">
        <f>B4+$D$4*0.5</f>
        <v>97.777777777777771</v>
      </c>
      <c r="C5" s="145"/>
      <c r="D5" s="150"/>
      <c r="E5" s="94">
        <v>100</v>
      </c>
      <c r="F5" s="145"/>
      <c r="G5" s="152"/>
      <c r="H5" s="94">
        <f>H4+$J$4*0.5</f>
        <v>96.5</v>
      </c>
      <c r="I5" s="145"/>
      <c r="J5" s="144"/>
      <c r="K5" s="106">
        <f>K4+$M$4*0.5</f>
        <v>100</v>
      </c>
      <c r="L5" s="145"/>
      <c r="M5" s="144"/>
    </row>
    <row r="6" spans="1:15" x14ac:dyDescent="0.3">
      <c r="A6">
        <v>3</v>
      </c>
      <c r="B6" s="98">
        <f t="shared" ref="B6:B8" si="0">B5+$D$4</f>
        <v>113.33333333333333</v>
      </c>
      <c r="C6" s="145"/>
      <c r="D6" s="150"/>
      <c r="E6" s="94">
        <v>120</v>
      </c>
      <c r="F6" s="145"/>
      <c r="G6" s="152"/>
      <c r="H6" s="94">
        <f>H5+$J$4</f>
        <v>109.5</v>
      </c>
      <c r="I6" s="145"/>
      <c r="J6" s="144"/>
      <c r="K6" s="106">
        <f>K5+$M$4</f>
        <v>120</v>
      </c>
      <c r="L6" s="145"/>
      <c r="M6" s="144"/>
    </row>
    <row r="7" spans="1:15" x14ac:dyDescent="0.3">
      <c r="A7">
        <v>4</v>
      </c>
      <c r="B7" s="98">
        <f t="shared" si="0"/>
        <v>128.88888888888889</v>
      </c>
      <c r="C7" s="145"/>
      <c r="D7" s="150"/>
      <c r="E7" s="94">
        <v>140</v>
      </c>
      <c r="F7" s="145"/>
      <c r="G7" s="152"/>
      <c r="H7" s="94">
        <f t="shared" ref="H7:H9" si="1">H6+$J$4</f>
        <v>122.5</v>
      </c>
      <c r="I7" s="145"/>
      <c r="J7" s="144"/>
      <c r="K7" s="106">
        <f>K6+$M$4</f>
        <v>140</v>
      </c>
      <c r="L7" s="145"/>
      <c r="M7" s="144"/>
    </row>
    <row r="8" spans="1:15" x14ac:dyDescent="0.3">
      <c r="A8">
        <v>5</v>
      </c>
      <c r="B8" s="98">
        <f t="shared" si="0"/>
        <v>144.44444444444443</v>
      </c>
      <c r="C8" s="145"/>
      <c r="D8" s="150"/>
      <c r="E8" s="94">
        <v>160</v>
      </c>
      <c r="F8" s="145"/>
      <c r="G8" s="152"/>
      <c r="H8" s="94">
        <f t="shared" si="1"/>
        <v>135.5</v>
      </c>
      <c r="I8" s="145"/>
      <c r="J8" s="144"/>
      <c r="K8" s="106">
        <v>160</v>
      </c>
      <c r="L8" s="145"/>
      <c r="M8" s="144"/>
      <c r="N8" t="s">
        <v>861</v>
      </c>
      <c r="O8" t="s">
        <v>862</v>
      </c>
    </row>
    <row r="9" spans="1:15" x14ac:dyDescent="0.3">
      <c r="A9">
        <v>6</v>
      </c>
      <c r="B9" s="98">
        <v>160</v>
      </c>
      <c r="C9" s="145"/>
      <c r="D9" s="150"/>
      <c r="E9" s="95">
        <v>173</v>
      </c>
      <c r="F9" s="146">
        <f>3/10</f>
        <v>0.3</v>
      </c>
      <c r="G9" s="153">
        <f>(E11-E8)/(A11-A8)</f>
        <v>13.333333333333334</v>
      </c>
      <c r="H9" s="94">
        <f t="shared" si="1"/>
        <v>148.5</v>
      </c>
      <c r="I9" s="145"/>
      <c r="J9" s="144"/>
      <c r="K9" s="107">
        <f>K8+$M$9</f>
        <v>170</v>
      </c>
      <c r="L9" s="146">
        <f>4/10</f>
        <v>0.4</v>
      </c>
      <c r="M9" s="144">
        <v>10</v>
      </c>
      <c r="O9" t="s">
        <v>863</v>
      </c>
    </row>
    <row r="10" spans="1:15" x14ac:dyDescent="0.3">
      <c r="A10">
        <v>7</v>
      </c>
      <c r="B10" s="99">
        <f>B9+$D$10</f>
        <v>170</v>
      </c>
      <c r="C10" s="146">
        <f>(10-6)/14</f>
        <v>0.2857142857142857</v>
      </c>
      <c r="D10" s="144">
        <f>(B13-B9)/(A13-A9)</f>
        <v>10</v>
      </c>
      <c r="E10" s="95">
        <v>186</v>
      </c>
      <c r="F10" s="146"/>
      <c r="G10" s="153"/>
      <c r="H10" s="94">
        <f>H9+$J$4</f>
        <v>161.5</v>
      </c>
      <c r="I10" s="145"/>
      <c r="J10" s="144"/>
      <c r="K10" s="107">
        <f t="shared" ref="K10:K12" si="2">K9+$M$9</f>
        <v>180</v>
      </c>
      <c r="L10" s="146"/>
      <c r="M10" s="144"/>
      <c r="O10" t="s">
        <v>864</v>
      </c>
    </row>
    <row r="11" spans="1:15" x14ac:dyDescent="0.3">
      <c r="A11">
        <v>8</v>
      </c>
      <c r="B11" s="99">
        <f t="shared" ref="B11:B12" si="3">B10+$D$10</f>
        <v>180</v>
      </c>
      <c r="C11" s="146"/>
      <c r="D11" s="144"/>
      <c r="E11" s="95">
        <v>200</v>
      </c>
      <c r="F11" s="146"/>
      <c r="G11" s="153"/>
      <c r="H11" s="95">
        <f t="shared" ref="H11:H12" si="4">H10+$J$4</f>
        <v>174.5</v>
      </c>
      <c r="I11" s="146">
        <f>3/11.5</f>
        <v>0.2608695652173913</v>
      </c>
      <c r="J11" s="144">
        <v>13</v>
      </c>
      <c r="K11" s="107">
        <f t="shared" si="2"/>
        <v>190</v>
      </c>
      <c r="L11" s="146"/>
      <c r="M11" s="144"/>
      <c r="O11" t="s">
        <v>865</v>
      </c>
    </row>
    <row r="12" spans="1:15" x14ac:dyDescent="0.3">
      <c r="A12">
        <v>9</v>
      </c>
      <c r="B12" s="99">
        <f t="shared" si="3"/>
        <v>190</v>
      </c>
      <c r="C12" s="146"/>
      <c r="D12" s="144"/>
      <c r="E12" s="96">
        <v>210</v>
      </c>
      <c r="F12" s="147">
        <f>2/10</f>
        <v>0.2</v>
      </c>
      <c r="G12" s="144">
        <f>(E12-E11)/(A12-A11)</f>
        <v>10</v>
      </c>
      <c r="H12" s="95">
        <f t="shared" si="4"/>
        <v>187.5</v>
      </c>
      <c r="I12" s="146"/>
      <c r="J12" s="144"/>
      <c r="K12" s="107">
        <f t="shared" si="2"/>
        <v>200</v>
      </c>
      <c r="L12" s="146"/>
      <c r="M12" s="144"/>
    </row>
    <row r="13" spans="1:15" ht="16.8" thickBot="1" x14ac:dyDescent="0.35">
      <c r="A13">
        <v>10</v>
      </c>
      <c r="B13" s="99">
        <v>200</v>
      </c>
      <c r="C13" s="146"/>
      <c r="D13" s="144"/>
      <c r="E13" s="97">
        <v>220</v>
      </c>
      <c r="F13" s="148"/>
      <c r="G13" s="149"/>
      <c r="H13" s="95">
        <f>H12+$J$4</f>
        <v>200.5</v>
      </c>
      <c r="I13" s="146"/>
      <c r="J13" s="144"/>
      <c r="K13" s="108">
        <v>216</v>
      </c>
      <c r="L13" s="139">
        <f>1/10</f>
        <v>0.1</v>
      </c>
      <c r="M13" s="138">
        <v>8</v>
      </c>
    </row>
    <row r="14" spans="1:15" x14ac:dyDescent="0.3">
      <c r="A14">
        <v>11</v>
      </c>
      <c r="B14" s="100">
        <v>205</v>
      </c>
      <c r="C14" s="147">
        <f>4/14</f>
        <v>0.2857142857142857</v>
      </c>
      <c r="D14" s="144">
        <f>(B15-B13)/(A15-A13)</f>
        <v>5</v>
      </c>
      <c r="H14" s="96">
        <f>H13+$J$4</f>
        <v>213.5</v>
      </c>
      <c r="I14" s="147">
        <f>1.5/11.5</f>
        <v>0.13043478260869565</v>
      </c>
      <c r="J14" s="144">
        <v>13</v>
      </c>
      <c r="K14" s="68"/>
      <c r="L14" s="68"/>
      <c r="N14" t="s">
        <v>866</v>
      </c>
      <c r="O14" t="s">
        <v>867</v>
      </c>
    </row>
    <row r="15" spans="1:15" ht="16.8" thickBot="1" x14ac:dyDescent="0.35">
      <c r="A15">
        <v>12</v>
      </c>
      <c r="B15" s="100">
        <v>210</v>
      </c>
      <c r="C15" s="147"/>
      <c r="D15" s="144"/>
      <c r="G15" t="s">
        <v>868</v>
      </c>
      <c r="H15" s="97">
        <f>H14+$J$4*0.5</f>
        <v>220</v>
      </c>
      <c r="I15" s="148"/>
      <c r="J15" s="149"/>
      <c r="K15" s="68"/>
      <c r="L15" s="68"/>
      <c r="O15" t="s">
        <v>869</v>
      </c>
    </row>
    <row r="16" spans="1:15" x14ac:dyDescent="0.3">
      <c r="A16">
        <v>13</v>
      </c>
      <c r="B16" s="100">
        <v>215</v>
      </c>
      <c r="C16" s="147"/>
      <c r="D16" s="144"/>
      <c r="O16" t="s">
        <v>870</v>
      </c>
    </row>
    <row r="17" spans="1:15" ht="16.8" thickBot="1" x14ac:dyDescent="0.35">
      <c r="A17">
        <v>14</v>
      </c>
      <c r="B17" s="101">
        <v>220</v>
      </c>
      <c r="C17" s="148"/>
      <c r="D17" s="149"/>
      <c r="O17" t="s">
        <v>871</v>
      </c>
    </row>
    <row r="18" spans="1:15" x14ac:dyDescent="0.3">
      <c r="A18">
        <v>15</v>
      </c>
      <c r="O18" t="s">
        <v>872</v>
      </c>
    </row>
    <row r="19" spans="1:15" x14ac:dyDescent="0.3">
      <c r="O19" t="s">
        <v>873</v>
      </c>
    </row>
  </sheetData>
  <mergeCells count="26">
    <mergeCell ref="J14:J15"/>
    <mergeCell ref="B1:D1"/>
    <mergeCell ref="E1:G1"/>
    <mergeCell ref="H1:J1"/>
    <mergeCell ref="D4:D9"/>
    <mergeCell ref="D10:D13"/>
    <mergeCell ref="I11:I13"/>
    <mergeCell ref="I3:I10"/>
    <mergeCell ref="J4:J10"/>
    <mergeCell ref="J11:J13"/>
    <mergeCell ref="C14:C17"/>
    <mergeCell ref="D14:D17"/>
    <mergeCell ref="F12:F13"/>
    <mergeCell ref="G12:G13"/>
    <mergeCell ref="G3:G8"/>
    <mergeCell ref="G9:G11"/>
    <mergeCell ref="C3:C9"/>
    <mergeCell ref="C10:C13"/>
    <mergeCell ref="F3:F8"/>
    <mergeCell ref="F9:F11"/>
    <mergeCell ref="I14:I15"/>
    <mergeCell ref="K1:M1"/>
    <mergeCell ref="M4:M8"/>
    <mergeCell ref="M9:M12"/>
    <mergeCell ref="L3:L8"/>
    <mergeCell ref="L9:L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21F7-2219-4358-9B74-4732075CDA6B}">
  <dimension ref="A1:D10"/>
  <sheetViews>
    <sheetView workbookViewId="0">
      <selection activeCell="E7" sqref="E7"/>
    </sheetView>
  </sheetViews>
  <sheetFormatPr defaultRowHeight="16.2" x14ac:dyDescent="0.3"/>
  <cols>
    <col min="3" max="3" width="10.21875" style="61" customWidth="1"/>
    <col min="4" max="4" width="16.109375" customWidth="1"/>
  </cols>
  <sheetData>
    <row r="1" spans="1:4" x14ac:dyDescent="0.3">
      <c r="A1" t="s">
        <v>874</v>
      </c>
      <c r="B1" t="s">
        <v>875</v>
      </c>
      <c r="C1" s="61" t="s">
        <v>876</v>
      </c>
      <c r="D1" t="s">
        <v>877</v>
      </c>
    </row>
    <row r="2" spans="1:4" x14ac:dyDescent="0.3">
      <c r="A2">
        <v>130</v>
      </c>
      <c r="B2" s="60" t="s">
        <v>878</v>
      </c>
      <c r="C2" s="61">
        <v>40</v>
      </c>
    </row>
    <row r="3" spans="1:4" x14ac:dyDescent="0.3">
      <c r="A3">
        <v>150</v>
      </c>
      <c r="B3" t="s">
        <v>878</v>
      </c>
      <c r="C3" s="61">
        <v>43</v>
      </c>
    </row>
    <row r="4" spans="1:4" x14ac:dyDescent="0.3">
      <c r="A4">
        <v>160</v>
      </c>
      <c r="B4" t="s">
        <v>878</v>
      </c>
      <c r="C4" s="61">
        <v>47</v>
      </c>
    </row>
    <row r="5" spans="1:4" x14ac:dyDescent="0.3">
      <c r="A5">
        <v>170</v>
      </c>
      <c r="B5" t="s">
        <v>878</v>
      </c>
      <c r="C5" s="61">
        <v>49</v>
      </c>
    </row>
    <row r="6" spans="1:4" x14ac:dyDescent="0.3">
      <c r="A6">
        <v>180</v>
      </c>
      <c r="B6" t="s">
        <v>879</v>
      </c>
      <c r="C6" s="61">
        <v>51</v>
      </c>
    </row>
    <row r="7" spans="1:4" x14ac:dyDescent="0.3">
      <c r="A7">
        <v>190</v>
      </c>
      <c r="B7" t="s">
        <v>879</v>
      </c>
      <c r="C7" s="61">
        <v>51</v>
      </c>
    </row>
    <row r="8" spans="1:4" x14ac:dyDescent="0.3">
      <c r="A8">
        <v>200</v>
      </c>
      <c r="B8" t="s">
        <v>880</v>
      </c>
      <c r="C8" s="61">
        <v>55</v>
      </c>
    </row>
    <row r="9" spans="1:4" x14ac:dyDescent="0.3">
      <c r="A9">
        <v>210</v>
      </c>
      <c r="B9" t="s">
        <v>879</v>
      </c>
      <c r="C9" s="61">
        <v>60</v>
      </c>
    </row>
    <row r="10" spans="1:4" x14ac:dyDescent="0.3">
      <c r="A10">
        <v>220</v>
      </c>
      <c r="B10" t="s">
        <v>879</v>
      </c>
      <c r="C10" s="61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29A6-1327-435C-8B89-A48AF562425B}">
  <dimension ref="A1:H15"/>
  <sheetViews>
    <sheetView workbookViewId="0">
      <selection activeCell="E8" sqref="E8"/>
    </sheetView>
  </sheetViews>
  <sheetFormatPr defaultRowHeight="16.2" x14ac:dyDescent="0.3"/>
  <cols>
    <col min="3" max="5" width="10.44140625" customWidth="1"/>
    <col min="6" max="6" width="71.21875" customWidth="1"/>
    <col min="7" max="7" width="67.77734375" bestFit="1" customWidth="1"/>
    <col min="8" max="8" width="71.21875" customWidth="1"/>
  </cols>
  <sheetData>
    <row r="1" spans="1:8" x14ac:dyDescent="0.3">
      <c r="A1" t="s">
        <v>1</v>
      </c>
      <c r="B1" t="s">
        <v>8</v>
      </c>
      <c r="C1" t="s">
        <v>881</v>
      </c>
      <c r="D1" t="s">
        <v>882</v>
      </c>
      <c r="E1" t="s">
        <v>883</v>
      </c>
      <c r="F1" t="s">
        <v>884</v>
      </c>
      <c r="G1" t="s">
        <v>882</v>
      </c>
      <c r="H1" t="s">
        <v>885</v>
      </c>
    </row>
    <row r="2" spans="1:8" x14ac:dyDescent="0.3">
      <c r="A2">
        <v>300</v>
      </c>
      <c r="B2">
        <v>200</v>
      </c>
      <c r="C2">
        <v>60</v>
      </c>
      <c r="D2" t="s">
        <v>886</v>
      </c>
      <c r="E2" t="s">
        <v>887</v>
      </c>
      <c r="F2" t="s">
        <v>888</v>
      </c>
      <c r="G2" t="s">
        <v>889</v>
      </c>
      <c r="H2" t="s">
        <v>890</v>
      </c>
    </row>
    <row r="3" spans="1:8" x14ac:dyDescent="0.3">
      <c r="A3">
        <v>300</v>
      </c>
      <c r="B3">
        <v>210</v>
      </c>
      <c r="C3">
        <v>70</v>
      </c>
      <c r="D3" t="s">
        <v>886</v>
      </c>
      <c r="E3" t="s">
        <v>891</v>
      </c>
      <c r="F3" t="s">
        <v>892</v>
      </c>
    </row>
    <row r="4" spans="1:8" x14ac:dyDescent="0.3">
      <c r="A4">
        <v>300</v>
      </c>
      <c r="B4">
        <v>180</v>
      </c>
      <c r="C4">
        <v>70</v>
      </c>
      <c r="D4" t="s">
        <v>886</v>
      </c>
      <c r="E4" t="s">
        <v>893</v>
      </c>
      <c r="F4" t="s">
        <v>894</v>
      </c>
    </row>
    <row r="5" spans="1:8" x14ac:dyDescent="0.3">
      <c r="A5">
        <v>500</v>
      </c>
      <c r="B5">
        <v>220</v>
      </c>
      <c r="C5">
        <v>70</v>
      </c>
      <c r="D5" t="s">
        <v>895</v>
      </c>
      <c r="E5" t="s">
        <v>896</v>
      </c>
      <c r="F5" t="s">
        <v>897</v>
      </c>
    </row>
    <row r="6" spans="1:8" x14ac:dyDescent="0.3">
      <c r="A6">
        <v>500</v>
      </c>
      <c r="B6">
        <v>220</v>
      </c>
      <c r="C6">
        <v>80</v>
      </c>
      <c r="D6" t="s">
        <v>895</v>
      </c>
      <c r="E6" t="s">
        <v>898</v>
      </c>
      <c r="F6" t="s">
        <v>899</v>
      </c>
    </row>
    <row r="7" spans="1:8" x14ac:dyDescent="0.3">
      <c r="A7">
        <v>500</v>
      </c>
      <c r="B7">
        <v>200</v>
      </c>
      <c r="C7">
        <v>90</v>
      </c>
      <c r="E7" t="s">
        <v>900</v>
      </c>
      <c r="F7" t="s">
        <v>901</v>
      </c>
    </row>
    <row r="8" spans="1:8" x14ac:dyDescent="0.3">
      <c r="A8">
        <v>500</v>
      </c>
      <c r="F8" t="s">
        <v>902</v>
      </c>
    </row>
    <row r="9" spans="1:8" x14ac:dyDescent="0.3">
      <c r="A9">
        <v>500</v>
      </c>
      <c r="F9" t="s">
        <v>903</v>
      </c>
    </row>
    <row r="10" spans="1:8" x14ac:dyDescent="0.3">
      <c r="A10">
        <v>500</v>
      </c>
      <c r="F10" t="s">
        <v>904</v>
      </c>
    </row>
    <row r="11" spans="1:8" x14ac:dyDescent="0.3">
      <c r="A11">
        <v>500</v>
      </c>
      <c r="F11" t="s">
        <v>905</v>
      </c>
    </row>
    <row r="12" spans="1:8" x14ac:dyDescent="0.3">
      <c r="A12">
        <v>500</v>
      </c>
      <c r="B12">
        <v>210</v>
      </c>
      <c r="C12">
        <v>55</v>
      </c>
      <c r="D12">
        <v>45</v>
      </c>
      <c r="E12">
        <v>17</v>
      </c>
      <c r="F12" t="s">
        <v>906</v>
      </c>
    </row>
    <row r="15" spans="1:8" x14ac:dyDescent="0.3">
      <c r="F15" t="s">
        <v>907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54D1-872A-486E-8B95-51B39E158D6A}">
  <dimension ref="A1:C351"/>
  <sheetViews>
    <sheetView topLeftCell="A5" workbookViewId="0">
      <selection activeCell="C13" sqref="C13"/>
    </sheetView>
  </sheetViews>
  <sheetFormatPr defaultRowHeight="16.2" x14ac:dyDescent="0.3"/>
  <cols>
    <col min="2" max="2" width="13.33203125" customWidth="1"/>
    <col min="3" max="3" width="118.109375" style="23" customWidth="1"/>
  </cols>
  <sheetData>
    <row r="1" spans="1:3" x14ac:dyDescent="0.3">
      <c r="A1" s="1" t="s">
        <v>908</v>
      </c>
      <c r="B1" s="1" t="s">
        <v>909</v>
      </c>
      <c r="C1" s="24" t="s">
        <v>910</v>
      </c>
    </row>
    <row r="2" spans="1:3" x14ac:dyDescent="0.3">
      <c r="A2">
        <v>1</v>
      </c>
      <c r="B2" t="s">
        <v>882</v>
      </c>
      <c r="C2" s="23" t="s">
        <v>911</v>
      </c>
    </row>
    <row r="3" spans="1:3" ht="97.2" x14ac:dyDescent="0.3">
      <c r="A3">
        <v>2</v>
      </c>
      <c r="B3" t="s">
        <v>912</v>
      </c>
      <c r="C3" s="23" t="s">
        <v>913</v>
      </c>
    </row>
    <row r="4" spans="1:3" ht="81" x14ac:dyDescent="0.3">
      <c r="A4">
        <v>3</v>
      </c>
      <c r="B4" t="s">
        <v>914</v>
      </c>
      <c r="C4" s="23" t="s">
        <v>915</v>
      </c>
    </row>
    <row r="5" spans="1:3" ht="64.8" x14ac:dyDescent="0.3">
      <c r="A5">
        <v>4</v>
      </c>
      <c r="B5" t="s">
        <v>916</v>
      </c>
      <c r="C5" s="23" t="s">
        <v>917</v>
      </c>
    </row>
    <row r="6" spans="1:3" x14ac:dyDescent="0.3">
      <c r="A6">
        <v>5</v>
      </c>
      <c r="B6" t="s">
        <v>918</v>
      </c>
      <c r="C6" s="23" t="s">
        <v>919</v>
      </c>
    </row>
    <row r="7" spans="1:3" x14ac:dyDescent="0.3">
      <c r="A7">
        <v>6</v>
      </c>
      <c r="B7" t="s">
        <v>882</v>
      </c>
      <c r="C7" s="23" t="s">
        <v>920</v>
      </c>
    </row>
    <row r="8" spans="1:3" x14ac:dyDescent="0.3">
      <c r="A8">
        <v>7</v>
      </c>
      <c r="B8" t="s">
        <v>921</v>
      </c>
      <c r="C8" s="23" t="s">
        <v>922</v>
      </c>
    </row>
    <row r="9" spans="1:3" x14ac:dyDescent="0.3">
      <c r="A9">
        <v>8</v>
      </c>
      <c r="B9" t="s">
        <v>923</v>
      </c>
      <c r="C9" s="23" t="s">
        <v>924</v>
      </c>
    </row>
    <row r="10" spans="1:3" ht="32.4" x14ac:dyDescent="0.3">
      <c r="A10">
        <v>9</v>
      </c>
      <c r="B10" t="s">
        <v>925</v>
      </c>
      <c r="C10" s="23" t="s">
        <v>926</v>
      </c>
    </row>
    <row r="11" spans="1:3" ht="64.8" x14ac:dyDescent="0.3">
      <c r="A11">
        <v>10</v>
      </c>
      <c r="B11" t="s">
        <v>927</v>
      </c>
      <c r="C11" s="23" t="s">
        <v>928</v>
      </c>
    </row>
    <row r="12" spans="1:3" ht="32.4" x14ac:dyDescent="0.3">
      <c r="A12">
        <v>11</v>
      </c>
      <c r="B12" t="s">
        <v>8</v>
      </c>
      <c r="C12" s="23" t="s">
        <v>929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4E6F-DE74-4083-9AC7-5AB84E57853A}">
  <dimension ref="A1:H13"/>
  <sheetViews>
    <sheetView workbookViewId="0">
      <selection activeCell="K3" sqref="K3"/>
    </sheetView>
  </sheetViews>
  <sheetFormatPr defaultRowHeight="16.2" x14ac:dyDescent="0.3"/>
  <cols>
    <col min="1" max="1" width="18.44140625" customWidth="1"/>
  </cols>
  <sheetData>
    <row r="1" spans="1:8" x14ac:dyDescent="0.3">
      <c r="B1" s="1" t="s">
        <v>32</v>
      </c>
      <c r="C1" s="155" t="s">
        <v>930</v>
      </c>
      <c r="D1" s="155"/>
      <c r="E1" s="156" t="s">
        <v>931</v>
      </c>
      <c r="F1" s="156"/>
      <c r="G1" s="157" t="s">
        <v>932</v>
      </c>
      <c r="H1" s="157"/>
    </row>
    <row r="2" spans="1:8" x14ac:dyDescent="0.3">
      <c r="B2" s="1" t="s">
        <v>27</v>
      </c>
      <c r="C2" s="31">
        <v>0.13</v>
      </c>
      <c r="D2" s="31">
        <v>0.14000000000000001</v>
      </c>
      <c r="E2" s="31">
        <v>0.15</v>
      </c>
      <c r="F2" s="31">
        <v>0.16</v>
      </c>
      <c r="G2" s="31">
        <v>0.17</v>
      </c>
      <c r="H2" s="31">
        <v>0.18</v>
      </c>
    </row>
    <row r="3" spans="1:8" ht="16.8" thickBot="1" x14ac:dyDescent="0.35">
      <c r="A3" s="1" t="s">
        <v>933</v>
      </c>
      <c r="B3" s="1" t="s">
        <v>934</v>
      </c>
      <c r="C3" s="154" t="s">
        <v>935</v>
      </c>
      <c r="D3" s="154"/>
      <c r="E3" s="154"/>
      <c r="F3" s="154"/>
      <c r="G3" s="154"/>
      <c r="H3" s="154"/>
    </row>
    <row r="4" spans="1:8" x14ac:dyDescent="0.3">
      <c r="A4" t="s">
        <v>936</v>
      </c>
      <c r="B4" s="42">
        <v>454</v>
      </c>
      <c r="C4" s="51">
        <f>ROUND($B4/(1-C$2),1)</f>
        <v>521.79999999999995</v>
      </c>
      <c r="D4" s="52">
        <f t="shared" ref="D4:H13" si="0">ROUND($B4/(1-D$2),1)</f>
        <v>527.9</v>
      </c>
      <c r="E4" s="48">
        <f t="shared" si="0"/>
        <v>534.1</v>
      </c>
      <c r="F4" s="48">
        <f t="shared" si="0"/>
        <v>540.5</v>
      </c>
      <c r="G4" s="57">
        <f t="shared" si="0"/>
        <v>547</v>
      </c>
      <c r="H4" s="57">
        <f t="shared" si="0"/>
        <v>553.70000000000005</v>
      </c>
    </row>
    <row r="5" spans="1:8" x14ac:dyDescent="0.3">
      <c r="A5" t="s">
        <v>937</v>
      </c>
      <c r="B5" s="43">
        <v>227</v>
      </c>
      <c r="C5" s="51">
        <f t="shared" ref="C5:C10" si="1">ROUND($B5/(1-C$2),1)</f>
        <v>260.89999999999998</v>
      </c>
      <c r="D5" s="52">
        <f t="shared" si="0"/>
        <v>264</v>
      </c>
      <c r="E5" s="48">
        <f t="shared" si="0"/>
        <v>267.10000000000002</v>
      </c>
      <c r="F5" s="48">
        <f t="shared" si="0"/>
        <v>270.2</v>
      </c>
      <c r="G5" s="57">
        <f t="shared" si="0"/>
        <v>273.5</v>
      </c>
      <c r="H5" s="57">
        <f t="shared" si="0"/>
        <v>276.8</v>
      </c>
    </row>
    <row r="6" spans="1:8" ht="16.8" thickBot="1" x14ac:dyDescent="0.35">
      <c r="A6" s="32" t="s">
        <v>938</v>
      </c>
      <c r="B6" s="44">
        <v>114</v>
      </c>
      <c r="C6" s="53">
        <f t="shared" si="1"/>
        <v>131</v>
      </c>
      <c r="D6" s="54">
        <f t="shared" si="0"/>
        <v>132.6</v>
      </c>
      <c r="E6" s="49">
        <f t="shared" si="0"/>
        <v>134.1</v>
      </c>
      <c r="F6" s="49">
        <f t="shared" si="0"/>
        <v>135.69999999999999</v>
      </c>
      <c r="G6" s="58">
        <f t="shared" si="0"/>
        <v>137.30000000000001</v>
      </c>
      <c r="H6" s="58">
        <f t="shared" si="0"/>
        <v>139</v>
      </c>
    </row>
    <row r="7" spans="1:8" ht="16.8" thickTop="1" x14ac:dyDescent="0.3">
      <c r="A7" s="33" t="s">
        <v>939</v>
      </c>
      <c r="B7" s="45">
        <v>11</v>
      </c>
      <c r="C7" s="55">
        <f t="shared" si="1"/>
        <v>12.6</v>
      </c>
      <c r="D7" s="56">
        <f t="shared" si="0"/>
        <v>12.8</v>
      </c>
      <c r="E7" s="50">
        <f t="shared" si="0"/>
        <v>12.9</v>
      </c>
      <c r="F7" s="50">
        <f t="shared" si="0"/>
        <v>13.1</v>
      </c>
      <c r="G7" s="59">
        <f t="shared" si="0"/>
        <v>13.3</v>
      </c>
      <c r="H7" s="59">
        <f t="shared" si="0"/>
        <v>13.4</v>
      </c>
    </row>
    <row r="8" spans="1:8" x14ac:dyDescent="0.3">
      <c r="A8" s="34" t="s">
        <v>940</v>
      </c>
      <c r="B8" s="46">
        <v>22</v>
      </c>
      <c r="C8" s="51">
        <f t="shared" si="1"/>
        <v>25.3</v>
      </c>
      <c r="D8" s="52">
        <f t="shared" si="0"/>
        <v>25.6</v>
      </c>
      <c r="E8" s="48">
        <f t="shared" si="0"/>
        <v>25.9</v>
      </c>
      <c r="F8" s="48">
        <f t="shared" si="0"/>
        <v>26.2</v>
      </c>
      <c r="G8" s="57">
        <f t="shared" si="0"/>
        <v>26.5</v>
      </c>
      <c r="H8" s="57">
        <f t="shared" si="0"/>
        <v>26.8</v>
      </c>
    </row>
    <row r="9" spans="1:8" x14ac:dyDescent="0.3">
      <c r="A9" s="34" t="s">
        <v>941</v>
      </c>
      <c r="B9" s="46">
        <v>33</v>
      </c>
      <c r="C9" s="51">
        <f t="shared" si="1"/>
        <v>37.9</v>
      </c>
      <c r="D9" s="52">
        <f t="shared" si="0"/>
        <v>38.4</v>
      </c>
      <c r="E9" s="48">
        <f t="shared" si="0"/>
        <v>38.799999999999997</v>
      </c>
      <c r="F9" s="48">
        <f t="shared" si="0"/>
        <v>39.299999999999997</v>
      </c>
      <c r="G9" s="57">
        <f t="shared" si="0"/>
        <v>39.799999999999997</v>
      </c>
      <c r="H9" s="57">
        <f t="shared" si="0"/>
        <v>40.200000000000003</v>
      </c>
    </row>
    <row r="10" spans="1:8" ht="16.8" thickBot="1" x14ac:dyDescent="0.35">
      <c r="A10" s="35" t="s">
        <v>942</v>
      </c>
      <c r="B10" s="47">
        <v>44</v>
      </c>
      <c r="C10" s="53">
        <f t="shared" si="1"/>
        <v>50.6</v>
      </c>
      <c r="D10" s="54">
        <f t="shared" si="0"/>
        <v>51.2</v>
      </c>
      <c r="E10" s="49">
        <f t="shared" si="0"/>
        <v>51.8</v>
      </c>
      <c r="F10" s="49">
        <f t="shared" si="0"/>
        <v>52.4</v>
      </c>
      <c r="G10" s="58">
        <f t="shared" si="0"/>
        <v>53</v>
      </c>
      <c r="H10" s="58">
        <f t="shared" si="0"/>
        <v>53.7</v>
      </c>
    </row>
    <row r="11" spans="1:8" ht="17.399999999999999" thickTop="1" thickBot="1" x14ac:dyDescent="0.35"/>
    <row r="12" spans="1:8" x14ac:dyDescent="0.3">
      <c r="A12" s="36" t="s">
        <v>943</v>
      </c>
      <c r="B12" s="37">
        <v>474</v>
      </c>
      <c r="C12" s="37">
        <f>ROUND($B12/(1-C$2),1)</f>
        <v>544.79999999999995</v>
      </c>
      <c r="D12" s="37">
        <f t="shared" si="0"/>
        <v>551.20000000000005</v>
      </c>
      <c r="E12" s="37">
        <f t="shared" si="0"/>
        <v>557.6</v>
      </c>
      <c r="F12" s="37">
        <f t="shared" si="0"/>
        <v>564.29999999999995</v>
      </c>
      <c r="G12" s="37">
        <f t="shared" si="0"/>
        <v>571.1</v>
      </c>
      <c r="H12" s="38">
        <f t="shared" si="0"/>
        <v>578</v>
      </c>
    </row>
    <row r="13" spans="1:8" ht="16.8" thickBot="1" x14ac:dyDescent="0.35">
      <c r="A13" s="39" t="s">
        <v>944</v>
      </c>
      <c r="B13" s="40">
        <v>247</v>
      </c>
      <c r="C13" s="40">
        <f>ROUND($B13/(1-C$2),1)</f>
        <v>283.89999999999998</v>
      </c>
      <c r="D13" s="40">
        <f t="shared" si="0"/>
        <v>287.2</v>
      </c>
      <c r="E13" s="40">
        <f t="shared" si="0"/>
        <v>290.60000000000002</v>
      </c>
      <c r="F13" s="40">
        <f t="shared" si="0"/>
        <v>294</v>
      </c>
      <c r="G13" s="40">
        <f t="shared" si="0"/>
        <v>297.60000000000002</v>
      </c>
      <c r="H13" s="41">
        <f t="shared" si="0"/>
        <v>301.2</v>
      </c>
    </row>
  </sheetData>
  <mergeCells count="4">
    <mergeCell ref="C3:H3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5C9-FE90-4FBE-88D1-D9B5EC58C1CE}">
  <dimension ref="B2:B34"/>
  <sheetViews>
    <sheetView topLeftCell="A18" workbookViewId="0">
      <selection activeCell="B2" sqref="B2"/>
    </sheetView>
  </sheetViews>
  <sheetFormatPr defaultRowHeight="16.2" x14ac:dyDescent="0.3"/>
  <cols>
    <col min="2" max="2" width="159.44140625" style="23" customWidth="1"/>
  </cols>
  <sheetData>
    <row r="2" spans="2:2" x14ac:dyDescent="0.3">
      <c r="B2" s="124" t="s">
        <v>945</v>
      </c>
    </row>
    <row r="3" spans="2:2" x14ac:dyDescent="0.3">
      <c r="B3" s="124" t="s">
        <v>946</v>
      </c>
    </row>
    <row r="4" spans="2:2" x14ac:dyDescent="0.3">
      <c r="B4" s="124" t="s">
        <v>947</v>
      </c>
    </row>
    <row r="5" spans="2:2" x14ac:dyDescent="0.3">
      <c r="B5" s="124" t="s">
        <v>948</v>
      </c>
    </row>
    <row r="6" spans="2:2" ht="26.4" x14ac:dyDescent="0.3">
      <c r="B6" s="124" t="s">
        <v>949</v>
      </c>
    </row>
    <row r="10" spans="2:2" s="23" customFormat="1" x14ac:dyDescent="0.3">
      <c r="B10" s="121" t="s">
        <v>950</v>
      </c>
    </row>
    <row r="11" spans="2:2" s="23" customFormat="1" x14ac:dyDescent="0.3">
      <c r="B11" s="121" t="s">
        <v>951</v>
      </c>
    </row>
    <row r="12" spans="2:2" s="23" customFormat="1" x14ac:dyDescent="0.3">
      <c r="B12" s="121" t="s">
        <v>952</v>
      </c>
    </row>
    <row r="13" spans="2:2" s="23" customFormat="1" x14ac:dyDescent="0.3">
      <c r="B13" s="121" t="s">
        <v>953</v>
      </c>
    </row>
    <row r="14" spans="2:2" s="23" customFormat="1" x14ac:dyDescent="0.3">
      <c r="B14" s="121" t="s">
        <v>954</v>
      </c>
    </row>
    <row r="15" spans="2:2" s="23" customFormat="1" x14ac:dyDescent="0.3">
      <c r="B15" s="121" t="s">
        <v>955</v>
      </c>
    </row>
    <row r="16" spans="2:2" s="23" customFormat="1" x14ac:dyDescent="0.3">
      <c r="B16" s="121" t="s">
        <v>956</v>
      </c>
    </row>
    <row r="17" spans="2:2" s="23" customFormat="1" x14ac:dyDescent="0.3">
      <c r="B17" s="121" t="s">
        <v>957</v>
      </c>
    </row>
    <row r="18" spans="2:2" s="23" customFormat="1" x14ac:dyDescent="0.3">
      <c r="B18" s="121" t="s">
        <v>958</v>
      </c>
    </row>
    <row r="19" spans="2:2" s="23" customFormat="1" x14ac:dyDescent="0.3">
      <c r="B19" s="121" t="s">
        <v>959</v>
      </c>
    </row>
    <row r="20" spans="2:2" s="23" customFormat="1" x14ac:dyDescent="0.3">
      <c r="B20" s="121" t="s">
        <v>960</v>
      </c>
    </row>
    <row r="21" spans="2:2" s="23" customFormat="1" x14ac:dyDescent="0.3"/>
    <row r="22" spans="2:2" s="23" customFormat="1" x14ac:dyDescent="0.3"/>
    <row r="23" spans="2:2" s="23" customFormat="1" x14ac:dyDescent="0.3"/>
    <row r="24" spans="2:2" s="23" customFormat="1" ht="34.799999999999997" x14ac:dyDescent="0.3">
      <c r="B24" s="122" t="s">
        <v>961</v>
      </c>
    </row>
    <row r="25" spans="2:2" s="23" customFormat="1" x14ac:dyDescent="0.3"/>
    <row r="26" spans="2:2" s="23" customFormat="1" ht="52.2" x14ac:dyDescent="0.3">
      <c r="B26" s="120" t="s">
        <v>962</v>
      </c>
    </row>
    <row r="27" spans="2:2" s="23" customFormat="1" x14ac:dyDescent="0.3"/>
    <row r="28" spans="2:2" s="23" customFormat="1" ht="34.799999999999997" x14ac:dyDescent="0.3">
      <c r="B28" s="122" t="s">
        <v>963</v>
      </c>
    </row>
    <row r="29" spans="2:2" s="23" customFormat="1" x14ac:dyDescent="0.3"/>
    <row r="30" spans="2:2" s="23" customFormat="1" ht="27.6" x14ac:dyDescent="0.3">
      <c r="B30" s="123" t="s">
        <v>964</v>
      </c>
    </row>
    <row r="31" spans="2:2" s="23" customFormat="1" x14ac:dyDescent="0.3"/>
    <row r="32" spans="2:2" s="23" customFormat="1" ht="17.399999999999999" x14ac:dyDescent="0.3">
      <c r="B32" s="122" t="s">
        <v>965</v>
      </c>
    </row>
    <row r="33" s="23" customFormat="1" x14ac:dyDescent="0.3"/>
    <row r="34" s="23" customFormat="1" x14ac:dyDescent="0.3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73E9-1C8F-4BF9-84D4-59D758BE1AC3}">
  <sheetPr>
    <pageSetUpPr fitToPage="1"/>
  </sheetPr>
  <dimension ref="A1:O23"/>
  <sheetViews>
    <sheetView workbookViewId="0">
      <selection activeCell="E14" sqref="E14"/>
    </sheetView>
  </sheetViews>
  <sheetFormatPr defaultRowHeight="16.2" x14ac:dyDescent="0.3"/>
  <cols>
    <col min="1" max="1" width="16.109375" customWidth="1"/>
    <col min="2" max="2" width="14.44140625" customWidth="1"/>
    <col min="3" max="3" width="6.109375" bestFit="1" customWidth="1"/>
    <col min="5" max="5" width="20.77734375" customWidth="1"/>
    <col min="6" max="6" width="31.109375" customWidth="1"/>
    <col min="8" max="8" width="14.109375" customWidth="1"/>
    <col min="10" max="10" width="9.44140625" customWidth="1"/>
    <col min="11" max="11" width="7.77734375" bestFit="1" customWidth="1"/>
    <col min="12" max="12" width="7.77734375" customWidth="1"/>
    <col min="13" max="13" width="7.21875" bestFit="1" customWidth="1"/>
    <col min="15" max="15" width="27.77734375" bestFit="1" customWidth="1"/>
  </cols>
  <sheetData>
    <row r="1" spans="1:15" ht="16.8" thickBot="1" x14ac:dyDescent="0.35">
      <c r="A1" s="11" t="s">
        <v>4</v>
      </c>
      <c r="B1" s="17" t="s">
        <v>966</v>
      </c>
      <c r="C1" s="12" t="s">
        <v>6</v>
      </c>
      <c r="E1" s="11" t="s">
        <v>7</v>
      </c>
      <c r="F1" s="12" t="s">
        <v>967</v>
      </c>
      <c r="H1" s="9" t="s">
        <v>32</v>
      </c>
      <c r="I1" s="2"/>
      <c r="J1" s="3" t="s">
        <v>968</v>
      </c>
      <c r="K1" s="3" t="s">
        <v>969</v>
      </c>
      <c r="L1" s="3" t="s">
        <v>970</v>
      </c>
      <c r="M1" s="4" t="s">
        <v>971</v>
      </c>
      <c r="N1" s="4" t="s">
        <v>972</v>
      </c>
      <c r="O1" s="20" t="s">
        <v>973</v>
      </c>
    </row>
    <row r="2" spans="1:15" ht="16.8" thickBot="1" x14ac:dyDescent="0.35">
      <c r="A2" s="13" t="s">
        <v>562</v>
      </c>
      <c r="B2" s="10" t="s">
        <v>974</v>
      </c>
      <c r="C2" s="14" t="s">
        <v>975</v>
      </c>
      <c r="E2" s="13" t="s">
        <v>976</v>
      </c>
      <c r="F2" s="14" t="s">
        <v>44</v>
      </c>
      <c r="H2" s="5" t="s">
        <v>977</v>
      </c>
      <c r="I2" s="6" t="s">
        <v>978</v>
      </c>
      <c r="J2" s="6" t="s">
        <v>979</v>
      </c>
      <c r="K2" s="7">
        <v>100</v>
      </c>
      <c r="L2" s="7">
        <v>95</v>
      </c>
      <c r="M2" s="8" t="s">
        <v>980</v>
      </c>
      <c r="N2" s="7" t="s">
        <v>981</v>
      </c>
      <c r="O2" s="6" t="s">
        <v>193</v>
      </c>
    </row>
    <row r="3" spans="1:15" ht="16.350000000000001" customHeight="1" thickBot="1" x14ac:dyDescent="0.35">
      <c r="A3" s="13" t="s">
        <v>982</v>
      </c>
      <c r="B3" s="10" t="s">
        <v>983</v>
      </c>
      <c r="C3" s="14" t="s">
        <v>984</v>
      </c>
      <c r="E3" s="13" t="s">
        <v>985</v>
      </c>
      <c r="F3" s="14" t="s">
        <v>59</v>
      </c>
      <c r="H3" s="5" t="s">
        <v>986</v>
      </c>
      <c r="I3" s="6" t="s">
        <v>987</v>
      </c>
      <c r="J3" s="6" t="s">
        <v>988</v>
      </c>
      <c r="K3" s="7">
        <v>90</v>
      </c>
      <c r="L3" s="7">
        <v>85</v>
      </c>
      <c r="M3" s="7" t="s">
        <v>989</v>
      </c>
      <c r="N3" s="7" t="s">
        <v>990</v>
      </c>
      <c r="O3" s="6" t="s">
        <v>78</v>
      </c>
    </row>
    <row r="4" spans="1:15" ht="16.8" thickBot="1" x14ac:dyDescent="0.35">
      <c r="A4" s="13" t="s">
        <v>566</v>
      </c>
      <c r="B4" s="10" t="s">
        <v>991</v>
      </c>
      <c r="C4" s="14" t="s">
        <v>992</v>
      </c>
      <c r="E4" s="13" t="s">
        <v>993</v>
      </c>
      <c r="F4" s="14" t="s">
        <v>56</v>
      </c>
      <c r="H4" s="5" t="s">
        <v>994</v>
      </c>
      <c r="I4" s="6" t="s">
        <v>995</v>
      </c>
      <c r="J4" s="6" t="s">
        <v>930</v>
      </c>
      <c r="K4" s="7">
        <v>80</v>
      </c>
      <c r="L4" s="7">
        <v>75</v>
      </c>
      <c r="M4" s="7" t="s">
        <v>996</v>
      </c>
      <c r="N4" s="7" t="s">
        <v>997</v>
      </c>
      <c r="O4" s="6" t="s">
        <v>72</v>
      </c>
    </row>
    <row r="5" spans="1:15" ht="16.8" thickBot="1" x14ac:dyDescent="0.35">
      <c r="A5" s="13" t="s">
        <v>998</v>
      </c>
      <c r="B5" s="10" t="s">
        <v>999</v>
      </c>
      <c r="C5" s="14" t="s">
        <v>1000</v>
      </c>
      <c r="E5" s="13" t="s">
        <v>1001</v>
      </c>
      <c r="F5" s="14" t="s">
        <v>66</v>
      </c>
      <c r="H5" s="5" t="s">
        <v>1002</v>
      </c>
      <c r="I5" s="6" t="s">
        <v>1003</v>
      </c>
      <c r="J5" s="6" t="s">
        <v>1004</v>
      </c>
      <c r="K5" s="7">
        <v>70</v>
      </c>
      <c r="L5" s="7">
        <v>65</v>
      </c>
      <c r="M5" s="7" t="s">
        <v>1005</v>
      </c>
      <c r="N5" s="7" t="s">
        <v>1006</v>
      </c>
      <c r="O5" s="6" t="s">
        <v>93</v>
      </c>
    </row>
    <row r="6" spans="1:15" ht="16.8" thickBot="1" x14ac:dyDescent="0.35">
      <c r="A6" s="13" t="s">
        <v>564</v>
      </c>
      <c r="B6" s="10" t="s">
        <v>1007</v>
      </c>
      <c r="C6" s="14" t="s">
        <v>1008</v>
      </c>
      <c r="E6" s="13" t="s">
        <v>1009</v>
      </c>
      <c r="F6" s="14" t="s">
        <v>1010</v>
      </c>
      <c r="H6" s="5" t="s">
        <v>1011</v>
      </c>
      <c r="I6" s="6" t="s">
        <v>1012</v>
      </c>
      <c r="J6" s="6" t="s">
        <v>995</v>
      </c>
      <c r="K6" s="7">
        <v>60</v>
      </c>
      <c r="L6" s="7">
        <v>55</v>
      </c>
      <c r="M6" s="7" t="s">
        <v>887</v>
      </c>
      <c r="N6" s="7" t="s">
        <v>1013</v>
      </c>
      <c r="O6" s="6" t="s">
        <v>480</v>
      </c>
    </row>
    <row r="7" spans="1:15" ht="16.8" thickBot="1" x14ac:dyDescent="0.35">
      <c r="A7" s="13" t="s">
        <v>1014</v>
      </c>
      <c r="B7" s="10" t="s">
        <v>1015</v>
      </c>
      <c r="C7" s="14" t="s">
        <v>1016</v>
      </c>
      <c r="E7" s="13" t="s">
        <v>1017</v>
      </c>
      <c r="F7" s="14" t="s">
        <v>1018</v>
      </c>
      <c r="H7" s="5" t="s">
        <v>1019</v>
      </c>
      <c r="I7" s="6" t="s">
        <v>1020</v>
      </c>
      <c r="J7" s="6" t="s">
        <v>1003</v>
      </c>
      <c r="K7" s="7">
        <v>50</v>
      </c>
      <c r="L7" s="7">
        <v>45</v>
      </c>
      <c r="M7" s="7" t="s">
        <v>1021</v>
      </c>
      <c r="N7" s="7" t="s">
        <v>1022</v>
      </c>
      <c r="O7" s="6" t="s">
        <v>486</v>
      </c>
    </row>
    <row r="8" spans="1:15" ht="16.8" thickBot="1" x14ac:dyDescent="0.35">
      <c r="A8" s="13" t="s">
        <v>1023</v>
      </c>
      <c r="B8" s="10" t="s">
        <v>1024</v>
      </c>
      <c r="C8" s="14" t="s">
        <v>1025</v>
      </c>
      <c r="E8" s="13" t="s">
        <v>1026</v>
      </c>
      <c r="F8" s="14" t="s">
        <v>1027</v>
      </c>
      <c r="H8" s="5" t="s">
        <v>1028</v>
      </c>
      <c r="I8" s="6" t="s">
        <v>1029</v>
      </c>
      <c r="J8" s="6" t="s">
        <v>1030</v>
      </c>
      <c r="K8" s="7">
        <v>40</v>
      </c>
      <c r="L8" s="7">
        <v>35</v>
      </c>
      <c r="M8" s="7" t="s">
        <v>1031</v>
      </c>
      <c r="N8" s="7" t="s">
        <v>1032</v>
      </c>
      <c r="O8" s="6" t="s">
        <v>490</v>
      </c>
    </row>
    <row r="9" spans="1:15" ht="16.8" thickBot="1" x14ac:dyDescent="0.35">
      <c r="A9" s="13" t="s">
        <v>1033</v>
      </c>
      <c r="B9" s="10" t="s">
        <v>1034</v>
      </c>
      <c r="C9" s="14" t="s">
        <v>1035</v>
      </c>
      <c r="E9" s="13" t="s">
        <v>1036</v>
      </c>
      <c r="F9" s="14" t="s">
        <v>1037</v>
      </c>
      <c r="H9" s="5" t="s">
        <v>1038</v>
      </c>
      <c r="I9" s="6" t="s">
        <v>1039</v>
      </c>
      <c r="J9" s="6" t="s">
        <v>1040</v>
      </c>
      <c r="K9" s="7">
        <v>30</v>
      </c>
      <c r="L9" s="7">
        <v>25</v>
      </c>
      <c r="M9" s="7" t="s">
        <v>1041</v>
      </c>
      <c r="N9" s="7" t="s">
        <v>1042</v>
      </c>
      <c r="O9" s="6" t="s">
        <v>1043</v>
      </c>
    </row>
    <row r="10" spans="1:15" x14ac:dyDescent="0.3">
      <c r="A10" s="13" t="s">
        <v>1044</v>
      </c>
      <c r="B10" s="10" t="s">
        <v>1045</v>
      </c>
      <c r="C10" s="14" t="s">
        <v>1046</v>
      </c>
      <c r="E10" s="13" t="s">
        <v>1047</v>
      </c>
      <c r="F10" s="14" t="s">
        <v>568</v>
      </c>
    </row>
    <row r="11" spans="1:15" ht="16.8" thickBot="1" x14ac:dyDescent="0.35">
      <c r="A11" s="13" t="s">
        <v>1048</v>
      </c>
      <c r="B11" s="10" t="s">
        <v>1049</v>
      </c>
      <c r="C11" s="14" t="s">
        <v>1050</v>
      </c>
      <c r="E11" s="15" t="s">
        <v>1051</v>
      </c>
      <c r="F11" s="16" t="s">
        <v>1052</v>
      </c>
    </row>
    <row r="12" spans="1:15" x14ac:dyDescent="0.3">
      <c r="A12" s="13" t="s">
        <v>1053</v>
      </c>
      <c r="B12" s="10" t="s">
        <v>1054</v>
      </c>
      <c r="C12" s="14" t="s">
        <v>1055</v>
      </c>
      <c r="E12" s="62" t="s">
        <v>1056</v>
      </c>
      <c r="F12" s="63" t="s">
        <v>1057</v>
      </c>
    </row>
    <row r="13" spans="1:15" x14ac:dyDescent="0.3">
      <c r="A13" s="13" t="s">
        <v>1058</v>
      </c>
      <c r="B13" s="10" t="s">
        <v>1059</v>
      </c>
      <c r="C13" s="14" t="s">
        <v>1060</v>
      </c>
      <c r="E13" s="62" t="s">
        <v>1061</v>
      </c>
      <c r="F13" s="63" t="s">
        <v>1062</v>
      </c>
    </row>
    <row r="14" spans="1:15" x14ac:dyDescent="0.3">
      <c r="A14" s="13" t="s">
        <v>1063</v>
      </c>
      <c r="B14" s="10" t="s">
        <v>1064</v>
      </c>
      <c r="C14" s="14" t="s">
        <v>1065</v>
      </c>
      <c r="E14" s="62" t="s">
        <v>1066</v>
      </c>
      <c r="F14" s="63" t="s">
        <v>1067</v>
      </c>
    </row>
    <row r="15" spans="1:15" x14ac:dyDescent="0.3">
      <c r="A15" s="13" t="s">
        <v>1068</v>
      </c>
      <c r="B15" s="10" t="s">
        <v>1069</v>
      </c>
      <c r="C15" s="14" t="s">
        <v>1070</v>
      </c>
      <c r="E15" s="62" t="s">
        <v>1071</v>
      </c>
      <c r="F15" s="63" t="s">
        <v>1072</v>
      </c>
    </row>
    <row r="16" spans="1:15" x14ac:dyDescent="0.3">
      <c r="A16" s="13" t="s">
        <v>1073</v>
      </c>
      <c r="B16" s="10" t="s">
        <v>1074</v>
      </c>
      <c r="C16" s="14" t="s">
        <v>1075</v>
      </c>
      <c r="E16" s="62" t="s">
        <v>1076</v>
      </c>
      <c r="F16" s="63" t="s">
        <v>1077</v>
      </c>
    </row>
    <row r="17" spans="1:6" x14ac:dyDescent="0.3">
      <c r="A17" s="13" t="s">
        <v>1078</v>
      </c>
      <c r="B17" s="10" t="s">
        <v>1079</v>
      </c>
      <c r="C17" s="14" t="s">
        <v>1080</v>
      </c>
      <c r="E17" s="62" t="s">
        <v>1081</v>
      </c>
      <c r="F17" s="63" t="s">
        <v>1082</v>
      </c>
    </row>
    <row r="18" spans="1:6" x14ac:dyDescent="0.3">
      <c r="A18" s="13" t="s">
        <v>1083</v>
      </c>
      <c r="B18" s="10" t="s">
        <v>1084</v>
      </c>
      <c r="C18" s="14" t="s">
        <v>1085</v>
      </c>
      <c r="E18" s="62" t="s">
        <v>1086</v>
      </c>
      <c r="F18" s="63" t="s">
        <v>1087</v>
      </c>
    </row>
    <row r="19" spans="1:6" x14ac:dyDescent="0.3">
      <c r="A19" s="13" t="s">
        <v>1088</v>
      </c>
      <c r="B19" s="10" t="s">
        <v>1089</v>
      </c>
      <c r="C19" s="14" t="s">
        <v>1090</v>
      </c>
      <c r="E19" s="62" t="s">
        <v>1091</v>
      </c>
      <c r="F19" s="63" t="s">
        <v>1092</v>
      </c>
    </row>
    <row r="20" spans="1:6" x14ac:dyDescent="0.3">
      <c r="A20" s="13" t="s">
        <v>1093</v>
      </c>
      <c r="B20" s="10" t="s">
        <v>1094</v>
      </c>
      <c r="C20" s="14" t="s">
        <v>1095</v>
      </c>
    </row>
    <row r="21" spans="1:6" x14ac:dyDescent="0.3">
      <c r="A21" s="13"/>
      <c r="B21" s="10"/>
      <c r="C21" s="14"/>
    </row>
    <row r="22" spans="1:6" x14ac:dyDescent="0.3">
      <c r="A22" s="13"/>
      <c r="B22" s="10"/>
      <c r="C22" s="14"/>
    </row>
    <row r="23" spans="1:6" ht="16.8" thickBot="1" x14ac:dyDescent="0.35">
      <c r="A23" s="15"/>
      <c r="B23" s="18"/>
      <c r="C23" s="16"/>
    </row>
  </sheetData>
  <phoneticPr fontId="1" type="noConversion"/>
  <pageMargins left="0.7" right="0.7" top="0.75" bottom="0.75" header="0.3" footer="0.3"/>
  <pageSetup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4EAF-3754-4FE6-9831-9DBBCACF207E}">
  <dimension ref="A1:S267"/>
  <sheetViews>
    <sheetView tabSelected="1" workbookViewId="0">
      <pane xSplit="1" ySplit="1" topLeftCell="F105" activePane="bottomRight" state="frozen"/>
      <selection pane="topRight" activeCell="B1" sqref="B1"/>
      <selection pane="bottomLeft" activeCell="A2" sqref="A2"/>
      <selection pane="bottomRight" activeCell="P104" sqref="P104"/>
    </sheetView>
  </sheetViews>
  <sheetFormatPr defaultRowHeight="16.2" x14ac:dyDescent="0.3"/>
  <cols>
    <col min="3" max="7" width="8.88671875" style="22"/>
    <col min="8" max="8" width="14.44140625" customWidth="1"/>
    <col min="9" max="9" width="15.109375" bestFit="1" customWidth="1"/>
    <col min="10" max="10" width="16.109375" bestFit="1" customWidth="1"/>
    <col min="11" max="11" width="30.44140625" bestFit="1" customWidth="1"/>
    <col min="12" max="12" width="13.44140625" style="22" customWidth="1"/>
    <col min="16" max="16" width="7.44140625" customWidth="1"/>
    <col min="17" max="17" width="101.109375" style="23" customWidth="1"/>
    <col min="18" max="18" width="36.109375" customWidth="1"/>
  </cols>
  <sheetData>
    <row r="1" spans="1:18" x14ac:dyDescent="0.3">
      <c r="A1" s="1" t="s">
        <v>908</v>
      </c>
      <c r="B1" s="1" t="s">
        <v>1096</v>
      </c>
      <c r="C1" s="21" t="s">
        <v>1097</v>
      </c>
      <c r="D1" s="21" t="s">
        <v>1098</v>
      </c>
      <c r="E1" s="21" t="s">
        <v>1099</v>
      </c>
      <c r="F1" s="21" t="s">
        <v>1100</v>
      </c>
      <c r="G1" s="21" t="s">
        <v>1101</v>
      </c>
      <c r="H1" s="1" t="s">
        <v>4</v>
      </c>
      <c r="I1" s="1" t="s">
        <v>7</v>
      </c>
      <c r="J1" s="1" t="s">
        <v>1102</v>
      </c>
      <c r="K1" s="1" t="s">
        <v>1103</v>
      </c>
      <c r="L1" s="21" t="s">
        <v>1104</v>
      </c>
      <c r="M1" s="1" t="s">
        <v>1105</v>
      </c>
      <c r="N1" s="1" t="s">
        <v>1106</v>
      </c>
      <c r="O1" s="1" t="s">
        <v>1107</v>
      </c>
      <c r="P1" s="1" t="s">
        <v>1108</v>
      </c>
      <c r="Q1" s="24" t="s">
        <v>1109</v>
      </c>
      <c r="R1" s="83">
        <f>SUM(P2:P1000)</f>
        <v>52250</v>
      </c>
    </row>
    <row r="2" spans="1:18" s="34" customFormat="1" ht="32.4" x14ac:dyDescent="0.3">
      <c r="A2" s="34">
        <v>1</v>
      </c>
      <c r="B2" s="34">
        <v>2022</v>
      </c>
      <c r="C2" s="84"/>
      <c r="D2" s="84"/>
      <c r="E2" s="84" t="s">
        <v>1110</v>
      </c>
      <c r="F2" s="84" t="s">
        <v>1111</v>
      </c>
      <c r="G2" s="84" t="s">
        <v>1112</v>
      </c>
      <c r="H2" s="34" t="s">
        <v>1058</v>
      </c>
      <c r="I2" s="34" t="s">
        <v>1113</v>
      </c>
      <c r="J2" s="34" t="s">
        <v>1114</v>
      </c>
      <c r="K2" s="34" t="s">
        <v>1115</v>
      </c>
      <c r="L2" s="84" t="s">
        <v>1116</v>
      </c>
      <c r="M2" s="34" t="s">
        <v>1117</v>
      </c>
      <c r="N2" s="34">
        <v>350</v>
      </c>
      <c r="O2" s="34">
        <v>370</v>
      </c>
      <c r="P2" s="34">
        <f>350-350</f>
        <v>0</v>
      </c>
      <c r="Q2" s="85" t="s">
        <v>1118</v>
      </c>
      <c r="R2" s="34" t="s">
        <v>1119</v>
      </c>
    </row>
    <row r="3" spans="1:18" ht="32.4" x14ac:dyDescent="0.3">
      <c r="A3">
        <v>2</v>
      </c>
      <c r="B3">
        <v>2023</v>
      </c>
      <c r="H3" t="s">
        <v>37</v>
      </c>
      <c r="I3" t="s">
        <v>1120</v>
      </c>
      <c r="J3" t="s">
        <v>1121</v>
      </c>
      <c r="K3" t="s">
        <v>1122</v>
      </c>
      <c r="M3" t="s">
        <v>1123</v>
      </c>
      <c r="N3">
        <v>670</v>
      </c>
      <c r="O3">
        <v>750</v>
      </c>
      <c r="P3">
        <f>6000-300-500+5000-500-250-500-250-250-450-1250-500-250-500-250-500-250-1000-250-1500-750-250-500-250</f>
        <v>0</v>
      </c>
      <c r="Q3" s="23" t="s">
        <v>1124</v>
      </c>
      <c r="R3" t="s">
        <v>1125</v>
      </c>
    </row>
    <row r="4" spans="1:18" ht="32.4" x14ac:dyDescent="0.3">
      <c r="A4">
        <v>3</v>
      </c>
      <c r="B4">
        <v>2023</v>
      </c>
      <c r="C4" s="22" t="s">
        <v>1126</v>
      </c>
      <c r="D4" s="22" t="s">
        <v>1127</v>
      </c>
      <c r="E4" s="22" t="s">
        <v>1128</v>
      </c>
      <c r="F4" s="22" t="s">
        <v>1129</v>
      </c>
      <c r="G4" s="22" t="s">
        <v>1130</v>
      </c>
      <c r="H4" t="s">
        <v>53</v>
      </c>
      <c r="I4" t="s">
        <v>1113</v>
      </c>
      <c r="J4" t="s">
        <v>1131</v>
      </c>
      <c r="K4" t="s">
        <v>1132</v>
      </c>
      <c r="L4" s="22" t="s">
        <v>1133</v>
      </c>
      <c r="M4" t="s">
        <v>1117</v>
      </c>
      <c r="N4">
        <v>405</v>
      </c>
      <c r="O4">
        <v>415</v>
      </c>
      <c r="P4">
        <f>1000-250-250-250-250</f>
        <v>0</v>
      </c>
      <c r="Q4" s="23" t="s">
        <v>1134</v>
      </c>
      <c r="R4" t="s">
        <v>1135</v>
      </c>
    </row>
    <row r="5" spans="1:18" ht="32.4" x14ac:dyDescent="0.3">
      <c r="A5">
        <v>4</v>
      </c>
      <c r="B5">
        <v>2023</v>
      </c>
      <c r="C5" s="22" t="s">
        <v>1136</v>
      </c>
      <c r="H5" t="s">
        <v>53</v>
      </c>
      <c r="I5" t="s">
        <v>1137</v>
      </c>
      <c r="J5" t="s">
        <v>1138</v>
      </c>
      <c r="K5" t="s">
        <v>1139</v>
      </c>
      <c r="L5" s="22" t="s">
        <v>1133</v>
      </c>
      <c r="M5" t="s">
        <v>1140</v>
      </c>
      <c r="N5">
        <v>520</v>
      </c>
      <c r="O5">
        <v>520</v>
      </c>
      <c r="P5">
        <f>600-200-200-200+7000-550-550*4-3000-560-690</f>
        <v>0</v>
      </c>
      <c r="Q5" s="23" t="s">
        <v>1141</v>
      </c>
      <c r="R5" t="s">
        <v>1142</v>
      </c>
    </row>
    <row r="6" spans="1:18" ht="32.4" x14ac:dyDescent="0.3">
      <c r="A6">
        <v>5</v>
      </c>
      <c r="B6">
        <v>2023</v>
      </c>
      <c r="C6" s="22" t="s">
        <v>1143</v>
      </c>
      <c r="D6" s="22" t="s">
        <v>1144</v>
      </c>
      <c r="E6" s="22" t="s">
        <v>1145</v>
      </c>
      <c r="F6" s="22" t="s">
        <v>1146</v>
      </c>
      <c r="G6" s="22" t="s">
        <v>1147</v>
      </c>
      <c r="H6" t="s">
        <v>70</v>
      </c>
      <c r="I6" t="s">
        <v>1113</v>
      </c>
      <c r="J6" t="s">
        <v>1148</v>
      </c>
      <c r="K6" t="s">
        <v>1149</v>
      </c>
      <c r="L6" s="22" t="s">
        <v>1150</v>
      </c>
      <c r="M6" t="s">
        <v>1117</v>
      </c>
      <c r="N6">
        <v>400</v>
      </c>
      <c r="O6">
        <v>450</v>
      </c>
      <c r="P6">
        <f>1000-250-500</f>
        <v>250</v>
      </c>
      <c r="Q6" s="23" t="s">
        <v>1151</v>
      </c>
      <c r="R6" t="s">
        <v>1152</v>
      </c>
    </row>
    <row r="7" spans="1:18" ht="32.4" x14ac:dyDescent="0.3">
      <c r="A7">
        <v>6</v>
      </c>
      <c r="B7">
        <v>2023</v>
      </c>
      <c r="C7" s="22" t="s">
        <v>1153</v>
      </c>
      <c r="D7" s="22" t="s">
        <v>1154</v>
      </c>
      <c r="E7" s="22" t="s">
        <v>1145</v>
      </c>
      <c r="F7" s="22" t="s">
        <v>1111</v>
      </c>
      <c r="G7" s="22" t="s">
        <v>1155</v>
      </c>
      <c r="H7" t="s">
        <v>70</v>
      </c>
      <c r="I7" t="s">
        <v>1113</v>
      </c>
      <c r="J7" t="s">
        <v>1156</v>
      </c>
      <c r="K7" t="s">
        <v>1157</v>
      </c>
      <c r="L7" s="22" t="s">
        <v>1158</v>
      </c>
      <c r="M7" t="s">
        <v>1117</v>
      </c>
      <c r="N7">
        <v>380</v>
      </c>
      <c r="O7">
        <v>460</v>
      </c>
      <c r="P7">
        <f>5000-500-250-250-250-500-250-500-500-500-250-250-250-500</f>
        <v>250</v>
      </c>
      <c r="Q7" s="23" t="s">
        <v>1159</v>
      </c>
      <c r="R7" t="s">
        <v>1160</v>
      </c>
    </row>
    <row r="8" spans="1:18" x14ac:dyDescent="0.3">
      <c r="A8">
        <v>7</v>
      </c>
      <c r="B8">
        <v>2023</v>
      </c>
      <c r="D8" s="22" t="s">
        <v>1161</v>
      </c>
      <c r="E8" s="22" t="s">
        <v>1162</v>
      </c>
      <c r="F8" s="22" t="s">
        <v>1163</v>
      </c>
      <c r="H8" t="s">
        <v>304</v>
      </c>
      <c r="I8" t="s">
        <v>1113</v>
      </c>
      <c r="J8" s="22" t="s">
        <v>1164</v>
      </c>
      <c r="K8" t="s">
        <v>1165</v>
      </c>
      <c r="L8" s="22" t="s">
        <v>1166</v>
      </c>
      <c r="M8" t="s">
        <v>1167</v>
      </c>
      <c r="N8">
        <v>340</v>
      </c>
      <c r="O8">
        <v>360</v>
      </c>
      <c r="P8">
        <f>1000-250-250-250-250</f>
        <v>0</v>
      </c>
      <c r="Q8" s="23" t="s">
        <v>1168</v>
      </c>
      <c r="R8" t="s">
        <v>1169</v>
      </c>
    </row>
    <row r="9" spans="1:18" s="34" customFormat="1" ht="48.6" x14ac:dyDescent="0.3">
      <c r="A9" s="34">
        <v>8</v>
      </c>
      <c r="B9" s="34">
        <v>2023</v>
      </c>
      <c r="C9" s="84" t="s">
        <v>1126</v>
      </c>
      <c r="D9" s="84" t="s">
        <v>1127</v>
      </c>
      <c r="E9" s="84" t="s">
        <v>1170</v>
      </c>
      <c r="F9" s="84" t="s">
        <v>1146</v>
      </c>
      <c r="G9" s="84" t="s">
        <v>1171</v>
      </c>
      <c r="H9" s="34" t="s">
        <v>53</v>
      </c>
      <c r="I9" s="34" t="s">
        <v>1113</v>
      </c>
      <c r="J9" s="84" t="s">
        <v>1131</v>
      </c>
      <c r="K9" s="84" t="s">
        <v>1172</v>
      </c>
      <c r="L9" s="84" t="s">
        <v>1133</v>
      </c>
      <c r="M9" s="34" t="s">
        <v>1117</v>
      </c>
      <c r="N9" s="34">
        <v>415</v>
      </c>
      <c r="O9" s="34">
        <v>435</v>
      </c>
      <c r="P9" s="34">
        <v>0</v>
      </c>
      <c r="Q9" s="85" t="s">
        <v>1173</v>
      </c>
      <c r="R9" s="34" t="s">
        <v>1174</v>
      </c>
    </row>
    <row r="10" spans="1:18" s="71" customFormat="1" x14ac:dyDescent="0.3">
      <c r="A10" s="71">
        <v>9</v>
      </c>
      <c r="B10" s="71">
        <v>2023</v>
      </c>
      <c r="C10" s="72" t="s">
        <v>1175</v>
      </c>
      <c r="D10" s="72" t="s">
        <v>1127</v>
      </c>
      <c r="E10" s="72" t="s">
        <v>1162</v>
      </c>
      <c r="F10" s="72" t="s">
        <v>1176</v>
      </c>
      <c r="G10" s="72" t="s">
        <v>1177</v>
      </c>
      <c r="H10" s="71" t="s">
        <v>53</v>
      </c>
      <c r="I10" s="71" t="s">
        <v>1178</v>
      </c>
      <c r="J10" s="71" t="s">
        <v>1179</v>
      </c>
      <c r="K10" s="71" t="s">
        <v>1180</v>
      </c>
      <c r="L10" s="72" t="s">
        <v>1181</v>
      </c>
      <c r="M10" s="71" t="s">
        <v>1182</v>
      </c>
      <c r="N10" s="71">
        <v>440</v>
      </c>
      <c r="O10" s="71">
        <v>520</v>
      </c>
      <c r="P10" s="71">
        <f>250-250+30000-14000-500-500-2000-250-250-4000-250-250-500-500-500-250-500-250-250-1000-250-500-250-500-350-500-1900</f>
        <v>0</v>
      </c>
      <c r="Q10" s="73" t="s">
        <v>1183</v>
      </c>
      <c r="R10" s="71" t="s">
        <v>1184</v>
      </c>
    </row>
    <row r="11" spans="1:18" ht="32.4" x14ac:dyDescent="0.3">
      <c r="A11">
        <v>10</v>
      </c>
      <c r="B11">
        <v>2022</v>
      </c>
      <c r="D11" s="22" t="s">
        <v>1185</v>
      </c>
      <c r="E11" s="22" t="s">
        <v>1162</v>
      </c>
      <c r="F11" s="22" t="s">
        <v>1186</v>
      </c>
      <c r="G11" s="22" t="s">
        <v>1187</v>
      </c>
      <c r="H11" t="s">
        <v>53</v>
      </c>
      <c r="I11" t="s">
        <v>1178</v>
      </c>
      <c r="J11" t="s">
        <v>1188</v>
      </c>
      <c r="K11" t="s">
        <v>1189</v>
      </c>
      <c r="L11" s="22" t="s">
        <v>1133</v>
      </c>
      <c r="M11" t="s">
        <v>1117</v>
      </c>
      <c r="N11">
        <v>410</v>
      </c>
      <c r="O11">
        <v>430</v>
      </c>
      <c r="P11">
        <f>1000-400-200-400</f>
        <v>0</v>
      </c>
      <c r="Q11" s="23" t="s">
        <v>1190</v>
      </c>
      <c r="R11" t="s">
        <v>1191</v>
      </c>
    </row>
    <row r="12" spans="1:18" ht="32.4" x14ac:dyDescent="0.3">
      <c r="A12">
        <v>11</v>
      </c>
      <c r="B12">
        <v>2023</v>
      </c>
      <c r="D12" s="22" t="s">
        <v>1127</v>
      </c>
      <c r="H12" t="s">
        <v>53</v>
      </c>
      <c r="I12" t="s">
        <v>1178</v>
      </c>
      <c r="J12" t="s">
        <v>1192</v>
      </c>
      <c r="K12" t="s">
        <v>1193</v>
      </c>
      <c r="L12" s="22" t="s">
        <v>1194</v>
      </c>
      <c r="M12" t="s">
        <v>1140</v>
      </c>
      <c r="N12">
        <v>530</v>
      </c>
      <c r="O12">
        <v>560</v>
      </c>
      <c r="P12">
        <f>2000-250-250-250-250-250-250-500</f>
        <v>0</v>
      </c>
      <c r="Q12" s="23" t="s">
        <v>1195</v>
      </c>
      <c r="R12" t="s">
        <v>1196</v>
      </c>
    </row>
    <row r="13" spans="1:18" x14ac:dyDescent="0.3">
      <c r="A13">
        <v>12</v>
      </c>
      <c r="B13">
        <v>2023</v>
      </c>
      <c r="F13" s="29" t="s">
        <v>1197</v>
      </c>
      <c r="G13" s="22" t="s">
        <v>1198</v>
      </c>
      <c r="H13" t="s">
        <v>74</v>
      </c>
      <c r="I13" t="s">
        <v>1178</v>
      </c>
      <c r="J13" t="s">
        <v>1199</v>
      </c>
      <c r="K13" t="s">
        <v>1200</v>
      </c>
      <c r="L13" s="22" t="s">
        <v>1201</v>
      </c>
      <c r="N13">
        <v>500</v>
      </c>
      <c r="O13">
        <v>520</v>
      </c>
      <c r="P13">
        <f>1000-250-500-250</f>
        <v>0</v>
      </c>
      <c r="Q13" s="23" t="s">
        <v>1202</v>
      </c>
      <c r="R13" t="s">
        <v>1203</v>
      </c>
    </row>
    <row r="14" spans="1:18" s="34" customFormat="1" ht="32.4" x14ac:dyDescent="0.3">
      <c r="A14" s="34">
        <v>13</v>
      </c>
      <c r="B14" s="34">
        <v>2023</v>
      </c>
      <c r="C14" s="84"/>
      <c r="D14" s="84" t="s">
        <v>1127</v>
      </c>
      <c r="E14" s="86" t="s">
        <v>1204</v>
      </c>
      <c r="F14" s="84" t="s">
        <v>1205</v>
      </c>
      <c r="G14" s="84" t="s">
        <v>1198</v>
      </c>
      <c r="H14" s="34" t="s">
        <v>53</v>
      </c>
      <c r="I14" s="34" t="s">
        <v>1178</v>
      </c>
      <c r="J14" s="34" t="s">
        <v>1206</v>
      </c>
      <c r="K14" s="34" t="s">
        <v>1207</v>
      </c>
      <c r="L14" s="84">
        <v>74110</v>
      </c>
      <c r="M14" s="34" t="s">
        <v>1117</v>
      </c>
      <c r="N14" s="34">
        <v>440</v>
      </c>
      <c r="O14" s="34">
        <v>460</v>
      </c>
      <c r="P14" s="34">
        <f>1000-250-250-250-250</f>
        <v>0</v>
      </c>
      <c r="Q14" s="85" t="s">
        <v>1208</v>
      </c>
      <c r="R14" s="34" t="s">
        <v>1209</v>
      </c>
    </row>
    <row r="15" spans="1:18" ht="32.4" x14ac:dyDescent="0.3">
      <c r="A15">
        <v>14</v>
      </c>
      <c r="B15">
        <v>2023</v>
      </c>
      <c r="D15" s="22" t="s">
        <v>1127</v>
      </c>
      <c r="E15" s="22" t="s">
        <v>1210</v>
      </c>
      <c r="F15" s="22" t="s">
        <v>1211</v>
      </c>
      <c r="G15" s="22" t="s">
        <v>1147</v>
      </c>
      <c r="H15" t="s">
        <v>53</v>
      </c>
      <c r="I15" t="s">
        <v>1113</v>
      </c>
      <c r="J15" t="s">
        <v>1212</v>
      </c>
      <c r="K15" t="s">
        <v>1213</v>
      </c>
      <c r="L15" s="22" t="s">
        <v>1214</v>
      </c>
      <c r="M15" t="s">
        <v>1117</v>
      </c>
      <c r="N15">
        <v>450</v>
      </c>
      <c r="O15">
        <v>470</v>
      </c>
      <c r="P15">
        <f>500-500</f>
        <v>0</v>
      </c>
      <c r="Q15" s="23" t="s">
        <v>1215</v>
      </c>
      <c r="R15" t="s">
        <v>1216</v>
      </c>
    </row>
    <row r="16" spans="1:18" s="34" customFormat="1" ht="32.4" x14ac:dyDescent="0.3">
      <c r="A16" s="34">
        <v>15</v>
      </c>
      <c r="B16" s="34">
        <v>2023</v>
      </c>
      <c r="C16" s="84"/>
      <c r="D16" s="84" t="s">
        <v>1127</v>
      </c>
      <c r="E16" s="84" t="s">
        <v>1217</v>
      </c>
      <c r="F16" s="84" t="s">
        <v>1218</v>
      </c>
      <c r="G16" s="84" t="s">
        <v>1219</v>
      </c>
      <c r="H16" s="34" t="s">
        <v>53</v>
      </c>
      <c r="I16" s="34" t="s">
        <v>1113</v>
      </c>
      <c r="J16" s="34" t="s">
        <v>1192</v>
      </c>
      <c r="K16" s="34" t="s">
        <v>1220</v>
      </c>
      <c r="L16" s="84" t="s">
        <v>1221</v>
      </c>
      <c r="M16" s="34" t="s">
        <v>1182</v>
      </c>
      <c r="N16" s="34">
        <v>470</v>
      </c>
      <c r="O16" s="34">
        <v>510</v>
      </c>
      <c r="P16" s="34">
        <v>0</v>
      </c>
      <c r="Q16" s="85" t="s">
        <v>1222</v>
      </c>
      <c r="R16" s="34" t="s">
        <v>1223</v>
      </c>
    </row>
    <row r="17" spans="1:19" s="34" customFormat="1" ht="48.6" x14ac:dyDescent="0.3">
      <c r="A17" s="34">
        <v>16</v>
      </c>
      <c r="B17" s="34">
        <v>2023</v>
      </c>
      <c r="C17" s="84"/>
      <c r="D17" s="84" t="s">
        <v>1127</v>
      </c>
      <c r="E17" s="84" t="s">
        <v>1224</v>
      </c>
      <c r="F17" s="84" t="s">
        <v>1225</v>
      </c>
      <c r="G17" s="84"/>
      <c r="H17" s="34" t="s">
        <v>53</v>
      </c>
      <c r="I17" s="34" t="s">
        <v>1178</v>
      </c>
      <c r="J17" s="34" t="s">
        <v>1226</v>
      </c>
      <c r="K17" s="34" t="s">
        <v>1227</v>
      </c>
      <c r="L17" s="84" t="s">
        <v>1133</v>
      </c>
      <c r="M17" s="34" t="s">
        <v>1167</v>
      </c>
      <c r="N17" s="34">
        <v>439</v>
      </c>
      <c r="O17" s="34">
        <v>450</v>
      </c>
      <c r="P17" s="34">
        <f>1000-250-250-250-250</f>
        <v>0</v>
      </c>
      <c r="Q17" s="85" t="s">
        <v>1228</v>
      </c>
      <c r="R17" s="34" t="s">
        <v>1229</v>
      </c>
      <c r="S17" s="34" t="s">
        <v>1230</v>
      </c>
    </row>
    <row r="18" spans="1:19" ht="32.4" x14ac:dyDescent="0.3">
      <c r="A18">
        <v>17</v>
      </c>
      <c r="B18">
        <v>2023</v>
      </c>
      <c r="D18" s="22" t="s">
        <v>1127</v>
      </c>
      <c r="E18" s="22" t="s">
        <v>1224</v>
      </c>
      <c r="F18" s="22" t="s">
        <v>1231</v>
      </c>
      <c r="H18" t="s">
        <v>53</v>
      </c>
      <c r="I18" t="s">
        <v>1232</v>
      </c>
      <c r="J18" t="s">
        <v>1212</v>
      </c>
      <c r="K18" t="s">
        <v>1233</v>
      </c>
      <c r="L18" s="22" t="s">
        <v>1133</v>
      </c>
      <c r="M18" t="s">
        <v>1167</v>
      </c>
      <c r="N18">
        <v>499</v>
      </c>
      <c r="O18">
        <v>510</v>
      </c>
      <c r="P18">
        <f>1000-250-250-500</f>
        <v>0</v>
      </c>
      <c r="Q18" s="23" t="s">
        <v>1234</v>
      </c>
      <c r="R18" t="s">
        <v>1235</v>
      </c>
      <c r="S18" t="s">
        <v>1236</v>
      </c>
    </row>
    <row r="19" spans="1:19" ht="32.4" x14ac:dyDescent="0.3">
      <c r="A19">
        <v>18</v>
      </c>
      <c r="B19">
        <v>2023</v>
      </c>
      <c r="D19" s="22" t="s">
        <v>1127</v>
      </c>
      <c r="E19" s="22" t="s">
        <v>1170</v>
      </c>
      <c r="F19" s="22" t="s">
        <v>1129</v>
      </c>
      <c r="H19" t="s">
        <v>53</v>
      </c>
      <c r="I19" t="s">
        <v>1113</v>
      </c>
      <c r="J19" s="22" t="s">
        <v>1237</v>
      </c>
      <c r="K19" s="22" t="s">
        <v>1238</v>
      </c>
      <c r="L19" s="22" t="s">
        <v>1133</v>
      </c>
      <c r="M19" t="s">
        <v>1167</v>
      </c>
      <c r="N19">
        <v>479</v>
      </c>
      <c r="O19">
        <v>490</v>
      </c>
      <c r="P19">
        <f>1000-500-500</f>
        <v>0</v>
      </c>
      <c r="Q19" s="23" t="s">
        <v>1239</v>
      </c>
      <c r="R19" t="s">
        <v>1240</v>
      </c>
      <c r="S19" t="s">
        <v>1241</v>
      </c>
    </row>
    <row r="20" spans="1:19" ht="64.8" x14ac:dyDescent="0.3">
      <c r="A20">
        <v>19</v>
      </c>
      <c r="B20">
        <v>2023</v>
      </c>
      <c r="D20" s="22" t="s">
        <v>1127</v>
      </c>
      <c r="E20" s="22" t="s">
        <v>1242</v>
      </c>
      <c r="F20" s="22" t="s">
        <v>1243</v>
      </c>
      <c r="H20" t="s">
        <v>53</v>
      </c>
      <c r="I20" t="s">
        <v>1244</v>
      </c>
      <c r="J20" s="22" t="s">
        <v>1212</v>
      </c>
      <c r="K20" s="22" t="s">
        <v>1245</v>
      </c>
      <c r="L20" s="22" t="s">
        <v>1133</v>
      </c>
      <c r="M20" t="s">
        <v>1167</v>
      </c>
      <c r="N20">
        <v>499</v>
      </c>
      <c r="O20">
        <v>510</v>
      </c>
      <c r="P20">
        <f>1000-500-250-250</f>
        <v>0</v>
      </c>
      <c r="Q20" s="23" t="s">
        <v>1246</v>
      </c>
      <c r="R20" t="s">
        <v>1247</v>
      </c>
      <c r="S20" t="s">
        <v>1248</v>
      </c>
    </row>
    <row r="21" spans="1:19" ht="32.4" x14ac:dyDescent="0.3">
      <c r="A21">
        <v>20</v>
      </c>
      <c r="B21">
        <v>2023</v>
      </c>
      <c r="D21" s="22" t="s">
        <v>1127</v>
      </c>
      <c r="E21" s="22" t="s">
        <v>1249</v>
      </c>
      <c r="F21" s="22" t="s">
        <v>1250</v>
      </c>
      <c r="H21" t="s">
        <v>53</v>
      </c>
      <c r="I21" t="s">
        <v>1113</v>
      </c>
      <c r="J21" t="s">
        <v>1212</v>
      </c>
      <c r="K21" t="s">
        <v>1251</v>
      </c>
      <c r="L21" s="22" t="s">
        <v>1221</v>
      </c>
      <c r="M21" t="s">
        <v>1167</v>
      </c>
      <c r="N21">
        <v>519</v>
      </c>
      <c r="O21">
        <v>530</v>
      </c>
      <c r="P21">
        <f>1000-250-250-500</f>
        <v>0</v>
      </c>
      <c r="Q21" s="23" t="s">
        <v>1252</v>
      </c>
      <c r="R21" t="s">
        <v>1253</v>
      </c>
      <c r="S21" t="s">
        <v>1254</v>
      </c>
    </row>
    <row r="22" spans="1:19" ht="32.4" x14ac:dyDescent="0.3">
      <c r="A22">
        <v>21</v>
      </c>
      <c r="B22">
        <v>2023</v>
      </c>
      <c r="D22" s="22" t="s">
        <v>1127</v>
      </c>
      <c r="E22" s="22" t="s">
        <v>1162</v>
      </c>
      <c r="F22" s="22" t="s">
        <v>1255</v>
      </c>
      <c r="H22" t="s">
        <v>53</v>
      </c>
      <c r="I22" t="s">
        <v>1178</v>
      </c>
      <c r="J22" s="22" t="s">
        <v>1256</v>
      </c>
      <c r="K22" s="22" t="s">
        <v>1257</v>
      </c>
      <c r="L22" s="22" t="s">
        <v>1133</v>
      </c>
      <c r="M22" t="s">
        <v>1167</v>
      </c>
      <c r="N22">
        <v>499</v>
      </c>
      <c r="O22">
        <v>510</v>
      </c>
      <c r="P22">
        <f>1000-500-500</f>
        <v>0</v>
      </c>
      <c r="Q22" s="23" t="s">
        <v>1258</v>
      </c>
      <c r="R22" t="s">
        <v>1259</v>
      </c>
      <c r="S22" t="s">
        <v>1260</v>
      </c>
    </row>
    <row r="23" spans="1:19" ht="28.8" x14ac:dyDescent="0.3">
      <c r="A23">
        <v>22</v>
      </c>
      <c r="B23">
        <v>2022</v>
      </c>
      <c r="D23" s="22" t="s">
        <v>1127</v>
      </c>
      <c r="E23" s="22" t="s">
        <v>1261</v>
      </c>
      <c r="F23" s="22" t="s">
        <v>1262</v>
      </c>
      <c r="H23" t="s">
        <v>53</v>
      </c>
      <c r="I23" t="s">
        <v>1113</v>
      </c>
      <c r="J23" s="22" t="s">
        <v>1263</v>
      </c>
      <c r="K23" s="22" t="s">
        <v>1264</v>
      </c>
      <c r="L23" s="22" t="s">
        <v>1133</v>
      </c>
      <c r="M23" t="s">
        <v>1167</v>
      </c>
      <c r="N23">
        <v>470</v>
      </c>
      <c r="O23">
        <v>510</v>
      </c>
      <c r="P23">
        <f>1000-500-500</f>
        <v>0</v>
      </c>
      <c r="Q23" s="64" t="s">
        <v>1265</v>
      </c>
      <c r="R23" t="s">
        <v>1266</v>
      </c>
      <c r="S23" t="s">
        <v>1267</v>
      </c>
    </row>
    <row r="24" spans="1:19" ht="32.4" x14ac:dyDescent="0.3">
      <c r="A24">
        <v>23</v>
      </c>
      <c r="B24">
        <v>2022</v>
      </c>
      <c r="D24" s="22" t="s">
        <v>1127</v>
      </c>
      <c r="E24" s="22" t="s">
        <v>1268</v>
      </c>
      <c r="F24" s="22" t="s">
        <v>1269</v>
      </c>
      <c r="H24" t="s">
        <v>53</v>
      </c>
      <c r="I24" t="s">
        <v>1178</v>
      </c>
      <c r="J24" s="22" t="s">
        <v>1212</v>
      </c>
      <c r="K24" s="22" t="s">
        <v>1270</v>
      </c>
      <c r="L24" s="22" t="s">
        <v>1133</v>
      </c>
      <c r="M24" t="s">
        <v>1167</v>
      </c>
      <c r="N24">
        <v>450</v>
      </c>
      <c r="O24">
        <v>490</v>
      </c>
      <c r="P24">
        <f>1000-250-500-250</f>
        <v>0</v>
      </c>
      <c r="Q24" s="23" t="s">
        <v>1271</v>
      </c>
      <c r="R24" t="s">
        <v>1272</v>
      </c>
      <c r="S24" t="s">
        <v>1273</v>
      </c>
    </row>
    <row r="25" spans="1:19" ht="27.6" x14ac:dyDescent="0.3">
      <c r="A25">
        <v>24</v>
      </c>
      <c r="B25">
        <v>2023</v>
      </c>
      <c r="D25" s="22" t="s">
        <v>1274</v>
      </c>
      <c r="E25" s="22" t="s">
        <v>1110</v>
      </c>
      <c r="F25" s="22" t="s">
        <v>1275</v>
      </c>
      <c r="H25" t="s">
        <v>70</v>
      </c>
      <c r="I25" t="s">
        <v>985</v>
      </c>
      <c r="J25" s="22" t="s">
        <v>1148</v>
      </c>
      <c r="K25" s="22" t="s">
        <v>1276</v>
      </c>
      <c r="L25" s="22" t="s">
        <v>1277</v>
      </c>
      <c r="M25" t="s">
        <v>1167</v>
      </c>
      <c r="N25">
        <v>479</v>
      </c>
      <c r="O25">
        <v>490</v>
      </c>
      <c r="P25">
        <f>1000-250-250-500</f>
        <v>0</v>
      </c>
      <c r="Q25" s="64" t="s">
        <v>1278</v>
      </c>
      <c r="R25" t="s">
        <v>1279</v>
      </c>
      <c r="S25" t="s">
        <v>1280</v>
      </c>
    </row>
    <row r="26" spans="1:19" ht="32.4" x14ac:dyDescent="0.3">
      <c r="A26">
        <v>25</v>
      </c>
      <c r="B26">
        <v>2023</v>
      </c>
      <c r="D26" s="22" t="s">
        <v>1281</v>
      </c>
      <c r="E26" s="22" t="s">
        <v>1128</v>
      </c>
      <c r="F26" s="22" t="s">
        <v>1225</v>
      </c>
      <c r="H26" t="s">
        <v>70</v>
      </c>
      <c r="I26" t="s">
        <v>1113</v>
      </c>
      <c r="J26" s="22" t="s">
        <v>1282</v>
      </c>
      <c r="K26" s="22" t="s">
        <v>1283</v>
      </c>
      <c r="L26" s="22" t="s">
        <v>1284</v>
      </c>
      <c r="M26" t="s">
        <v>1167</v>
      </c>
      <c r="N26">
        <v>499</v>
      </c>
      <c r="O26">
        <v>510</v>
      </c>
      <c r="P26">
        <v>1000</v>
      </c>
      <c r="Q26" s="23" t="s">
        <v>1285</v>
      </c>
      <c r="R26" s="23" t="s">
        <v>1286</v>
      </c>
      <c r="S26" t="s">
        <v>1287</v>
      </c>
    </row>
    <row r="27" spans="1:19" ht="32.4" x14ac:dyDescent="0.3">
      <c r="A27">
        <v>26</v>
      </c>
      <c r="B27">
        <v>2023</v>
      </c>
      <c r="D27" s="22" t="s">
        <v>1274</v>
      </c>
      <c r="E27" s="22" t="s">
        <v>1128</v>
      </c>
      <c r="F27" s="22" t="s">
        <v>1288</v>
      </c>
      <c r="H27" t="s">
        <v>70</v>
      </c>
      <c r="I27" t="s">
        <v>1113</v>
      </c>
      <c r="J27" s="22" t="s">
        <v>1289</v>
      </c>
      <c r="K27" s="22" t="s">
        <v>1290</v>
      </c>
      <c r="L27" s="22" t="s">
        <v>1277</v>
      </c>
      <c r="M27" t="s">
        <v>1167</v>
      </c>
      <c r="N27">
        <v>469</v>
      </c>
      <c r="O27">
        <v>480</v>
      </c>
      <c r="P27">
        <f>1000-250-250-500</f>
        <v>0</v>
      </c>
      <c r="Q27" s="23" t="s">
        <v>1291</v>
      </c>
      <c r="R27" s="23" t="s">
        <v>1292</v>
      </c>
      <c r="S27" t="s">
        <v>1293</v>
      </c>
    </row>
    <row r="28" spans="1:19" ht="32.4" x14ac:dyDescent="0.3">
      <c r="A28">
        <v>27</v>
      </c>
      <c r="B28">
        <v>2022</v>
      </c>
      <c r="D28" s="22" t="s">
        <v>1274</v>
      </c>
      <c r="E28" s="22" t="s">
        <v>1210</v>
      </c>
      <c r="F28" s="22" t="s">
        <v>1275</v>
      </c>
      <c r="H28" t="s">
        <v>70</v>
      </c>
      <c r="I28" t="s">
        <v>1113</v>
      </c>
      <c r="J28" s="22" t="s">
        <v>1294</v>
      </c>
      <c r="K28" s="22" t="s">
        <v>1295</v>
      </c>
      <c r="L28" s="22" t="s">
        <v>1296</v>
      </c>
      <c r="M28" t="s">
        <v>1167</v>
      </c>
      <c r="N28">
        <v>499</v>
      </c>
      <c r="O28">
        <v>510</v>
      </c>
      <c r="P28">
        <f>1000-250-500-250</f>
        <v>0</v>
      </c>
      <c r="Q28" s="23" t="s">
        <v>1297</v>
      </c>
      <c r="R28" s="23" t="s">
        <v>1298</v>
      </c>
      <c r="S28" t="s">
        <v>1299</v>
      </c>
    </row>
    <row r="29" spans="1:19" ht="32.4" x14ac:dyDescent="0.3">
      <c r="A29">
        <v>28</v>
      </c>
      <c r="B29">
        <v>2022</v>
      </c>
      <c r="D29" s="22" t="s">
        <v>1281</v>
      </c>
      <c r="E29" s="22" t="s">
        <v>1300</v>
      </c>
      <c r="F29" s="22" t="s">
        <v>1301</v>
      </c>
      <c r="H29" t="s">
        <v>70</v>
      </c>
      <c r="I29" t="s">
        <v>1113</v>
      </c>
      <c r="J29" s="22" t="s">
        <v>1148</v>
      </c>
      <c r="K29" s="22" t="s">
        <v>1302</v>
      </c>
      <c r="L29" s="22" t="s">
        <v>1303</v>
      </c>
      <c r="M29" t="s">
        <v>1167</v>
      </c>
      <c r="N29">
        <v>539</v>
      </c>
      <c r="O29">
        <v>550</v>
      </c>
      <c r="P29">
        <f>1000-250</f>
        <v>750</v>
      </c>
      <c r="Q29" s="23" t="s">
        <v>1304</v>
      </c>
      <c r="R29" s="23" t="s">
        <v>1305</v>
      </c>
      <c r="S29" t="s">
        <v>1306</v>
      </c>
    </row>
    <row r="30" spans="1:19" ht="32.4" x14ac:dyDescent="0.3">
      <c r="A30">
        <v>29</v>
      </c>
      <c r="B30">
        <v>2022</v>
      </c>
      <c r="D30" s="22" t="s">
        <v>1281</v>
      </c>
      <c r="E30" s="22" t="s">
        <v>1307</v>
      </c>
      <c r="F30" s="22" t="s">
        <v>1308</v>
      </c>
      <c r="H30" t="s">
        <v>70</v>
      </c>
      <c r="I30" t="s">
        <v>1113</v>
      </c>
      <c r="J30" s="22" t="s">
        <v>1148</v>
      </c>
      <c r="K30" s="22" t="s">
        <v>1309</v>
      </c>
      <c r="L30" s="22" t="s">
        <v>1310</v>
      </c>
      <c r="M30" t="s">
        <v>1167</v>
      </c>
      <c r="N30">
        <v>554</v>
      </c>
      <c r="O30">
        <v>565</v>
      </c>
      <c r="P30">
        <f>1000-250-750</f>
        <v>0</v>
      </c>
      <c r="Q30" s="23" t="s">
        <v>1311</v>
      </c>
      <c r="R30" s="23" t="s">
        <v>1312</v>
      </c>
      <c r="S30" t="s">
        <v>1313</v>
      </c>
    </row>
    <row r="31" spans="1:19" ht="32.4" x14ac:dyDescent="0.3">
      <c r="A31">
        <v>30</v>
      </c>
      <c r="B31">
        <v>2022</v>
      </c>
      <c r="D31" s="22" t="s">
        <v>1281</v>
      </c>
      <c r="E31" s="22" t="s">
        <v>1217</v>
      </c>
      <c r="F31" s="22" t="s">
        <v>1288</v>
      </c>
      <c r="H31" t="s">
        <v>70</v>
      </c>
      <c r="I31" t="s">
        <v>1113</v>
      </c>
      <c r="J31" s="22" t="s">
        <v>1282</v>
      </c>
      <c r="K31" s="22" t="s">
        <v>1314</v>
      </c>
      <c r="L31" s="22" t="s">
        <v>1315</v>
      </c>
      <c r="M31" t="s">
        <v>1167</v>
      </c>
      <c r="N31">
        <v>539</v>
      </c>
      <c r="O31">
        <v>550</v>
      </c>
      <c r="P31">
        <f>1000-250-250-500</f>
        <v>0</v>
      </c>
      <c r="Q31" s="23" t="s">
        <v>1316</v>
      </c>
      <c r="R31" s="23" t="s">
        <v>1317</v>
      </c>
      <c r="S31" t="s">
        <v>1318</v>
      </c>
    </row>
    <row r="32" spans="1:19" ht="32.4" x14ac:dyDescent="0.3">
      <c r="A32">
        <v>31</v>
      </c>
      <c r="B32">
        <v>2022</v>
      </c>
      <c r="D32" s="22" t="s">
        <v>1281</v>
      </c>
      <c r="E32" s="22" t="s">
        <v>1210</v>
      </c>
      <c r="F32" s="22" t="s">
        <v>1301</v>
      </c>
      <c r="H32" t="s">
        <v>70</v>
      </c>
      <c r="I32" t="s">
        <v>1113</v>
      </c>
      <c r="J32" s="22" t="s">
        <v>1282</v>
      </c>
      <c r="K32" s="22" t="s">
        <v>1319</v>
      </c>
      <c r="L32" s="22" t="s">
        <v>1320</v>
      </c>
      <c r="M32" t="s">
        <v>1167</v>
      </c>
      <c r="N32">
        <v>554</v>
      </c>
      <c r="O32">
        <v>565</v>
      </c>
      <c r="P32">
        <f>1000-500-500</f>
        <v>0</v>
      </c>
      <c r="Q32" s="23" t="s">
        <v>1321</v>
      </c>
      <c r="R32" s="23" t="s">
        <v>1322</v>
      </c>
      <c r="S32" t="s">
        <v>1323</v>
      </c>
    </row>
    <row r="33" spans="1:19" ht="32.4" x14ac:dyDescent="0.3">
      <c r="A33">
        <v>32</v>
      </c>
      <c r="B33">
        <v>2023</v>
      </c>
      <c r="D33" s="22" t="s">
        <v>1324</v>
      </c>
      <c r="E33" s="22" t="s">
        <v>1325</v>
      </c>
      <c r="F33" s="22" t="s">
        <v>1255</v>
      </c>
      <c r="H33" t="s">
        <v>353</v>
      </c>
      <c r="I33" t="s">
        <v>1326</v>
      </c>
      <c r="J33" s="22" t="s">
        <v>1327</v>
      </c>
      <c r="K33" s="22" t="s">
        <v>1328</v>
      </c>
      <c r="L33" s="22" t="s">
        <v>1329</v>
      </c>
      <c r="M33" t="s">
        <v>1167</v>
      </c>
      <c r="N33">
        <v>479</v>
      </c>
      <c r="O33">
        <v>490</v>
      </c>
      <c r="P33" s="65">
        <f>1000-500-500</f>
        <v>0</v>
      </c>
      <c r="Q33" s="23" t="s">
        <v>1330</v>
      </c>
      <c r="R33" s="23" t="s">
        <v>1331</v>
      </c>
      <c r="S33" t="s">
        <v>1332</v>
      </c>
    </row>
    <row r="34" spans="1:19" ht="32.4" x14ac:dyDescent="0.3">
      <c r="A34">
        <v>33</v>
      </c>
      <c r="B34">
        <v>2023</v>
      </c>
      <c r="D34" s="22" t="s">
        <v>1333</v>
      </c>
      <c r="E34" s="22" t="s">
        <v>1210</v>
      </c>
      <c r="F34" s="22" t="s">
        <v>1163</v>
      </c>
      <c r="H34" t="s">
        <v>353</v>
      </c>
      <c r="I34" t="s">
        <v>1334</v>
      </c>
      <c r="J34" s="22" t="s">
        <v>1335</v>
      </c>
      <c r="K34" s="22" t="s">
        <v>1336</v>
      </c>
      <c r="L34" s="22" t="s">
        <v>1337</v>
      </c>
      <c r="M34" t="s">
        <v>1167</v>
      </c>
      <c r="N34">
        <v>749</v>
      </c>
      <c r="O34">
        <v>760</v>
      </c>
      <c r="P34">
        <f>1000-250-500</f>
        <v>250</v>
      </c>
      <c r="Q34" s="23" t="s">
        <v>1338</v>
      </c>
      <c r="R34" s="23" t="s">
        <v>1339</v>
      </c>
      <c r="S34" t="s">
        <v>1340</v>
      </c>
    </row>
    <row r="35" spans="1:19" ht="32.4" x14ac:dyDescent="0.3">
      <c r="A35">
        <v>34</v>
      </c>
      <c r="B35">
        <v>2023</v>
      </c>
      <c r="D35" s="22" t="s">
        <v>1333</v>
      </c>
      <c r="E35" s="22" t="s">
        <v>1341</v>
      </c>
      <c r="F35" s="22" t="s">
        <v>1301</v>
      </c>
      <c r="H35" t="s">
        <v>353</v>
      </c>
      <c r="I35" t="s">
        <v>1342</v>
      </c>
      <c r="J35" s="22" t="s">
        <v>1343</v>
      </c>
      <c r="K35" s="22" t="s">
        <v>1344</v>
      </c>
      <c r="L35" s="22" t="s">
        <v>1345</v>
      </c>
      <c r="M35" t="s">
        <v>1167</v>
      </c>
      <c r="N35">
        <v>999</v>
      </c>
      <c r="O35">
        <v>1010</v>
      </c>
      <c r="P35">
        <f>1000-500-500</f>
        <v>0</v>
      </c>
      <c r="Q35" s="23" t="s">
        <v>1346</v>
      </c>
      <c r="R35" s="23" t="s">
        <v>1347</v>
      </c>
      <c r="S35" t="s">
        <v>1348</v>
      </c>
    </row>
    <row r="36" spans="1:19" ht="32.4" x14ac:dyDescent="0.3">
      <c r="A36">
        <v>35</v>
      </c>
      <c r="B36">
        <v>2022</v>
      </c>
      <c r="D36" s="22" t="s">
        <v>1324</v>
      </c>
      <c r="E36" s="22" t="s">
        <v>1261</v>
      </c>
      <c r="F36" s="22" t="s">
        <v>1275</v>
      </c>
      <c r="H36" t="s">
        <v>353</v>
      </c>
      <c r="I36" t="s">
        <v>1349</v>
      </c>
      <c r="J36" s="22" t="s">
        <v>1350</v>
      </c>
      <c r="K36" s="22" t="s">
        <v>1351</v>
      </c>
      <c r="L36" s="22" t="s">
        <v>1201</v>
      </c>
      <c r="M36" t="s">
        <v>1167</v>
      </c>
      <c r="N36">
        <v>949</v>
      </c>
      <c r="O36">
        <v>960</v>
      </c>
      <c r="P36">
        <f>1000-250-250-500</f>
        <v>0</v>
      </c>
      <c r="Q36" s="23" t="s">
        <v>1352</v>
      </c>
      <c r="R36" s="23" t="s">
        <v>1353</v>
      </c>
      <c r="S36" t="s">
        <v>1354</v>
      </c>
    </row>
    <row r="37" spans="1:19" ht="32.4" x14ac:dyDescent="0.3">
      <c r="A37">
        <v>36</v>
      </c>
      <c r="B37">
        <v>2022</v>
      </c>
      <c r="D37" s="22" t="s">
        <v>1333</v>
      </c>
      <c r="E37" s="22" t="s">
        <v>1268</v>
      </c>
      <c r="F37" s="22" t="s">
        <v>1355</v>
      </c>
      <c r="H37" t="s">
        <v>353</v>
      </c>
      <c r="I37" t="s">
        <v>1232</v>
      </c>
      <c r="K37" s="22" t="s">
        <v>1356</v>
      </c>
      <c r="L37" s="22" t="s">
        <v>1357</v>
      </c>
      <c r="M37" t="s">
        <v>1167</v>
      </c>
      <c r="N37">
        <v>909</v>
      </c>
      <c r="O37">
        <v>920</v>
      </c>
      <c r="P37">
        <f>1000-1000</f>
        <v>0</v>
      </c>
      <c r="Q37" s="23" t="s">
        <v>1358</v>
      </c>
      <c r="R37" s="23" t="s">
        <v>1359</v>
      </c>
      <c r="S37" t="s">
        <v>1360</v>
      </c>
    </row>
    <row r="38" spans="1:19" ht="32.4" x14ac:dyDescent="0.3">
      <c r="A38">
        <v>37</v>
      </c>
      <c r="B38">
        <v>2022</v>
      </c>
      <c r="D38" s="22" t="s">
        <v>1324</v>
      </c>
      <c r="E38" s="22" t="s">
        <v>1341</v>
      </c>
      <c r="F38" s="22" t="s">
        <v>1361</v>
      </c>
      <c r="H38" t="s">
        <v>353</v>
      </c>
      <c r="I38" t="s">
        <v>1362</v>
      </c>
      <c r="J38" s="22" t="s">
        <v>1363</v>
      </c>
      <c r="K38" s="22" t="s">
        <v>1364</v>
      </c>
      <c r="L38" s="22" t="s">
        <v>1365</v>
      </c>
      <c r="M38" t="s">
        <v>1167</v>
      </c>
      <c r="N38">
        <v>679</v>
      </c>
      <c r="O38">
        <v>690</v>
      </c>
      <c r="P38">
        <f>1000-500-500</f>
        <v>0</v>
      </c>
      <c r="Q38" s="23" t="s">
        <v>1366</v>
      </c>
      <c r="R38" s="23" t="s">
        <v>1367</v>
      </c>
      <c r="S38" t="s">
        <v>1368</v>
      </c>
    </row>
    <row r="39" spans="1:19" ht="32.4" x14ac:dyDescent="0.3">
      <c r="A39">
        <v>38</v>
      </c>
      <c r="B39">
        <v>2022</v>
      </c>
      <c r="D39" s="22" t="s">
        <v>1161</v>
      </c>
      <c r="E39" s="22" t="s">
        <v>1369</v>
      </c>
      <c r="F39" s="22" t="s">
        <v>1211</v>
      </c>
      <c r="H39" t="s">
        <v>279</v>
      </c>
      <c r="I39" t="s">
        <v>1113</v>
      </c>
      <c r="J39" s="22" t="s">
        <v>1370</v>
      </c>
      <c r="K39" s="22" t="s">
        <v>1371</v>
      </c>
      <c r="L39" s="22" t="s">
        <v>1372</v>
      </c>
      <c r="M39" t="s">
        <v>1167</v>
      </c>
      <c r="N39">
        <v>379</v>
      </c>
      <c r="O39">
        <v>400</v>
      </c>
      <c r="P39">
        <f>1000-250-250-250-250</f>
        <v>0</v>
      </c>
      <c r="Q39" s="23" t="s">
        <v>1373</v>
      </c>
      <c r="R39" s="23" t="s">
        <v>1374</v>
      </c>
      <c r="S39" t="s">
        <v>1375</v>
      </c>
    </row>
    <row r="40" spans="1:19" ht="32.4" x14ac:dyDescent="0.3">
      <c r="A40">
        <v>39</v>
      </c>
      <c r="B40">
        <v>2023</v>
      </c>
      <c r="D40" s="22" t="s">
        <v>1376</v>
      </c>
      <c r="E40" s="22" t="s">
        <v>1377</v>
      </c>
      <c r="F40" s="22" t="s">
        <v>1275</v>
      </c>
      <c r="H40" t="s">
        <v>43</v>
      </c>
      <c r="I40" t="s">
        <v>1178</v>
      </c>
      <c r="K40" s="22" t="s">
        <v>1378</v>
      </c>
      <c r="L40" s="22" t="s">
        <v>1379</v>
      </c>
      <c r="M40" t="s">
        <v>1167</v>
      </c>
      <c r="N40">
        <v>469</v>
      </c>
      <c r="O40">
        <v>480</v>
      </c>
      <c r="P40">
        <f>1000-500-500</f>
        <v>0</v>
      </c>
      <c r="Q40" s="23" t="s">
        <v>1380</v>
      </c>
      <c r="R40" s="23" t="s">
        <v>1381</v>
      </c>
      <c r="S40" t="s">
        <v>1382</v>
      </c>
    </row>
    <row r="41" spans="1:19" ht="32.4" x14ac:dyDescent="0.3">
      <c r="A41">
        <v>40</v>
      </c>
      <c r="B41">
        <v>2023</v>
      </c>
      <c r="D41" s="22" t="s">
        <v>1376</v>
      </c>
      <c r="E41" s="22" t="s">
        <v>1325</v>
      </c>
      <c r="F41" s="22" t="s">
        <v>1275</v>
      </c>
      <c r="H41" t="s">
        <v>43</v>
      </c>
      <c r="I41" t="s">
        <v>1178</v>
      </c>
      <c r="K41" s="22" t="s">
        <v>1378</v>
      </c>
      <c r="L41" s="22" t="s">
        <v>1383</v>
      </c>
      <c r="M41" t="s">
        <v>1167</v>
      </c>
      <c r="N41">
        <v>469</v>
      </c>
      <c r="O41">
        <v>480</v>
      </c>
      <c r="P41">
        <f>1000-250-500-250</f>
        <v>0</v>
      </c>
      <c r="Q41" s="23" t="s">
        <v>1384</v>
      </c>
      <c r="R41" s="23" t="s">
        <v>1385</v>
      </c>
      <c r="S41" t="s">
        <v>1386</v>
      </c>
    </row>
    <row r="42" spans="1:19" x14ac:dyDescent="0.3">
      <c r="A42">
        <v>41</v>
      </c>
      <c r="B42">
        <v>2023</v>
      </c>
      <c r="D42" s="22" t="s">
        <v>1127</v>
      </c>
      <c r="E42" s="22" t="s">
        <v>1387</v>
      </c>
      <c r="F42" s="22" t="s">
        <v>1388</v>
      </c>
      <c r="H42" t="s">
        <v>53</v>
      </c>
      <c r="I42" t="s">
        <v>1113</v>
      </c>
      <c r="J42" s="22" t="s">
        <v>1389</v>
      </c>
      <c r="K42" s="22" t="s">
        <v>1390</v>
      </c>
      <c r="M42" s="22" t="s">
        <v>1391</v>
      </c>
      <c r="N42">
        <v>421</v>
      </c>
      <c r="O42">
        <v>521</v>
      </c>
      <c r="P42">
        <f>5000-1000-1000-500-250-250-500-250-250-500-500</f>
        <v>0</v>
      </c>
      <c r="Q42" s="23" t="s">
        <v>1392</v>
      </c>
      <c r="R42" s="23" t="s">
        <v>1393</v>
      </c>
    </row>
    <row r="43" spans="1:19" x14ac:dyDescent="0.3">
      <c r="A43">
        <v>42</v>
      </c>
      <c r="B43">
        <v>2023</v>
      </c>
      <c r="E43" s="22" t="s">
        <v>1217</v>
      </c>
      <c r="F43" s="22" t="s">
        <v>1394</v>
      </c>
      <c r="H43" t="s">
        <v>304</v>
      </c>
      <c r="I43" t="s">
        <v>1395</v>
      </c>
      <c r="J43" s="22" t="s">
        <v>1396</v>
      </c>
      <c r="K43" s="22" t="s">
        <v>1397</v>
      </c>
      <c r="L43" s="22" t="s">
        <v>1398</v>
      </c>
      <c r="M43" s="22" t="s">
        <v>1391</v>
      </c>
      <c r="N43">
        <v>351</v>
      </c>
      <c r="O43">
        <v>501</v>
      </c>
      <c r="P43">
        <f>5000-500-500-500-250-250-500-500-500-500-250-750</f>
        <v>0</v>
      </c>
      <c r="Q43" s="23" t="s">
        <v>1399</v>
      </c>
      <c r="R43" t="s">
        <v>1400</v>
      </c>
    </row>
    <row r="44" spans="1:19" ht="48.6" x14ac:dyDescent="0.3">
      <c r="A44">
        <v>43</v>
      </c>
      <c r="B44">
        <v>2023</v>
      </c>
      <c r="D44" s="22" t="s">
        <v>1127</v>
      </c>
      <c r="E44" s="22" t="s">
        <v>1249</v>
      </c>
      <c r="F44" s="22" t="s">
        <v>1250</v>
      </c>
      <c r="G44" s="22" t="s">
        <v>1401</v>
      </c>
      <c r="H44" t="s">
        <v>53</v>
      </c>
      <c r="I44" t="s">
        <v>976</v>
      </c>
      <c r="J44" s="22" t="s">
        <v>1402</v>
      </c>
      <c r="K44" s="22" t="s">
        <v>1403</v>
      </c>
      <c r="L44" s="22" t="s">
        <v>1404</v>
      </c>
      <c r="M44" s="22" t="s">
        <v>1117</v>
      </c>
      <c r="N44">
        <v>445</v>
      </c>
      <c r="O44">
        <v>470</v>
      </c>
      <c r="P44">
        <f>5000-1000-250-250-250-500-500-500-250-250-250-500-500</f>
        <v>0</v>
      </c>
      <c r="Q44" s="23" t="s">
        <v>1405</v>
      </c>
      <c r="R44" s="23" t="s">
        <v>1406</v>
      </c>
      <c r="S44" t="s">
        <v>1407</v>
      </c>
    </row>
    <row r="45" spans="1:19" ht="32.4" x14ac:dyDescent="0.3">
      <c r="A45">
        <v>44</v>
      </c>
      <c r="B45">
        <v>2023</v>
      </c>
      <c r="D45" s="22" t="s">
        <v>1127</v>
      </c>
      <c r="E45" s="22" t="s">
        <v>1408</v>
      </c>
      <c r="F45" s="22" t="s">
        <v>1409</v>
      </c>
      <c r="G45" s="22" t="s">
        <v>1410</v>
      </c>
      <c r="H45" t="s">
        <v>53</v>
      </c>
      <c r="I45" t="s">
        <v>1411</v>
      </c>
      <c r="J45" s="22" t="s">
        <v>1389</v>
      </c>
      <c r="K45" s="22" t="s">
        <v>1412</v>
      </c>
      <c r="M45" s="22" t="s">
        <v>1117</v>
      </c>
      <c r="N45">
        <v>430</v>
      </c>
      <c r="O45">
        <v>450</v>
      </c>
      <c r="P45">
        <f>5000-1000-1000-250-250-250-250-500-500-1000+250-250</f>
        <v>0</v>
      </c>
      <c r="Q45" s="23" t="s">
        <v>1413</v>
      </c>
      <c r="R45" s="23" t="s">
        <v>1414</v>
      </c>
      <c r="S45" t="s">
        <v>1415</v>
      </c>
    </row>
    <row r="46" spans="1:19" ht="32.4" x14ac:dyDescent="0.3">
      <c r="A46">
        <v>45</v>
      </c>
      <c r="B46">
        <v>2022</v>
      </c>
      <c r="E46" s="22" t="s">
        <v>1369</v>
      </c>
      <c r="F46" s="22" t="s">
        <v>1416</v>
      </c>
      <c r="G46" s="22" t="s">
        <v>1417</v>
      </c>
      <c r="H46" t="s">
        <v>353</v>
      </c>
      <c r="I46" t="s">
        <v>1411</v>
      </c>
      <c r="J46" s="22" t="s">
        <v>1418</v>
      </c>
      <c r="K46" s="22" t="s">
        <v>1419</v>
      </c>
      <c r="L46" s="22" t="s">
        <v>1420</v>
      </c>
      <c r="M46" s="22" t="s">
        <v>1117</v>
      </c>
      <c r="N46">
        <v>580</v>
      </c>
      <c r="O46">
        <v>600</v>
      </c>
      <c r="P46">
        <f>5000-250-500-500-250-500-250-500-500-250-500-250</f>
        <v>750</v>
      </c>
      <c r="Q46" s="23" t="s">
        <v>1421</v>
      </c>
      <c r="R46" t="s">
        <v>1422</v>
      </c>
      <c r="S46" t="s">
        <v>1423</v>
      </c>
    </row>
    <row r="47" spans="1:19" ht="32.4" x14ac:dyDescent="0.3">
      <c r="A47">
        <v>46</v>
      </c>
      <c r="B47">
        <v>2023</v>
      </c>
      <c r="E47" s="22" t="s">
        <v>1424</v>
      </c>
      <c r="F47" s="22" t="s">
        <v>1425</v>
      </c>
      <c r="G47" s="22" t="s">
        <v>1426</v>
      </c>
      <c r="H47" t="s">
        <v>353</v>
      </c>
      <c r="I47" t="s">
        <v>1178</v>
      </c>
      <c r="J47" s="22" t="s">
        <v>1427</v>
      </c>
      <c r="K47" s="22" t="s">
        <v>1428</v>
      </c>
      <c r="L47" s="22" t="s">
        <v>1429</v>
      </c>
      <c r="M47" s="22" t="s">
        <v>1117</v>
      </c>
      <c r="N47">
        <v>470</v>
      </c>
      <c r="O47">
        <v>490</v>
      </c>
      <c r="P47">
        <f>5000-1000-250-500-250-250-500-250-500-500-1000</f>
        <v>0</v>
      </c>
      <c r="Q47" s="23" t="s">
        <v>1430</v>
      </c>
      <c r="R47" s="23" t="s">
        <v>1431</v>
      </c>
      <c r="S47" t="s">
        <v>1432</v>
      </c>
    </row>
    <row r="48" spans="1:19" x14ac:dyDescent="0.3">
      <c r="A48">
        <v>47</v>
      </c>
      <c r="B48">
        <v>2023</v>
      </c>
      <c r="C48" s="22" t="s">
        <v>1300</v>
      </c>
      <c r="D48" s="22" t="s">
        <v>1127</v>
      </c>
      <c r="E48" s="22" t="s">
        <v>1307</v>
      </c>
      <c r="F48" s="22" t="s">
        <v>1433</v>
      </c>
      <c r="G48" s="22" t="s">
        <v>1147</v>
      </c>
      <c r="H48" t="s">
        <v>53</v>
      </c>
      <c r="I48" t="s">
        <v>1113</v>
      </c>
      <c r="J48" s="22" t="s">
        <v>1434</v>
      </c>
      <c r="K48" s="22" t="s">
        <v>1180</v>
      </c>
      <c r="L48" s="22" t="s">
        <v>1181</v>
      </c>
      <c r="M48" s="22" t="s">
        <v>1182</v>
      </c>
      <c r="N48">
        <v>440</v>
      </c>
      <c r="O48">
        <v>520</v>
      </c>
      <c r="P48">
        <f>5000-500+5000-250-250-250-400-250-600-250-250-500-250-500-500-500-500-250-750-750-500-250-500-500+250-250-500-250</f>
        <v>0</v>
      </c>
      <c r="Q48" s="23" t="s">
        <v>1435</v>
      </c>
      <c r="R48" s="23" t="s">
        <v>1436</v>
      </c>
    </row>
    <row r="49" spans="1:19" x14ac:dyDescent="0.3">
      <c r="A49">
        <v>48</v>
      </c>
      <c r="H49" t="s">
        <v>1093</v>
      </c>
      <c r="I49" t="s">
        <v>1178</v>
      </c>
      <c r="J49" t="s">
        <v>1437</v>
      </c>
      <c r="L49" s="22" t="s">
        <v>1438</v>
      </c>
      <c r="M49" s="22" t="s">
        <v>1439</v>
      </c>
      <c r="N49">
        <v>600</v>
      </c>
      <c r="O49">
        <v>650</v>
      </c>
      <c r="P49">
        <f>2000-500-500-500-500</f>
        <v>0</v>
      </c>
      <c r="Q49" s="23" t="s">
        <v>1440</v>
      </c>
      <c r="R49" s="23" t="s">
        <v>1441</v>
      </c>
    </row>
    <row r="50" spans="1:19" ht="81" x14ac:dyDescent="0.3">
      <c r="A50">
        <v>49</v>
      </c>
      <c r="B50">
        <v>2023</v>
      </c>
      <c r="H50" t="s">
        <v>1442</v>
      </c>
      <c r="I50" t="s">
        <v>1178</v>
      </c>
      <c r="J50" s="22" t="s">
        <v>1443</v>
      </c>
      <c r="K50" s="22" t="s">
        <v>1444</v>
      </c>
      <c r="L50" s="22" t="s">
        <v>1221</v>
      </c>
      <c r="M50" s="22" t="s">
        <v>1445</v>
      </c>
      <c r="N50">
        <v>751</v>
      </c>
      <c r="O50">
        <v>800</v>
      </c>
      <c r="P50">
        <f>5000-500-500-1000-500-2500</f>
        <v>0</v>
      </c>
      <c r="Q50" s="23" t="s">
        <v>1446</v>
      </c>
      <c r="R50" s="23" t="s">
        <v>1447</v>
      </c>
    </row>
    <row r="51" spans="1:19" x14ac:dyDescent="0.3">
      <c r="A51">
        <v>50</v>
      </c>
      <c r="B51">
        <v>2023</v>
      </c>
      <c r="D51" s="22" t="s">
        <v>1127</v>
      </c>
      <c r="H51" t="s">
        <v>53</v>
      </c>
      <c r="I51" t="s">
        <v>1113</v>
      </c>
      <c r="J51" s="22" t="s">
        <v>1212</v>
      </c>
      <c r="K51" s="22" t="s">
        <v>1448</v>
      </c>
      <c r="M51" s="22" t="s">
        <v>1117</v>
      </c>
      <c r="P51">
        <v>0</v>
      </c>
      <c r="Q51" s="23" t="s">
        <v>1449</v>
      </c>
      <c r="R51" s="23" t="s">
        <v>1450</v>
      </c>
    </row>
    <row r="52" spans="1:19" x14ac:dyDescent="0.3">
      <c r="A52">
        <v>51</v>
      </c>
      <c r="B52">
        <v>2023</v>
      </c>
      <c r="H52" t="s">
        <v>37</v>
      </c>
      <c r="I52" t="s">
        <v>1120</v>
      </c>
      <c r="K52" s="22" t="s">
        <v>1451</v>
      </c>
      <c r="M52" s="22" t="s">
        <v>1123</v>
      </c>
      <c r="P52">
        <v>0</v>
      </c>
      <c r="Q52" s="23" t="s">
        <v>1452</v>
      </c>
      <c r="R52" s="23" t="s">
        <v>1453</v>
      </c>
    </row>
    <row r="53" spans="1:19" x14ac:dyDescent="0.3">
      <c r="A53">
        <v>52</v>
      </c>
      <c r="B53">
        <v>2023</v>
      </c>
      <c r="H53" t="s">
        <v>37</v>
      </c>
      <c r="I53" t="s">
        <v>1120</v>
      </c>
      <c r="K53" s="22" t="s">
        <v>1454</v>
      </c>
      <c r="M53" s="22" t="s">
        <v>1123</v>
      </c>
      <c r="P53">
        <v>0</v>
      </c>
      <c r="Q53" s="23" t="s">
        <v>1452</v>
      </c>
      <c r="R53" s="23" t="s">
        <v>1455</v>
      </c>
    </row>
    <row r="54" spans="1:19" ht="32.4" x14ac:dyDescent="0.3">
      <c r="A54">
        <v>53</v>
      </c>
      <c r="B54">
        <v>2023</v>
      </c>
      <c r="H54" t="s">
        <v>53</v>
      </c>
      <c r="I54" t="s">
        <v>1456</v>
      </c>
      <c r="J54" s="22" t="s">
        <v>1389</v>
      </c>
      <c r="K54" s="22" t="s">
        <v>1457</v>
      </c>
      <c r="L54" s="22" t="s">
        <v>1458</v>
      </c>
      <c r="M54" s="22" t="s">
        <v>1439</v>
      </c>
      <c r="N54">
        <v>590</v>
      </c>
      <c r="O54">
        <v>640</v>
      </c>
      <c r="P54">
        <f>5000-250-250-2000-250-250-250-500-1000-250</f>
        <v>0</v>
      </c>
      <c r="Q54" s="23" t="s">
        <v>1459</v>
      </c>
      <c r="R54" s="23" t="s">
        <v>1460</v>
      </c>
      <c r="S54" t="s">
        <v>1461</v>
      </c>
    </row>
    <row r="55" spans="1:19" ht="97.2" x14ac:dyDescent="0.3">
      <c r="A55">
        <v>54</v>
      </c>
      <c r="B55">
        <v>2023</v>
      </c>
      <c r="D55" s="22" t="s">
        <v>1462</v>
      </c>
      <c r="E55" s="22" t="s">
        <v>1217</v>
      </c>
      <c r="F55" s="22" t="s">
        <v>1301</v>
      </c>
      <c r="H55" t="s">
        <v>37</v>
      </c>
      <c r="I55" t="s">
        <v>1334</v>
      </c>
      <c r="J55" s="22" t="s">
        <v>1463</v>
      </c>
      <c r="K55" s="22" t="s">
        <v>1464</v>
      </c>
      <c r="L55" s="22" t="s">
        <v>1372</v>
      </c>
      <c r="M55" s="22" t="s">
        <v>1465</v>
      </c>
      <c r="N55">
        <v>650</v>
      </c>
      <c r="O55">
        <v>700</v>
      </c>
      <c r="P55">
        <f>2000-250-500-500-500-250+1000</f>
        <v>1000</v>
      </c>
      <c r="Q55" s="23" t="s">
        <v>1466</v>
      </c>
      <c r="R55" s="23" t="s">
        <v>1467</v>
      </c>
      <c r="S55" s="111" t="s">
        <v>1468</v>
      </c>
    </row>
    <row r="56" spans="1:19" x14ac:dyDescent="0.3">
      <c r="A56">
        <v>55</v>
      </c>
      <c r="B56">
        <v>2023</v>
      </c>
      <c r="D56" s="22" t="s">
        <v>1469</v>
      </c>
      <c r="H56" t="s">
        <v>53</v>
      </c>
      <c r="I56" t="s">
        <v>1178</v>
      </c>
      <c r="J56" s="22" t="s">
        <v>1470</v>
      </c>
      <c r="K56" s="22" t="s">
        <v>1471</v>
      </c>
      <c r="L56" s="22" t="s">
        <v>1133</v>
      </c>
      <c r="M56" s="22" t="s">
        <v>1445</v>
      </c>
      <c r="N56">
        <v>345</v>
      </c>
      <c r="O56">
        <v>360</v>
      </c>
      <c r="P56">
        <f>5000-500-500-500-500-1000-250-500-250-500-500</f>
        <v>0</v>
      </c>
      <c r="Q56" s="23" t="s">
        <v>1472</v>
      </c>
      <c r="R56" s="23" t="s">
        <v>1473</v>
      </c>
    </row>
    <row r="57" spans="1:19" ht="32.4" x14ac:dyDescent="0.3">
      <c r="A57">
        <v>56</v>
      </c>
      <c r="B57">
        <v>2023</v>
      </c>
      <c r="D57" s="22" t="s">
        <v>1154</v>
      </c>
      <c r="H57" t="s">
        <v>70</v>
      </c>
      <c r="I57" t="s">
        <v>985</v>
      </c>
      <c r="J57" s="22" t="s">
        <v>1474</v>
      </c>
      <c r="K57" s="22" t="s">
        <v>1475</v>
      </c>
      <c r="M57" s="22" t="s">
        <v>1117</v>
      </c>
      <c r="N57">
        <v>310</v>
      </c>
      <c r="O57">
        <v>320</v>
      </c>
      <c r="P57">
        <f>2000-500-500-250-500-250</f>
        <v>0</v>
      </c>
      <c r="Q57" s="23" t="s">
        <v>1476</v>
      </c>
      <c r="R57" s="23" t="s">
        <v>1477</v>
      </c>
      <c r="S57" t="s">
        <v>1478</v>
      </c>
    </row>
    <row r="58" spans="1:19" ht="32.4" x14ac:dyDescent="0.3">
      <c r="A58">
        <v>57</v>
      </c>
      <c r="B58">
        <v>2023</v>
      </c>
      <c r="H58" t="s">
        <v>1023</v>
      </c>
      <c r="I58" t="s">
        <v>985</v>
      </c>
      <c r="J58" s="22" t="s">
        <v>1479</v>
      </c>
      <c r="K58" s="22" t="s">
        <v>1480</v>
      </c>
      <c r="L58" s="22" t="s">
        <v>1481</v>
      </c>
      <c r="M58" s="22" t="s">
        <v>1117</v>
      </c>
      <c r="N58">
        <v>470</v>
      </c>
      <c r="O58">
        <v>480</v>
      </c>
      <c r="P58">
        <f>2000-250-250</f>
        <v>1500</v>
      </c>
      <c r="Q58" s="23" t="s">
        <v>1482</v>
      </c>
      <c r="R58" t="s">
        <v>1483</v>
      </c>
      <c r="S58" t="s">
        <v>1484</v>
      </c>
    </row>
    <row r="59" spans="1:19" ht="32.4" x14ac:dyDescent="0.3">
      <c r="A59">
        <v>58</v>
      </c>
      <c r="B59">
        <v>2024</v>
      </c>
      <c r="H59" t="s">
        <v>353</v>
      </c>
      <c r="I59" t="s">
        <v>1395</v>
      </c>
      <c r="K59" s="22" t="s">
        <v>1485</v>
      </c>
      <c r="L59" s="22" t="s">
        <v>1221</v>
      </c>
      <c r="M59" s="22" t="s">
        <v>1445</v>
      </c>
      <c r="N59">
        <v>845</v>
      </c>
      <c r="O59">
        <v>860</v>
      </c>
      <c r="P59">
        <f>2000-500-1000-500</f>
        <v>0</v>
      </c>
      <c r="Q59" s="23" t="s">
        <v>1486</v>
      </c>
      <c r="R59" s="23" t="s">
        <v>1487</v>
      </c>
    </row>
    <row r="60" spans="1:19" x14ac:dyDescent="0.3">
      <c r="A60">
        <v>59</v>
      </c>
      <c r="B60">
        <v>2023</v>
      </c>
      <c r="H60" t="s">
        <v>353</v>
      </c>
      <c r="I60" t="s">
        <v>1456</v>
      </c>
      <c r="J60" t="s">
        <v>1488</v>
      </c>
      <c r="K60" t="s">
        <v>1489</v>
      </c>
      <c r="L60" s="22" t="s">
        <v>1490</v>
      </c>
      <c r="M60" s="22" t="s">
        <v>1439</v>
      </c>
      <c r="N60">
        <v>790</v>
      </c>
      <c r="O60">
        <v>840</v>
      </c>
      <c r="P60">
        <f>2000-500-500-500-500</f>
        <v>0</v>
      </c>
      <c r="Q60" s="23" t="s">
        <v>1491</v>
      </c>
      <c r="R60" s="23" t="s">
        <v>1492</v>
      </c>
    </row>
    <row r="61" spans="1:19" s="127" customFormat="1" x14ac:dyDescent="0.3">
      <c r="A61" s="127">
        <v>60</v>
      </c>
      <c r="C61" s="128"/>
      <c r="D61" s="128"/>
      <c r="E61" s="128"/>
      <c r="F61" s="128"/>
      <c r="G61" s="128"/>
      <c r="H61" s="127" t="s">
        <v>1053</v>
      </c>
      <c r="I61" s="127" t="s">
        <v>985</v>
      </c>
      <c r="J61" s="128" t="s">
        <v>1493</v>
      </c>
      <c r="K61" s="127" t="s">
        <v>1494</v>
      </c>
      <c r="L61" s="128" t="s">
        <v>1495</v>
      </c>
      <c r="M61" s="128" t="s">
        <v>1439</v>
      </c>
      <c r="N61" s="127">
        <v>500</v>
      </c>
      <c r="O61" s="127">
        <v>550</v>
      </c>
      <c r="P61" s="127">
        <f>1000-500-500</f>
        <v>0</v>
      </c>
      <c r="Q61" s="129" t="s">
        <v>1496</v>
      </c>
      <c r="R61" s="127" t="s">
        <v>1497</v>
      </c>
    </row>
    <row r="62" spans="1:19" x14ac:dyDescent="0.3">
      <c r="A62">
        <v>61</v>
      </c>
      <c r="B62">
        <v>2024</v>
      </c>
      <c r="D62" s="22" t="s">
        <v>1127</v>
      </c>
      <c r="H62" t="s">
        <v>53</v>
      </c>
      <c r="I62" t="s">
        <v>1178</v>
      </c>
      <c r="J62" s="22" t="s">
        <v>1212</v>
      </c>
      <c r="K62" s="22" t="s">
        <v>1498</v>
      </c>
      <c r="L62" s="22" t="s">
        <v>1133</v>
      </c>
      <c r="M62" s="22" t="s">
        <v>1499</v>
      </c>
      <c r="N62">
        <v>417</v>
      </c>
      <c r="O62">
        <v>450</v>
      </c>
      <c r="P62">
        <v>0</v>
      </c>
      <c r="Q62" s="23" t="s">
        <v>1500</v>
      </c>
      <c r="R62" t="s">
        <v>1501</v>
      </c>
    </row>
    <row r="63" spans="1:19" x14ac:dyDescent="0.3">
      <c r="A63">
        <v>62</v>
      </c>
      <c r="B63">
        <v>2023</v>
      </c>
      <c r="H63" t="s">
        <v>304</v>
      </c>
      <c r="I63" t="s">
        <v>1113</v>
      </c>
      <c r="J63" s="22" t="s">
        <v>1502</v>
      </c>
      <c r="K63" s="22" t="s">
        <v>1503</v>
      </c>
      <c r="L63" s="22" t="s">
        <v>1504</v>
      </c>
      <c r="M63" s="22" t="s">
        <v>1439</v>
      </c>
      <c r="N63">
        <v>500</v>
      </c>
      <c r="O63">
        <v>550</v>
      </c>
      <c r="P63">
        <f>1000-250-500</f>
        <v>250</v>
      </c>
      <c r="Q63" s="23" t="s">
        <v>1505</v>
      </c>
      <c r="R63" t="s">
        <v>1506</v>
      </c>
    </row>
    <row r="64" spans="1:19" ht="32.4" x14ac:dyDescent="0.3">
      <c r="A64">
        <v>63</v>
      </c>
      <c r="B64">
        <v>2024</v>
      </c>
      <c r="D64" s="22" t="s">
        <v>1127</v>
      </c>
      <c r="E64" s="22" t="s">
        <v>1268</v>
      </c>
      <c r="F64" s="22" t="s">
        <v>1507</v>
      </c>
      <c r="G64" s="22" t="s">
        <v>1147</v>
      </c>
      <c r="H64" t="s">
        <v>53</v>
      </c>
      <c r="I64" t="s">
        <v>1113</v>
      </c>
      <c r="J64" s="22" t="s">
        <v>1192</v>
      </c>
      <c r="K64" s="22" t="s">
        <v>1220</v>
      </c>
      <c r="L64" s="22" t="s">
        <v>1221</v>
      </c>
      <c r="M64" s="22" t="s">
        <v>1182</v>
      </c>
      <c r="N64">
        <v>460</v>
      </c>
      <c r="O64">
        <v>540</v>
      </c>
      <c r="P64">
        <f>1500+1000-2000+5000-1500-2500-500-250-250-250+2000-1000-500-500</f>
        <v>250</v>
      </c>
      <c r="Q64" s="23" t="s">
        <v>1222</v>
      </c>
      <c r="R64" t="s">
        <v>1508</v>
      </c>
    </row>
    <row r="65" spans="1:17" ht="162" x14ac:dyDescent="0.3">
      <c r="A65">
        <v>64</v>
      </c>
      <c r="B65">
        <v>2024</v>
      </c>
      <c r="D65" s="22" t="s">
        <v>1127</v>
      </c>
      <c r="H65" t="s">
        <v>53</v>
      </c>
      <c r="I65" t="s">
        <v>985</v>
      </c>
      <c r="J65" s="22" t="s">
        <v>1206</v>
      </c>
      <c r="K65" s="22" t="s">
        <v>1207</v>
      </c>
      <c r="L65" s="22" t="s">
        <v>1509</v>
      </c>
      <c r="M65" s="22" t="s">
        <v>1182</v>
      </c>
      <c r="N65">
        <v>400</v>
      </c>
      <c r="O65">
        <v>480</v>
      </c>
      <c r="P65">
        <f>1000-250-500</f>
        <v>250</v>
      </c>
      <c r="Q65" s="23" t="s">
        <v>1510</v>
      </c>
    </row>
    <row r="66" spans="1:17" ht="32.4" x14ac:dyDescent="0.3">
      <c r="A66">
        <v>65</v>
      </c>
      <c r="B66">
        <v>2024</v>
      </c>
      <c r="D66" s="22" t="s">
        <v>1127</v>
      </c>
      <c r="H66" t="s">
        <v>53</v>
      </c>
      <c r="I66" t="s">
        <v>976</v>
      </c>
      <c r="J66" s="22" t="s">
        <v>1389</v>
      </c>
      <c r="K66" s="22" t="s">
        <v>1511</v>
      </c>
      <c r="L66" s="22" t="s">
        <v>1458</v>
      </c>
      <c r="M66" s="22" t="s">
        <v>1439</v>
      </c>
      <c r="N66">
        <v>440</v>
      </c>
      <c r="O66">
        <v>490</v>
      </c>
      <c r="P66">
        <f>1000-250-250-500</f>
        <v>0</v>
      </c>
      <c r="Q66" s="23" t="s">
        <v>1512</v>
      </c>
    </row>
    <row r="67" spans="1:17" ht="97.2" x14ac:dyDescent="0.3">
      <c r="A67">
        <v>66</v>
      </c>
      <c r="H67" t="s">
        <v>37</v>
      </c>
      <c r="I67" t="s">
        <v>1120</v>
      </c>
      <c r="J67" s="22" t="s">
        <v>1513</v>
      </c>
      <c r="K67" s="22" t="s">
        <v>1514</v>
      </c>
      <c r="L67" s="22" t="s">
        <v>1515</v>
      </c>
      <c r="M67" s="22" t="s">
        <v>1439</v>
      </c>
      <c r="N67">
        <v>530</v>
      </c>
      <c r="O67">
        <v>580</v>
      </c>
      <c r="P67">
        <f>1000-250-250-500</f>
        <v>0</v>
      </c>
      <c r="Q67" s="23" t="s">
        <v>1516</v>
      </c>
    </row>
    <row r="68" spans="1:17" x14ac:dyDescent="0.3">
      <c r="A68">
        <v>67</v>
      </c>
      <c r="B68">
        <v>2024</v>
      </c>
      <c r="H68" t="s">
        <v>53</v>
      </c>
      <c r="I68" t="s">
        <v>1113</v>
      </c>
      <c r="J68" s="22" t="s">
        <v>1212</v>
      </c>
      <c r="K68" s="22" t="s">
        <v>1517</v>
      </c>
      <c r="L68" s="22" t="s">
        <v>1518</v>
      </c>
      <c r="M68" s="22" t="s">
        <v>1182</v>
      </c>
      <c r="N68">
        <v>390</v>
      </c>
      <c r="O68">
        <v>470</v>
      </c>
      <c r="P68">
        <f>1000-250-750+1000-1000+1000</f>
        <v>1000</v>
      </c>
      <c r="Q68" s="23" t="s">
        <v>1519</v>
      </c>
    </row>
    <row r="69" spans="1:17" ht="32.4" x14ac:dyDescent="0.3">
      <c r="A69">
        <v>68</v>
      </c>
      <c r="B69">
        <v>2024</v>
      </c>
      <c r="H69" t="s">
        <v>353</v>
      </c>
      <c r="I69" t="s">
        <v>1456</v>
      </c>
      <c r="K69" s="22" t="s">
        <v>1520</v>
      </c>
      <c r="M69" s="22" t="s">
        <v>1521</v>
      </c>
      <c r="N69">
        <v>475</v>
      </c>
      <c r="O69">
        <v>530</v>
      </c>
      <c r="P69">
        <f>2000-250-500-250+1000-500-250-250-500-250+1000-500-250-250+2000-250+1000-250-250+1000</f>
        <v>3500</v>
      </c>
      <c r="Q69" s="23" t="s">
        <v>1522</v>
      </c>
    </row>
    <row r="70" spans="1:17" x14ac:dyDescent="0.3">
      <c r="A70">
        <v>69</v>
      </c>
      <c r="H70" t="s">
        <v>53</v>
      </c>
      <c r="I70" t="s">
        <v>1456</v>
      </c>
      <c r="J70" s="22" t="s">
        <v>1523</v>
      </c>
      <c r="K70" s="22" t="s">
        <v>589</v>
      </c>
      <c r="L70" s="22" t="s">
        <v>1524</v>
      </c>
      <c r="M70" s="22" t="s">
        <v>1167</v>
      </c>
      <c r="N70">
        <v>500</v>
      </c>
      <c r="O70">
        <v>550</v>
      </c>
      <c r="P70">
        <f>2000-1000-500-250+750-250-250-500</f>
        <v>0</v>
      </c>
      <c r="Q70" s="23" t="s">
        <v>1525</v>
      </c>
    </row>
    <row r="71" spans="1:17" ht="64.8" x14ac:dyDescent="0.3">
      <c r="A71">
        <v>70</v>
      </c>
      <c r="B71">
        <v>24</v>
      </c>
      <c r="H71" t="s">
        <v>1526</v>
      </c>
      <c r="I71" t="s">
        <v>1395</v>
      </c>
      <c r="J71" s="22" t="s">
        <v>1527</v>
      </c>
      <c r="K71" s="22" t="s">
        <v>1528</v>
      </c>
      <c r="N71">
        <v>400</v>
      </c>
      <c r="O71">
        <v>460</v>
      </c>
      <c r="P71">
        <f>2000-250-250-250-250</f>
        <v>1000</v>
      </c>
      <c r="Q71" s="23" t="s">
        <v>1529</v>
      </c>
    </row>
    <row r="72" spans="1:17" ht="64.8" x14ac:dyDescent="0.3">
      <c r="A72">
        <v>71</v>
      </c>
      <c r="H72" t="s">
        <v>74</v>
      </c>
      <c r="I72" t="s">
        <v>1113</v>
      </c>
      <c r="K72" s="22" t="s">
        <v>1530</v>
      </c>
      <c r="L72" s="22" t="s">
        <v>1531</v>
      </c>
      <c r="N72">
        <v>480</v>
      </c>
      <c r="O72">
        <v>530</v>
      </c>
      <c r="P72">
        <f>2000-250</f>
        <v>1750</v>
      </c>
      <c r="Q72" s="23" t="s">
        <v>1532</v>
      </c>
    </row>
    <row r="73" spans="1:17" ht="129.6" x14ac:dyDescent="0.3">
      <c r="A73">
        <v>72</v>
      </c>
      <c r="B73">
        <v>24</v>
      </c>
      <c r="H73" t="s">
        <v>304</v>
      </c>
      <c r="I73" t="s">
        <v>1113</v>
      </c>
      <c r="J73" s="22" t="s">
        <v>1533</v>
      </c>
      <c r="K73" s="22" t="s">
        <v>1534</v>
      </c>
      <c r="L73" s="22" t="s">
        <v>1535</v>
      </c>
      <c r="M73" s="22" t="s">
        <v>1391</v>
      </c>
      <c r="N73">
        <v>585</v>
      </c>
      <c r="O73">
        <v>605</v>
      </c>
      <c r="P73">
        <f>1000-500-500</f>
        <v>0</v>
      </c>
      <c r="Q73" s="23" t="s">
        <v>1536</v>
      </c>
    </row>
    <row r="74" spans="1:17" ht="81" x14ac:dyDescent="0.3">
      <c r="A74">
        <v>73</v>
      </c>
      <c r="B74">
        <v>24</v>
      </c>
      <c r="H74" t="s">
        <v>304</v>
      </c>
      <c r="I74" t="s">
        <v>1178</v>
      </c>
      <c r="J74" s="22" t="s">
        <v>1164</v>
      </c>
      <c r="K74" s="22" t="s">
        <v>1537</v>
      </c>
      <c r="L74" s="22" t="s">
        <v>1481</v>
      </c>
      <c r="M74" s="22" t="s">
        <v>1391</v>
      </c>
      <c r="N74">
        <v>580</v>
      </c>
      <c r="O74">
        <v>600</v>
      </c>
      <c r="P74">
        <f>1000-500-500</f>
        <v>0</v>
      </c>
      <c r="Q74" s="23" t="s">
        <v>1538</v>
      </c>
    </row>
    <row r="75" spans="1:17" ht="48.6" x14ac:dyDescent="0.3">
      <c r="A75">
        <v>74</v>
      </c>
      <c r="B75">
        <v>24</v>
      </c>
      <c r="H75" t="s">
        <v>304</v>
      </c>
      <c r="I75" t="s">
        <v>1178</v>
      </c>
      <c r="K75" s="22" t="s">
        <v>1539</v>
      </c>
      <c r="L75" s="22" t="s">
        <v>1540</v>
      </c>
      <c r="M75" s="22" t="s">
        <v>1391</v>
      </c>
      <c r="N75">
        <v>475</v>
      </c>
      <c r="O75">
        <v>495</v>
      </c>
      <c r="P75">
        <f>1000-500-500</f>
        <v>0</v>
      </c>
      <c r="Q75" s="23" t="s">
        <v>1541</v>
      </c>
    </row>
    <row r="76" spans="1:17" ht="81" x14ac:dyDescent="0.3">
      <c r="A76">
        <v>75</v>
      </c>
      <c r="B76">
        <v>24</v>
      </c>
      <c r="H76" t="s">
        <v>304</v>
      </c>
      <c r="I76" t="s">
        <v>1456</v>
      </c>
      <c r="J76" s="22" t="s">
        <v>1542</v>
      </c>
      <c r="K76" s="22" t="s">
        <v>1543</v>
      </c>
      <c r="M76" s="22" t="s">
        <v>1391</v>
      </c>
      <c r="N76">
        <v>425</v>
      </c>
      <c r="O76">
        <v>445</v>
      </c>
      <c r="P76">
        <f>2000-500-250-250-500-250-250+2000-1000-500-500</f>
        <v>0</v>
      </c>
      <c r="Q76" s="23" t="s">
        <v>1544</v>
      </c>
    </row>
    <row r="77" spans="1:17" ht="81" x14ac:dyDescent="0.3">
      <c r="A77">
        <v>76</v>
      </c>
      <c r="B77">
        <v>24</v>
      </c>
      <c r="H77" t="s">
        <v>304</v>
      </c>
      <c r="I77" t="s">
        <v>1113</v>
      </c>
      <c r="J77" s="22" t="s">
        <v>1164</v>
      </c>
      <c r="K77" s="22" t="s">
        <v>1545</v>
      </c>
      <c r="L77" s="125" t="s">
        <v>1546</v>
      </c>
      <c r="M77" s="22" t="s">
        <v>1391</v>
      </c>
      <c r="N77">
        <v>350</v>
      </c>
      <c r="O77">
        <v>370</v>
      </c>
      <c r="P77">
        <f>1000-500-250-250</f>
        <v>0</v>
      </c>
      <c r="Q77" s="23" t="s">
        <v>1547</v>
      </c>
    </row>
    <row r="78" spans="1:17" ht="81" x14ac:dyDescent="0.3">
      <c r="A78">
        <v>77</v>
      </c>
      <c r="B78">
        <v>24</v>
      </c>
      <c r="H78" t="s">
        <v>304</v>
      </c>
      <c r="I78" t="s">
        <v>1113</v>
      </c>
      <c r="J78" s="22" t="s">
        <v>1548</v>
      </c>
      <c r="K78" s="22" t="s">
        <v>1549</v>
      </c>
      <c r="L78" s="125" t="s">
        <v>1550</v>
      </c>
      <c r="M78" s="22" t="s">
        <v>1391</v>
      </c>
      <c r="N78">
        <v>340</v>
      </c>
      <c r="O78">
        <v>360</v>
      </c>
      <c r="P78">
        <f>1000-500-500</f>
        <v>0</v>
      </c>
      <c r="Q78" s="23" t="s">
        <v>1551</v>
      </c>
    </row>
    <row r="79" spans="1:17" ht="81" x14ac:dyDescent="0.3">
      <c r="A79">
        <v>78</v>
      </c>
      <c r="B79">
        <v>24</v>
      </c>
      <c r="H79" t="s">
        <v>53</v>
      </c>
      <c r="I79" t="s">
        <v>1395</v>
      </c>
      <c r="J79" s="22" t="s">
        <v>1389</v>
      </c>
      <c r="K79" s="22" t="s">
        <v>1552</v>
      </c>
      <c r="M79" s="22" t="s">
        <v>1391</v>
      </c>
      <c r="N79">
        <v>450</v>
      </c>
      <c r="O79">
        <v>470</v>
      </c>
      <c r="P79">
        <f>5000-500-500</f>
        <v>4000</v>
      </c>
      <c r="Q79" s="23" t="s">
        <v>1553</v>
      </c>
    </row>
    <row r="80" spans="1:17" ht="97.2" x14ac:dyDescent="0.3">
      <c r="A80">
        <v>79</v>
      </c>
      <c r="B80">
        <v>24</v>
      </c>
      <c r="H80" t="s">
        <v>53</v>
      </c>
      <c r="I80" t="s">
        <v>1178</v>
      </c>
      <c r="J80" s="22" t="s">
        <v>1554</v>
      </c>
      <c r="K80" s="22" t="s">
        <v>1555</v>
      </c>
      <c r="M80" s="22" t="s">
        <v>1391</v>
      </c>
      <c r="N80">
        <v>470</v>
      </c>
      <c r="O80">
        <v>490</v>
      </c>
      <c r="P80">
        <f>1000-500-500+2000-250-500-250+2000-500-500-500</f>
        <v>1500</v>
      </c>
      <c r="Q80" s="23" t="s">
        <v>1556</v>
      </c>
    </row>
    <row r="81" spans="1:18" ht="81" x14ac:dyDescent="0.3">
      <c r="A81">
        <v>80</v>
      </c>
      <c r="B81">
        <v>24</v>
      </c>
      <c r="H81" t="s">
        <v>53</v>
      </c>
      <c r="I81" t="s">
        <v>1113</v>
      </c>
      <c r="J81" s="22" t="s">
        <v>1557</v>
      </c>
      <c r="K81" s="22" t="s">
        <v>1558</v>
      </c>
      <c r="M81" s="22" t="s">
        <v>1391</v>
      </c>
      <c r="N81">
        <v>430</v>
      </c>
      <c r="O81">
        <v>450</v>
      </c>
      <c r="P81">
        <f>1000-500-500</f>
        <v>0</v>
      </c>
      <c r="Q81" s="23" t="s">
        <v>1559</v>
      </c>
    </row>
    <row r="82" spans="1:18" x14ac:dyDescent="0.3">
      <c r="A82">
        <v>81</v>
      </c>
      <c r="B82">
        <v>24</v>
      </c>
      <c r="H82" t="s">
        <v>297</v>
      </c>
      <c r="I82" t="s">
        <v>1178</v>
      </c>
      <c r="K82" s="22" t="s">
        <v>1560</v>
      </c>
      <c r="L82" s="22" t="s">
        <v>1504</v>
      </c>
      <c r="M82" s="22" t="s">
        <v>1140</v>
      </c>
      <c r="N82">
        <v>375</v>
      </c>
      <c r="O82">
        <v>400</v>
      </c>
      <c r="P82">
        <f>2000-500-500-250-250-500</f>
        <v>0</v>
      </c>
      <c r="Q82" s="23" t="s">
        <v>1561</v>
      </c>
    </row>
    <row r="83" spans="1:18" ht="32.4" x14ac:dyDescent="0.3">
      <c r="A83">
        <v>82</v>
      </c>
      <c r="H83" t="s">
        <v>53</v>
      </c>
      <c r="I83" t="s">
        <v>1334</v>
      </c>
      <c r="J83" s="22" t="s">
        <v>1562</v>
      </c>
      <c r="K83" s="22" t="s">
        <v>1563</v>
      </c>
      <c r="M83" s="22" t="s">
        <v>1465</v>
      </c>
      <c r="N83">
        <v>615</v>
      </c>
      <c r="O83">
        <v>700</v>
      </c>
      <c r="P83">
        <f>2000-250-250-500</f>
        <v>1000</v>
      </c>
      <c r="Q83" s="23" t="s">
        <v>1564</v>
      </c>
    </row>
    <row r="84" spans="1:18" x14ac:dyDescent="0.3">
      <c r="A84">
        <v>83</v>
      </c>
      <c r="B84">
        <v>24</v>
      </c>
      <c r="H84" t="s">
        <v>1565</v>
      </c>
      <c r="I84" t="s">
        <v>1113</v>
      </c>
      <c r="K84" s="22" t="s">
        <v>1566</v>
      </c>
      <c r="N84">
        <v>365</v>
      </c>
      <c r="O84">
        <v>400</v>
      </c>
      <c r="P84">
        <f>5000-500-1000-500-250-250-500-250-500</f>
        <v>1250</v>
      </c>
      <c r="Q84" s="23" t="s">
        <v>1567</v>
      </c>
    </row>
    <row r="85" spans="1:18" x14ac:dyDescent="0.3">
      <c r="A85">
        <v>84</v>
      </c>
      <c r="B85">
        <v>24</v>
      </c>
      <c r="H85" t="s">
        <v>353</v>
      </c>
      <c r="I85" t="s">
        <v>1334</v>
      </c>
      <c r="J85" s="22" t="s">
        <v>1568</v>
      </c>
      <c r="K85" s="22" t="s">
        <v>1569</v>
      </c>
      <c r="M85" s="22" t="s">
        <v>1465</v>
      </c>
      <c r="N85">
        <v>910</v>
      </c>
      <c r="O85">
        <v>950</v>
      </c>
      <c r="P85">
        <f>2000-500-1000+250-250-250-250</f>
        <v>0</v>
      </c>
      <c r="Q85" s="23" t="s">
        <v>1570</v>
      </c>
    </row>
    <row r="86" spans="1:18" ht="81" x14ac:dyDescent="0.3">
      <c r="A86">
        <v>85</v>
      </c>
      <c r="B86">
        <v>24</v>
      </c>
      <c r="H86" t="s">
        <v>53</v>
      </c>
      <c r="I86" t="s">
        <v>1178</v>
      </c>
      <c r="J86" t="s">
        <v>1554</v>
      </c>
      <c r="K86" s="22" t="s">
        <v>1571</v>
      </c>
      <c r="M86" s="22" t="s">
        <v>1391</v>
      </c>
      <c r="N86">
        <v>408</v>
      </c>
      <c r="O86">
        <v>430</v>
      </c>
      <c r="P86">
        <f>1000-250-750+2000-250-250-500-1000+1000+2000-250-500-500-500-500-500-250</f>
        <v>0</v>
      </c>
      <c r="Q86" s="23" t="s">
        <v>1572</v>
      </c>
    </row>
    <row r="87" spans="1:18" ht="81" x14ac:dyDescent="0.3">
      <c r="A87">
        <v>86</v>
      </c>
      <c r="B87">
        <v>24</v>
      </c>
      <c r="H87" t="s">
        <v>53</v>
      </c>
      <c r="I87" t="s">
        <v>1178</v>
      </c>
      <c r="J87" t="s">
        <v>1389</v>
      </c>
      <c r="K87" s="22" t="s">
        <v>1573</v>
      </c>
      <c r="M87" s="22" t="s">
        <v>1391</v>
      </c>
      <c r="N87">
        <v>453</v>
      </c>
      <c r="O87">
        <v>460</v>
      </c>
      <c r="P87">
        <f>2000-250-1750+2000-250-500+2000-250-250-500-500-500-250-500</f>
        <v>500</v>
      </c>
      <c r="Q87" s="23" t="s">
        <v>1574</v>
      </c>
    </row>
    <row r="88" spans="1:18" ht="97.2" x14ac:dyDescent="0.3">
      <c r="A88">
        <v>87</v>
      </c>
      <c r="H88" t="s">
        <v>53</v>
      </c>
      <c r="I88" t="s">
        <v>1113</v>
      </c>
      <c r="J88" t="s">
        <v>1562</v>
      </c>
      <c r="K88" s="22" t="s">
        <v>1575</v>
      </c>
      <c r="M88" s="22" t="s">
        <v>1391</v>
      </c>
      <c r="N88">
        <v>440</v>
      </c>
      <c r="O88">
        <v>490</v>
      </c>
      <c r="P88">
        <f>2000-500-500-500-250-250</f>
        <v>0</v>
      </c>
      <c r="Q88" s="23" t="s">
        <v>1576</v>
      </c>
    </row>
    <row r="89" spans="1:18" ht="81" x14ac:dyDescent="0.3">
      <c r="A89">
        <v>88</v>
      </c>
      <c r="H89" t="s">
        <v>53</v>
      </c>
      <c r="I89" t="s">
        <v>1113</v>
      </c>
      <c r="J89" t="s">
        <v>1389</v>
      </c>
      <c r="K89" s="22" t="s">
        <v>1577</v>
      </c>
      <c r="M89" s="22" t="s">
        <v>1391</v>
      </c>
      <c r="N89">
        <v>315</v>
      </c>
      <c r="O89">
        <v>350</v>
      </c>
      <c r="P89">
        <f>2000-500-500-500-500+5000-2500-500-500-500-500</f>
        <v>500</v>
      </c>
      <c r="Q89" s="23" t="s">
        <v>1578</v>
      </c>
    </row>
    <row r="90" spans="1:18" ht="81" x14ac:dyDescent="0.3">
      <c r="A90">
        <v>89</v>
      </c>
      <c r="H90" t="s">
        <v>53</v>
      </c>
      <c r="I90" t="s">
        <v>1178</v>
      </c>
      <c r="J90" t="s">
        <v>1206</v>
      </c>
      <c r="K90" s="22" t="s">
        <v>1579</v>
      </c>
      <c r="M90" s="22" t="s">
        <v>1391</v>
      </c>
      <c r="N90">
        <v>425</v>
      </c>
      <c r="O90">
        <v>450</v>
      </c>
      <c r="P90">
        <f>1000-500-250</f>
        <v>250</v>
      </c>
      <c r="Q90" s="23" t="s">
        <v>1580</v>
      </c>
    </row>
    <row r="91" spans="1:18" ht="81" x14ac:dyDescent="0.3">
      <c r="A91">
        <v>90</v>
      </c>
      <c r="H91" t="s">
        <v>53</v>
      </c>
      <c r="I91" t="s">
        <v>1178</v>
      </c>
      <c r="J91" t="s">
        <v>1581</v>
      </c>
      <c r="K91" s="22" t="s">
        <v>1582</v>
      </c>
      <c r="M91" s="22" t="s">
        <v>1391</v>
      </c>
      <c r="N91">
        <v>425</v>
      </c>
      <c r="O91">
        <v>450</v>
      </c>
      <c r="P91">
        <f>1000-250-250+1000-500-250-500</f>
        <v>250</v>
      </c>
      <c r="Q91" s="23" t="s">
        <v>1583</v>
      </c>
    </row>
    <row r="92" spans="1:18" s="34" customFormat="1" ht="97.2" x14ac:dyDescent="0.3">
      <c r="A92" s="34">
        <v>91</v>
      </c>
      <c r="B92" s="34">
        <v>2022</v>
      </c>
      <c r="C92" s="84"/>
      <c r="D92" s="84"/>
      <c r="E92" s="84" t="s">
        <v>1110</v>
      </c>
      <c r="F92" s="84" t="s">
        <v>1111</v>
      </c>
      <c r="G92" s="84" t="s">
        <v>1112</v>
      </c>
      <c r="H92" s="34" t="s">
        <v>1058</v>
      </c>
      <c r="I92" s="34" t="s">
        <v>1113</v>
      </c>
      <c r="J92" s="34" t="s">
        <v>1114</v>
      </c>
      <c r="K92" s="34" t="s">
        <v>1115</v>
      </c>
      <c r="L92" s="84" t="s">
        <v>1116</v>
      </c>
      <c r="M92" s="34" t="s">
        <v>1117</v>
      </c>
      <c r="N92" s="34">
        <v>330</v>
      </c>
      <c r="O92" s="34">
        <v>390</v>
      </c>
      <c r="P92" s="34">
        <f>2000-250</f>
        <v>1750</v>
      </c>
      <c r="Q92" s="85" t="s">
        <v>1850</v>
      </c>
      <c r="R92" s="34" t="s">
        <v>1584</v>
      </c>
    </row>
    <row r="93" spans="1:18" ht="81" x14ac:dyDescent="0.3">
      <c r="A93">
        <v>92</v>
      </c>
      <c r="B93">
        <v>2024</v>
      </c>
      <c r="E93" s="22" t="s">
        <v>1268</v>
      </c>
      <c r="G93" s="22" t="s">
        <v>1112</v>
      </c>
      <c r="H93" t="s">
        <v>53</v>
      </c>
      <c r="I93" t="s">
        <v>1113</v>
      </c>
      <c r="J93" t="s">
        <v>1389</v>
      </c>
      <c r="K93" s="22" t="s">
        <v>1585</v>
      </c>
      <c r="N93">
        <v>400</v>
      </c>
      <c r="O93">
        <v>460</v>
      </c>
      <c r="P93">
        <f>2000-500-1000-500</f>
        <v>0</v>
      </c>
      <c r="Q93" s="23" t="s">
        <v>1830</v>
      </c>
      <c r="R93" t="s">
        <v>1586</v>
      </c>
    </row>
    <row r="94" spans="1:18" ht="81" x14ac:dyDescent="0.3">
      <c r="A94">
        <v>93</v>
      </c>
      <c r="B94">
        <v>2024</v>
      </c>
      <c r="H94" t="s">
        <v>279</v>
      </c>
      <c r="I94" t="s">
        <v>976</v>
      </c>
      <c r="J94" t="s">
        <v>1370</v>
      </c>
      <c r="K94" s="22" t="s">
        <v>1371</v>
      </c>
      <c r="N94">
        <v>400</v>
      </c>
      <c r="O94">
        <v>460</v>
      </c>
      <c r="P94">
        <f>1000-500-500</f>
        <v>0</v>
      </c>
      <c r="Q94" s="23" t="s">
        <v>1829</v>
      </c>
    </row>
    <row r="95" spans="1:18" ht="81" x14ac:dyDescent="0.3">
      <c r="A95">
        <v>94</v>
      </c>
      <c r="B95">
        <v>2024</v>
      </c>
      <c r="H95" t="s">
        <v>562</v>
      </c>
      <c r="I95" t="s">
        <v>985</v>
      </c>
      <c r="J95" t="s">
        <v>1587</v>
      </c>
      <c r="K95" s="22" t="s">
        <v>1588</v>
      </c>
      <c r="L95" s="22" t="s">
        <v>1589</v>
      </c>
      <c r="M95" t="s">
        <v>1590</v>
      </c>
      <c r="N95">
        <v>390</v>
      </c>
      <c r="O95">
        <v>450</v>
      </c>
      <c r="P95">
        <f>3000-500-500-500</f>
        <v>1500</v>
      </c>
      <c r="Q95" s="23" t="s">
        <v>1828</v>
      </c>
      <c r="R95" t="s">
        <v>1591</v>
      </c>
    </row>
    <row r="96" spans="1:18" x14ac:dyDescent="0.3">
      <c r="A96">
        <v>95</v>
      </c>
      <c r="B96">
        <v>2024</v>
      </c>
      <c r="E96" s="22" t="s">
        <v>1170</v>
      </c>
      <c r="F96" s="22" t="s">
        <v>1592</v>
      </c>
      <c r="H96" t="s">
        <v>304</v>
      </c>
      <c r="I96" t="s">
        <v>1071</v>
      </c>
      <c r="J96" s="135" t="s">
        <v>1533</v>
      </c>
      <c r="K96" s="22" t="s">
        <v>1593</v>
      </c>
      <c r="L96" s="22" t="s">
        <v>1504</v>
      </c>
      <c r="M96" t="s">
        <v>1391</v>
      </c>
      <c r="N96">
        <v>480</v>
      </c>
      <c r="O96">
        <v>500</v>
      </c>
      <c r="P96">
        <f>1000-250-500+1000</f>
        <v>1250</v>
      </c>
      <c r="Q96" s="23" t="s">
        <v>1594</v>
      </c>
      <c r="R96" t="s">
        <v>1595</v>
      </c>
    </row>
    <row r="97" spans="1:17" ht="81" x14ac:dyDescent="0.3">
      <c r="A97">
        <v>96</v>
      </c>
      <c r="B97">
        <v>2024</v>
      </c>
      <c r="H97" t="s">
        <v>1565</v>
      </c>
      <c r="I97" t="s">
        <v>1178</v>
      </c>
      <c r="J97" t="s">
        <v>1596</v>
      </c>
      <c r="K97" t="s">
        <v>1597</v>
      </c>
      <c r="L97" s="22" t="s">
        <v>1598</v>
      </c>
      <c r="N97">
        <v>490</v>
      </c>
      <c r="O97">
        <v>550</v>
      </c>
      <c r="P97">
        <f>1000-500+1000-500</f>
        <v>1000</v>
      </c>
      <c r="Q97" s="23" t="s">
        <v>1827</v>
      </c>
    </row>
    <row r="98" spans="1:17" ht="81" x14ac:dyDescent="0.3">
      <c r="A98">
        <v>97</v>
      </c>
      <c r="B98">
        <v>2024</v>
      </c>
      <c r="H98" t="s">
        <v>53</v>
      </c>
      <c r="I98" t="s">
        <v>1178</v>
      </c>
      <c r="J98" t="s">
        <v>1599</v>
      </c>
      <c r="K98" s="22" t="s">
        <v>1600</v>
      </c>
      <c r="M98" t="s">
        <v>1117</v>
      </c>
      <c r="N98">
        <v>360</v>
      </c>
      <c r="O98">
        <v>420</v>
      </c>
      <c r="P98">
        <f>1000-500</f>
        <v>500</v>
      </c>
      <c r="Q98" s="23" t="s">
        <v>1831</v>
      </c>
    </row>
    <row r="99" spans="1:17" ht="97.2" x14ac:dyDescent="0.3">
      <c r="A99">
        <v>98</v>
      </c>
      <c r="B99">
        <v>2024</v>
      </c>
      <c r="H99" t="s">
        <v>37</v>
      </c>
      <c r="I99" t="s">
        <v>1137</v>
      </c>
      <c r="J99" t="s">
        <v>1463</v>
      </c>
      <c r="K99" s="22" t="s">
        <v>1601</v>
      </c>
      <c r="M99" t="s">
        <v>1117</v>
      </c>
      <c r="N99">
        <v>380</v>
      </c>
      <c r="O99">
        <v>440</v>
      </c>
      <c r="Q99" s="23" t="s">
        <v>1826</v>
      </c>
    </row>
    <row r="100" spans="1:17" ht="32.4" x14ac:dyDescent="0.3">
      <c r="A100">
        <v>99</v>
      </c>
      <c r="B100">
        <v>2024</v>
      </c>
      <c r="H100" t="s">
        <v>70</v>
      </c>
      <c r="K100" s="22" t="s">
        <v>1602</v>
      </c>
      <c r="N100">
        <v>390</v>
      </c>
      <c r="O100">
        <v>450</v>
      </c>
      <c r="P100">
        <f>2000-1000-1000</f>
        <v>0</v>
      </c>
      <c r="Q100" s="23" t="s">
        <v>1603</v>
      </c>
    </row>
    <row r="101" spans="1:17" ht="81" x14ac:dyDescent="0.3">
      <c r="A101">
        <v>100</v>
      </c>
      <c r="B101">
        <v>2024</v>
      </c>
      <c r="H101" t="s">
        <v>53</v>
      </c>
      <c r="K101" s="22" t="s">
        <v>1604</v>
      </c>
      <c r="N101">
        <v>400</v>
      </c>
      <c r="O101">
        <v>460</v>
      </c>
      <c r="P101">
        <f>1000-500-500</f>
        <v>0</v>
      </c>
      <c r="Q101" s="23" t="s">
        <v>1823</v>
      </c>
    </row>
    <row r="102" spans="1:17" ht="81" x14ac:dyDescent="0.3">
      <c r="A102">
        <v>101</v>
      </c>
      <c r="B102">
        <v>2024</v>
      </c>
      <c r="H102" t="s">
        <v>53</v>
      </c>
      <c r="I102" t="s">
        <v>1178</v>
      </c>
      <c r="J102" t="s">
        <v>1212</v>
      </c>
      <c r="K102" s="22" t="s">
        <v>1605</v>
      </c>
      <c r="N102">
        <v>400</v>
      </c>
      <c r="O102">
        <v>460</v>
      </c>
      <c r="P102">
        <f>1000-500</f>
        <v>500</v>
      </c>
      <c r="Q102" s="23" t="s">
        <v>1824</v>
      </c>
    </row>
    <row r="103" spans="1:17" ht="81" x14ac:dyDescent="0.3">
      <c r="A103">
        <v>102</v>
      </c>
      <c r="B103">
        <v>2024</v>
      </c>
      <c r="H103" t="s">
        <v>353</v>
      </c>
      <c r="I103" t="s">
        <v>1178</v>
      </c>
      <c r="K103" s="22" t="s">
        <v>1606</v>
      </c>
      <c r="N103">
        <v>500</v>
      </c>
      <c r="O103">
        <v>560</v>
      </c>
      <c r="P103">
        <f>1000-500-500</f>
        <v>0</v>
      </c>
      <c r="Q103" s="23" t="s">
        <v>1825</v>
      </c>
    </row>
    <row r="104" spans="1:17" ht="81" x14ac:dyDescent="0.3">
      <c r="A104">
        <v>103</v>
      </c>
      <c r="B104">
        <v>2024</v>
      </c>
      <c r="H104" t="s">
        <v>297</v>
      </c>
      <c r="I104" t="s">
        <v>1326</v>
      </c>
      <c r="K104" s="22" t="s">
        <v>1560</v>
      </c>
      <c r="N104">
        <v>355</v>
      </c>
      <c r="O104">
        <v>420</v>
      </c>
      <c r="P104">
        <f>2000-500-500-500</f>
        <v>500</v>
      </c>
      <c r="Q104" s="23" t="s">
        <v>1819</v>
      </c>
    </row>
    <row r="105" spans="1:17" ht="81" x14ac:dyDescent="0.3">
      <c r="A105">
        <v>104</v>
      </c>
      <c r="B105">
        <v>2024</v>
      </c>
      <c r="H105" t="s">
        <v>53</v>
      </c>
      <c r="I105" t="s">
        <v>1395</v>
      </c>
      <c r="J105" t="s">
        <v>1820</v>
      </c>
      <c r="K105" s="22" t="s">
        <v>1821</v>
      </c>
      <c r="N105">
        <v>450</v>
      </c>
      <c r="O105">
        <v>510</v>
      </c>
      <c r="P105">
        <f>2000-500-250</f>
        <v>1250</v>
      </c>
      <c r="Q105" s="23" t="s">
        <v>1822</v>
      </c>
    </row>
    <row r="106" spans="1:17" ht="81" x14ac:dyDescent="0.3">
      <c r="A106">
        <v>105</v>
      </c>
      <c r="H106" t="s">
        <v>53</v>
      </c>
      <c r="I106" t="s">
        <v>1178</v>
      </c>
      <c r="J106" t="s">
        <v>1928</v>
      </c>
      <c r="K106" t="s">
        <v>1929</v>
      </c>
      <c r="M106" t="s">
        <v>1391</v>
      </c>
      <c r="N106">
        <v>610</v>
      </c>
      <c r="O106">
        <v>610</v>
      </c>
      <c r="P106">
        <f>1000</f>
        <v>1000</v>
      </c>
      <c r="Q106" s="23" t="s">
        <v>1930</v>
      </c>
    </row>
    <row r="107" spans="1:17" ht="81" x14ac:dyDescent="0.3">
      <c r="A107">
        <v>106</v>
      </c>
      <c r="H107" t="s">
        <v>53</v>
      </c>
      <c r="I107" t="s">
        <v>1113</v>
      </c>
      <c r="J107" t="s">
        <v>1928</v>
      </c>
      <c r="K107" s="22" t="s">
        <v>1931</v>
      </c>
      <c r="M107" t="s">
        <v>1391</v>
      </c>
      <c r="N107">
        <v>530</v>
      </c>
      <c r="O107">
        <v>530</v>
      </c>
      <c r="P107">
        <f>2000-500-500</f>
        <v>1000</v>
      </c>
      <c r="Q107" s="23" t="s">
        <v>1932</v>
      </c>
    </row>
    <row r="108" spans="1:17" ht="81" x14ac:dyDescent="0.3">
      <c r="A108">
        <v>107</v>
      </c>
      <c r="H108" t="s">
        <v>53</v>
      </c>
      <c r="I108" t="s">
        <v>1113</v>
      </c>
      <c r="J108" t="s">
        <v>1933</v>
      </c>
      <c r="K108" s="22" t="s">
        <v>1934</v>
      </c>
      <c r="M108" t="s">
        <v>1391</v>
      </c>
      <c r="N108">
        <v>580</v>
      </c>
      <c r="O108">
        <v>580</v>
      </c>
      <c r="P108">
        <f>1000-500</f>
        <v>500</v>
      </c>
      <c r="Q108" s="23" t="s">
        <v>1936</v>
      </c>
    </row>
    <row r="109" spans="1:17" ht="81" x14ac:dyDescent="0.3">
      <c r="A109">
        <v>108</v>
      </c>
      <c r="H109" t="s">
        <v>53</v>
      </c>
      <c r="I109" t="s">
        <v>1178</v>
      </c>
      <c r="J109" t="s">
        <v>1599</v>
      </c>
      <c r="K109" s="22" t="s">
        <v>1934</v>
      </c>
      <c r="M109" t="s">
        <v>1391</v>
      </c>
      <c r="N109">
        <v>610</v>
      </c>
      <c r="O109">
        <v>610</v>
      </c>
      <c r="P109">
        <f>1000-500</f>
        <v>500</v>
      </c>
      <c r="Q109" s="23" t="s">
        <v>1935</v>
      </c>
    </row>
    <row r="110" spans="1:17" ht="81" x14ac:dyDescent="0.3">
      <c r="A110">
        <v>109</v>
      </c>
      <c r="H110" t="s">
        <v>53</v>
      </c>
      <c r="I110" t="s">
        <v>1113</v>
      </c>
      <c r="J110" t="s">
        <v>1937</v>
      </c>
      <c r="M110" t="s">
        <v>1391</v>
      </c>
      <c r="N110">
        <v>540</v>
      </c>
      <c r="O110">
        <v>540</v>
      </c>
      <c r="P110">
        <f>1000</f>
        <v>1000</v>
      </c>
      <c r="Q110" s="23" t="s">
        <v>1938</v>
      </c>
    </row>
    <row r="111" spans="1:17" ht="81" x14ac:dyDescent="0.3">
      <c r="A111">
        <v>110</v>
      </c>
      <c r="H111" t="s">
        <v>53</v>
      </c>
      <c r="I111" t="s">
        <v>1113</v>
      </c>
      <c r="J111" t="s">
        <v>1937</v>
      </c>
      <c r="K111" s="22" t="s">
        <v>1940</v>
      </c>
      <c r="M111" t="s">
        <v>1391</v>
      </c>
      <c r="N111">
        <v>460</v>
      </c>
      <c r="O111">
        <v>460</v>
      </c>
      <c r="P111">
        <f>5000-500</f>
        <v>4500</v>
      </c>
      <c r="Q111" s="23" t="s">
        <v>1939</v>
      </c>
    </row>
    <row r="112" spans="1:17" ht="97.2" x14ac:dyDescent="0.3">
      <c r="A112">
        <v>111</v>
      </c>
      <c r="H112" t="s">
        <v>53</v>
      </c>
      <c r="I112" t="s">
        <v>1113</v>
      </c>
      <c r="J112" t="s">
        <v>1945</v>
      </c>
      <c r="K112" s="22" t="s">
        <v>1946</v>
      </c>
      <c r="M112" t="s">
        <v>1117</v>
      </c>
      <c r="N112">
        <v>415</v>
      </c>
      <c r="O112">
        <v>470</v>
      </c>
      <c r="P112">
        <f>2000</f>
        <v>2000</v>
      </c>
      <c r="Q112" s="23" t="s">
        <v>1947</v>
      </c>
    </row>
    <row r="113" spans="1:17" ht="97.2" x14ac:dyDescent="0.3">
      <c r="A113">
        <v>112</v>
      </c>
      <c r="H113" t="s">
        <v>53</v>
      </c>
      <c r="I113" t="s">
        <v>1113</v>
      </c>
      <c r="J113" t="s">
        <v>1948</v>
      </c>
      <c r="K113" s="22" t="s">
        <v>1172</v>
      </c>
      <c r="M113" t="s">
        <v>1117</v>
      </c>
      <c r="N113">
        <v>435</v>
      </c>
      <c r="O113">
        <v>490</v>
      </c>
      <c r="P113">
        <f>2000-500+1000-500</f>
        <v>2000</v>
      </c>
      <c r="Q113" s="23" t="s">
        <v>1949</v>
      </c>
    </row>
    <row r="114" spans="1:17" ht="81" x14ac:dyDescent="0.3">
      <c r="A114">
        <v>113</v>
      </c>
      <c r="H114" t="s">
        <v>304</v>
      </c>
      <c r="I114" t="s">
        <v>1113</v>
      </c>
      <c r="J114" s="135" t="s">
        <v>1533</v>
      </c>
      <c r="K114" s="22" t="s">
        <v>1950</v>
      </c>
      <c r="M114" t="s">
        <v>1140</v>
      </c>
      <c r="N114">
        <v>345</v>
      </c>
      <c r="O114">
        <v>400</v>
      </c>
      <c r="P114">
        <f>2000</f>
        <v>2000</v>
      </c>
      <c r="Q114" s="23" t="s">
        <v>1951</v>
      </c>
    </row>
    <row r="115" spans="1:17" x14ac:dyDescent="0.3">
      <c r="A115">
        <v>114</v>
      </c>
      <c r="H115" t="s">
        <v>53</v>
      </c>
      <c r="I115" t="s">
        <v>1113</v>
      </c>
      <c r="J115" s="22" t="s">
        <v>1992</v>
      </c>
      <c r="N115">
        <v>450</v>
      </c>
      <c r="P115">
        <f>1000-500</f>
        <v>500</v>
      </c>
    </row>
    <row r="116" spans="1:17" x14ac:dyDescent="0.3">
      <c r="A116">
        <v>115</v>
      </c>
      <c r="H116" t="s">
        <v>53</v>
      </c>
      <c r="J116" t="s">
        <v>2000</v>
      </c>
      <c r="K116" s="22" t="s">
        <v>1993</v>
      </c>
      <c r="N116">
        <v>490</v>
      </c>
      <c r="P116">
        <f>1000</f>
        <v>1000</v>
      </c>
    </row>
    <row r="117" spans="1:17" ht="81" x14ac:dyDescent="0.3">
      <c r="A117">
        <v>116</v>
      </c>
      <c r="H117" t="s">
        <v>53</v>
      </c>
      <c r="I117" t="s">
        <v>1178</v>
      </c>
      <c r="J117" t="s">
        <v>1997</v>
      </c>
      <c r="K117" s="22" t="s">
        <v>1994</v>
      </c>
      <c r="M117" t="s">
        <v>1998</v>
      </c>
      <c r="N117">
        <v>440</v>
      </c>
      <c r="O117">
        <v>500</v>
      </c>
      <c r="P117">
        <f>2000</f>
        <v>2000</v>
      </c>
      <c r="Q117" s="23" t="s">
        <v>1999</v>
      </c>
    </row>
    <row r="118" spans="1:17" ht="81" x14ac:dyDescent="0.3">
      <c r="A118">
        <v>117</v>
      </c>
      <c r="B118">
        <v>2025</v>
      </c>
      <c r="H118" t="s">
        <v>53</v>
      </c>
      <c r="I118" t="s">
        <v>1178</v>
      </c>
      <c r="J118" s="140" t="s">
        <v>1991</v>
      </c>
      <c r="K118" s="22" t="s">
        <v>1995</v>
      </c>
      <c r="M118" t="s">
        <v>1998</v>
      </c>
      <c r="N118">
        <v>430</v>
      </c>
      <c r="O118">
        <v>490</v>
      </c>
      <c r="P118">
        <f>3000</f>
        <v>3000</v>
      </c>
      <c r="Q118" s="23" t="s">
        <v>1996</v>
      </c>
    </row>
    <row r="119" spans="1:17" x14ac:dyDescent="0.3">
      <c r="A119">
        <v>118</v>
      </c>
    </row>
    <row r="120" spans="1:17" x14ac:dyDescent="0.3">
      <c r="A120">
        <v>119</v>
      </c>
    </row>
    <row r="121" spans="1:17" x14ac:dyDescent="0.3">
      <c r="A121">
        <v>120</v>
      </c>
    </row>
    <row r="122" spans="1:17" x14ac:dyDescent="0.3">
      <c r="A122">
        <v>121</v>
      </c>
    </row>
    <row r="123" spans="1:17" x14ac:dyDescent="0.3">
      <c r="A123">
        <v>122</v>
      </c>
    </row>
    <row r="124" spans="1:17" x14ac:dyDescent="0.3">
      <c r="A124">
        <v>123</v>
      </c>
    </row>
    <row r="125" spans="1:17" x14ac:dyDescent="0.3">
      <c r="A125">
        <v>124</v>
      </c>
    </row>
    <row r="126" spans="1:17" x14ac:dyDescent="0.3">
      <c r="A126">
        <v>125</v>
      </c>
    </row>
    <row r="127" spans="1:17" x14ac:dyDescent="0.3">
      <c r="A127">
        <v>126</v>
      </c>
    </row>
    <row r="128" spans="1:17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</sheetData>
  <autoFilter ref="A1:R267" xr:uid="{279C4EAF-3754-4FE6-9831-9DBBCACF207E}">
    <sortState xmlns:xlrd2="http://schemas.microsoft.com/office/spreadsheetml/2017/richdata2" ref="A2:R267">
      <sortCondition ref="A1:A267"/>
    </sortState>
  </autoFilter>
  <phoneticPr fontId="1" type="noConversion"/>
  <conditionalFormatting sqref="A61 R61">
    <cfRule type="expression" dxfId="5" priority="19">
      <formula>AND(ISNUMBER($P49),$P49&lt;=0)</formula>
    </cfRule>
  </conditionalFormatting>
  <conditionalFormatting sqref="A2:R60 H61:J61 A62:R62 A63:P64 R63:R64 A65:R75 B76:R76 A76:A91 B77:K78 M77:R78 B79:R91 A92:R92 B93:R95 A93:A267 B96:I96 K96:R96 B97:R104 B105:I105 K105:R105 B106:R113 B114:I114 K114:R114 B115:J115 L115:R115 B116:R117 B118:I118 K118:R118 B119:R215">
    <cfRule type="expression" dxfId="4" priority="1">
      <formula>AND(ISNUMBER($P2),$P2 &gt; 2000)</formula>
    </cfRule>
    <cfRule type="expression" dxfId="3" priority="2">
      <formula>AND(ISNUMBER($P2),$P2&lt;=0)</formula>
    </cfRule>
    <cfRule type="expression" dxfId="2" priority="4">
      <formula>AND(ISNUMBER($P2),$P2&lt;=250)</formula>
    </cfRule>
  </conditionalFormatting>
  <conditionalFormatting sqref="M61:O61">
    <cfRule type="expression" dxfId="1" priority="3">
      <formula>AND(ISNUMBER($P61),$P61&lt;=0)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B65A1B-3F2C-428F-A467-82CD88A022A7}">
          <x14:formula1>
            <xm:f>menu!$A$2:$A$23</xm:f>
          </x14:formula1>
          <xm:sqref>H2:H60 H62:H1048576</xm:sqref>
        </x14:dataValidation>
        <x14:dataValidation type="list" allowBlank="1" showInputMessage="1" showErrorMessage="1" xr:uid="{FA3F9B7D-ADA6-42EA-BEF8-0CD9D478357F}">
          <x14:formula1>
            <xm:f>menu!$E$2:$E$19</xm:f>
          </x14:formula1>
          <xm:sqref>I2:I60 I62:I1048576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roasts</vt:lpstr>
      <vt:lpstr>tempo</vt:lpstr>
      <vt:lpstr>fire_control</vt:lpstr>
      <vt:lpstr>guide</vt:lpstr>
      <vt:lpstr>tips</vt:lpstr>
      <vt:lpstr>rate</vt:lpstr>
      <vt:lpstr>taste</vt:lpstr>
      <vt:lpstr>menu</vt:lpstr>
      <vt:lpstr>beans</vt:lpstr>
      <vt:lpstr>stock</vt:lpstr>
      <vt:lpstr>帳本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Zenyo Wu</dc:creator>
  <cp:keywords/>
  <dc:description/>
  <cp:lastModifiedBy>仁友 吳</cp:lastModifiedBy>
  <cp:revision/>
  <dcterms:created xsi:type="dcterms:W3CDTF">2023-10-23T02:52:44Z</dcterms:created>
  <dcterms:modified xsi:type="dcterms:W3CDTF">2025-07-07T07:35:50Z</dcterms:modified>
  <cp:category/>
  <cp:contentStatus/>
</cp:coreProperties>
</file>