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ai\Documents\6 семестр\Экология\"/>
    </mc:Choice>
  </mc:AlternateContent>
  <xr:revisionPtr revIDLastSave="0" documentId="13_ncr:1_{E277BB21-A404-4996-89D5-40427E4972AE}" xr6:coauthVersionLast="46" xr6:coauthVersionMax="46" xr10:uidLastSave="{00000000-0000-0000-0000-000000000000}"/>
  <bookViews>
    <workbookView xWindow="-110" yWindow="-110" windowWidth="19420" windowHeight="10420" xr2:uid="{120F8F4B-F236-4AD3-B791-5790B4176010}"/>
  </bookViews>
  <sheets>
    <sheet name="SO2" sheetId="1" r:id="rId1"/>
    <sheet name="NOx" sheetId="2" r:id="rId2"/>
    <sheet name="Твёрдые частицы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2" l="1"/>
  <c r="O10" i="2"/>
  <c r="O11" i="3"/>
  <c r="O10" i="3"/>
  <c r="I10" i="1"/>
  <c r="N11" i="3"/>
  <c r="N10" i="3"/>
  <c r="N11" i="2"/>
  <c r="N10" i="2"/>
  <c r="N11" i="1"/>
  <c r="N10" i="1"/>
  <c r="J11" i="3"/>
  <c r="J10" i="3"/>
  <c r="J11" i="2"/>
  <c r="J10" i="2"/>
  <c r="K11" i="3"/>
  <c r="K10" i="3"/>
  <c r="P33" i="3"/>
  <c r="D15" i="3" s="1"/>
  <c r="F31" i="3"/>
  <c r="F30" i="3"/>
  <c r="D30" i="3"/>
  <c r="D31" i="3" s="1"/>
  <c r="P29" i="3"/>
  <c r="F22" i="3"/>
  <c r="D22" i="3"/>
  <c r="F21" i="3"/>
  <c r="F18" i="3" s="1"/>
  <c r="D21" i="3"/>
  <c r="D18" i="3" s="1"/>
  <c r="M11" i="3"/>
  <c r="F23" i="3" s="1"/>
  <c r="L11" i="3"/>
  <c r="F32" i="3" s="1"/>
  <c r="L10" i="3"/>
  <c r="K11" i="2"/>
  <c r="K10" i="2"/>
  <c r="P33" i="2"/>
  <c r="D15" i="2" s="1"/>
  <c r="F30" i="2"/>
  <c r="F31" i="2" s="1"/>
  <c r="D30" i="2"/>
  <c r="D31" i="2" s="1"/>
  <c r="P29" i="2"/>
  <c r="F22" i="2"/>
  <c r="D22" i="2"/>
  <c r="F21" i="2"/>
  <c r="F18" i="2" s="1"/>
  <c r="D21" i="2"/>
  <c r="D18" i="2" s="1"/>
  <c r="M11" i="2"/>
  <c r="F24" i="2" s="1"/>
  <c r="F25" i="2" s="1"/>
  <c r="L11" i="2"/>
  <c r="F32" i="2" s="1"/>
  <c r="L10" i="2"/>
  <c r="F31" i="1"/>
  <c r="L11" i="1"/>
  <c r="F32" i="1" s="1"/>
  <c r="F30" i="1"/>
  <c r="F22" i="1"/>
  <c r="F21" i="1" s="1"/>
  <c r="F18" i="1" s="1"/>
  <c r="M11" i="1"/>
  <c r="F23" i="1" s="1"/>
  <c r="P29" i="1"/>
  <c r="D30" i="1"/>
  <c r="D31" i="1" s="1"/>
  <c r="L10" i="1"/>
  <c r="P33" i="1"/>
  <c r="D15" i="1" s="1"/>
  <c r="D22" i="1"/>
  <c r="D21" i="1" s="1"/>
  <c r="D18" i="1" s="1"/>
  <c r="F28" i="3" l="1"/>
  <c r="F29" i="3" s="1"/>
  <c r="F28" i="1"/>
  <c r="M10" i="3"/>
  <c r="F24" i="3"/>
  <c r="F25" i="3" s="1"/>
  <c r="F26" i="3" s="1"/>
  <c r="M10" i="2"/>
  <c r="D24" i="2" s="1"/>
  <c r="D25" i="2" s="1"/>
  <c r="F24" i="1"/>
  <c r="F25" i="1" s="1"/>
  <c r="F27" i="1" s="1"/>
  <c r="D23" i="3"/>
  <c r="D28" i="3" s="1"/>
  <c r="D29" i="3" s="1"/>
  <c r="F19" i="3"/>
  <c r="D24" i="3"/>
  <c r="D25" i="3" s="1"/>
  <c r="D19" i="3"/>
  <c r="H11" i="3" s="1"/>
  <c r="I11" i="3" s="1"/>
  <c r="H10" i="3"/>
  <c r="I10" i="3" s="1"/>
  <c r="F26" i="2"/>
  <c r="F27" i="2"/>
  <c r="F19" i="2"/>
  <c r="D19" i="2"/>
  <c r="H11" i="2" s="1"/>
  <c r="I11" i="2" s="1"/>
  <c r="F23" i="2"/>
  <c r="F28" i="2" s="1"/>
  <c r="F29" i="2" s="1"/>
  <c r="F29" i="1"/>
  <c r="F26" i="1"/>
  <c r="M10" i="1"/>
  <c r="F19" i="1" s="1"/>
  <c r="F27" i="3" l="1"/>
  <c r="D11" i="3"/>
  <c r="F11" i="3" s="1"/>
  <c r="G11" i="3" s="1"/>
  <c r="D10" i="3"/>
  <c r="F10" i="3" s="1"/>
  <c r="G10" i="3" s="1"/>
  <c r="D11" i="2"/>
  <c r="F11" i="2" s="1"/>
  <c r="G11" i="2" s="1"/>
  <c r="D23" i="2"/>
  <c r="D28" i="2" s="1"/>
  <c r="D29" i="2" s="1"/>
  <c r="D10" i="2"/>
  <c r="D27" i="3"/>
  <c r="D26" i="3"/>
  <c r="E11" i="2"/>
  <c r="D27" i="2"/>
  <c r="D26" i="2"/>
  <c r="E10" i="2" s="1"/>
  <c r="H10" i="2"/>
  <c r="I10" i="2" s="1"/>
  <c r="D24" i="1"/>
  <c r="D25" i="1" s="1"/>
  <c r="D23" i="1"/>
  <c r="D19" i="1"/>
  <c r="F10" i="2" l="1"/>
  <c r="G10" i="2" s="1"/>
  <c r="E11" i="3"/>
  <c r="E10" i="3"/>
  <c r="H11" i="1"/>
  <c r="I11" i="1" s="1"/>
  <c r="D11" i="1"/>
  <c r="O11" i="1"/>
  <c r="D10" i="1"/>
  <c r="H10" i="1"/>
  <c r="D26" i="1"/>
  <c r="D27" i="1"/>
  <c r="O10" i="1" s="1"/>
  <c r="F11" i="1" l="1"/>
  <c r="G11" i="1" s="1"/>
  <c r="E11" i="1"/>
  <c r="D28" i="1"/>
  <c r="D29" i="1" s="1"/>
  <c r="F10" i="1" s="1"/>
  <c r="G10" i="1" s="1"/>
  <c r="E10" i="1"/>
</calcChain>
</file>

<file path=xl/sharedStrings.xml><?xml version="1.0" encoding="utf-8"?>
<sst xmlns="http://schemas.openxmlformats.org/spreadsheetml/2006/main" count="238" uniqueCount="71">
  <si>
    <t>Расчет рассеивания химических веществ в приземном слое атмосферы от одиночного источника по SO2</t>
  </si>
  <si>
    <t>Выбросы</t>
  </si>
  <si>
    <t>Нагретые</t>
  </si>
  <si>
    <t>Холодные</t>
  </si>
  <si>
    <t>С</t>
  </si>
  <si>
    <t>ПДВ</t>
  </si>
  <si>
    <t>ПДК (мр)</t>
  </si>
  <si>
    <t>ПДК (сс)</t>
  </si>
  <si>
    <t>X (ми)</t>
  </si>
  <si>
    <t>С (м)</t>
  </si>
  <si>
    <t>С (ми)</t>
  </si>
  <si>
    <t>С (у)</t>
  </si>
  <si>
    <t>V (м)</t>
  </si>
  <si>
    <t>X (м)</t>
  </si>
  <si>
    <t>M</t>
  </si>
  <si>
    <t>F</t>
  </si>
  <si>
    <t>m</t>
  </si>
  <si>
    <t>n</t>
  </si>
  <si>
    <t>μ</t>
  </si>
  <si>
    <t>H</t>
  </si>
  <si>
    <t>(высота трубы)</t>
  </si>
  <si>
    <t>D</t>
  </si>
  <si>
    <t>(диаметр устья)</t>
  </si>
  <si>
    <t>Т(г)</t>
  </si>
  <si>
    <t>(температура газов)</t>
  </si>
  <si>
    <t>W</t>
  </si>
  <si>
    <t>(скорость выхода газов)</t>
  </si>
  <si>
    <t>W0</t>
  </si>
  <si>
    <t>Годовые выбросы для ТЭС на 1000 МВт (млн.кг.)</t>
  </si>
  <si>
    <t>Годовые выбросы для данной ТЭС (млн.кг.)</t>
  </si>
  <si>
    <t>ΔT</t>
  </si>
  <si>
    <t>Т(х)</t>
  </si>
  <si>
    <t>T(ж)</t>
  </si>
  <si>
    <t>(температура жаркого месяца)</t>
  </si>
  <si>
    <t>(температура холодного месяца)</t>
  </si>
  <si>
    <t>f</t>
  </si>
  <si>
    <t>А</t>
  </si>
  <si>
    <t>(коэффициент, зависит от региона)</t>
  </si>
  <si>
    <t>d</t>
  </si>
  <si>
    <t>И</t>
  </si>
  <si>
    <t>(скорость ветра)</t>
  </si>
  <si>
    <t>V (1)</t>
  </si>
  <si>
    <t>r</t>
  </si>
  <si>
    <t>И (м)</t>
  </si>
  <si>
    <t>И / И (м)</t>
  </si>
  <si>
    <t>ρ</t>
  </si>
  <si>
    <t>X / X (м)</t>
  </si>
  <si>
    <t>X</t>
  </si>
  <si>
    <t>(расстояние от источника выброса)</t>
  </si>
  <si>
    <t>S (1)</t>
  </si>
  <si>
    <t>t (y)</t>
  </si>
  <si>
    <t>Y</t>
  </si>
  <si>
    <t>(расстояние по перпендикуляру от оси факела выброса)</t>
  </si>
  <si>
    <t>S (2)</t>
  </si>
  <si>
    <t>(мощность ТЭС, МВт)</t>
  </si>
  <si>
    <t>Годовое потребление на 1000 МВт (м3/год)</t>
  </si>
  <si>
    <t>Годовое потребление для данной ТЭС (м3/год)</t>
  </si>
  <si>
    <t>количество вредного вещества, выбрасываемого в атмосферу (г/с)</t>
  </si>
  <si>
    <t>К</t>
  </si>
  <si>
    <t>Горячий</t>
  </si>
  <si>
    <t>Холодный</t>
  </si>
  <si>
    <t>Расчет рассеивания химических веществ в приземном слое атмосферы от одиночного источника по NOx</t>
  </si>
  <si>
    <t>Расчет рассеивания химических веществ в приземном слое атмосферы от одиночного источника по твёрдым частицам</t>
  </si>
  <si>
    <t>Z</t>
  </si>
  <si>
    <t>Выполнил: Кургуз М. А., гр. О-18-ПРИ-рпс-Б</t>
  </si>
  <si>
    <t>(по , твёрдым частицам, при использовании угля)</t>
  </si>
  <si>
    <t>(по NOx, при использовании угля)</t>
  </si>
  <si>
    <t>(по SO2, при использовании угля)</t>
  </si>
  <si>
    <t>УГОЛЬ</t>
  </si>
  <si>
    <t>Вывод: Концетрация (С) НЕ превышает предельно допустимую концентрацию среднесуточную (ПДКсс)</t>
  </si>
  <si>
    <t>Вывод: Концетрация (С) превышает предельно допустимую концентрацию среднесуточную (ПДКсс)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</si>
</sst>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quotePrefix="1" applyFont="1"/>
    <xf numFmtId="0" fontId="1" fillId="0" borderId="0" xfId="0" applyFont="1"/>
    <xf numFmtId="0" fontId="3" fillId="0" borderId="0" xfId="0" applyFont="1"/>
    <xf numFmtId="0" fontId="4" fillId="0" borderId="0" xfId="0" quotePrefix="1" applyFont="1"/>
    <xf numFmtId="0" fontId="4" fillId="0" borderId="0" xfId="0" applyFont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/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5" fillId="0" borderId="0" xfId="0" applyFont="1"/>
    <xf numFmtId="165" fontId="0" fillId="10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1F401-5AC1-43FD-B484-3A23391724FB}">
  <dimension ref="C2:R37"/>
  <sheetViews>
    <sheetView tabSelected="1" topLeftCell="A7" zoomScale="90" zoomScaleNormal="90" workbookViewId="0">
      <selection activeCell="I21" sqref="I21"/>
    </sheetView>
  </sheetViews>
  <sheetFormatPr defaultRowHeight="14.5" x14ac:dyDescent="0.35"/>
  <cols>
    <col min="3" max="3" width="12" customWidth="1"/>
    <col min="4" max="4" width="11.36328125" style="1" customWidth="1"/>
    <col min="5" max="5" width="13.08984375" bestFit="1" customWidth="1"/>
    <col min="6" max="6" width="12" bestFit="1" customWidth="1"/>
    <col min="7" max="7" width="10.36328125" customWidth="1"/>
    <col min="9" max="9" width="12.08984375" customWidth="1"/>
    <col min="10" max="10" width="10.08984375" customWidth="1"/>
    <col min="16" max="16" width="9.90625" customWidth="1"/>
  </cols>
  <sheetData>
    <row r="2" spans="3:18" ht="15.5" x14ac:dyDescent="0.35">
      <c r="C2" s="5"/>
    </row>
    <row r="5" spans="3:18" ht="15" thickBot="1" x14ac:dyDescent="0.4"/>
    <row r="6" spans="3:18" ht="14.4" customHeight="1" x14ac:dyDescent="0.35">
      <c r="C6" s="23" t="s">
        <v>0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5"/>
    </row>
    <row r="7" spans="3:18" ht="15" thickBot="1" x14ac:dyDescent="0.4">
      <c r="C7" s="26"/>
      <c r="D7" s="27"/>
      <c r="E7" s="27"/>
      <c r="F7" s="27"/>
      <c r="G7" s="27"/>
      <c r="H7" s="27"/>
      <c r="I7" s="27"/>
      <c r="J7" s="27"/>
      <c r="K7" s="27"/>
      <c r="L7" s="27"/>
      <c r="M7" s="27"/>
      <c r="N7" s="28"/>
    </row>
    <row r="9" spans="3:18" x14ac:dyDescent="0.35">
      <c r="C9" s="8" t="s">
        <v>1</v>
      </c>
      <c r="D9" s="9" t="s">
        <v>9</v>
      </c>
      <c r="E9" s="8" t="s">
        <v>10</v>
      </c>
      <c r="F9" s="52" t="s">
        <v>4</v>
      </c>
      <c r="G9" s="8" t="s">
        <v>11</v>
      </c>
      <c r="H9" s="8" t="s">
        <v>5</v>
      </c>
      <c r="I9" s="8" t="s">
        <v>63</v>
      </c>
      <c r="J9" s="8" t="s">
        <v>6</v>
      </c>
      <c r="K9" s="52" t="s">
        <v>7</v>
      </c>
      <c r="L9" s="8" t="s">
        <v>41</v>
      </c>
      <c r="M9" s="8" t="s">
        <v>12</v>
      </c>
      <c r="N9" s="8" t="s">
        <v>13</v>
      </c>
      <c r="O9" s="8" t="s">
        <v>8</v>
      </c>
    </row>
    <row r="10" spans="3:18" x14ac:dyDescent="0.35">
      <c r="C10" s="8" t="s">
        <v>2</v>
      </c>
      <c r="D10" s="10">
        <f>L15*D15*D16*D18*D19*D20/(L16^2 * (L10 * D22)^(1/3))</f>
        <v>0.38616690181759716</v>
      </c>
      <c r="E10" s="10">
        <f>D26*D10</f>
        <v>0.12416469901740319</v>
      </c>
      <c r="F10" s="53">
        <f>D29*D10</f>
        <v>0.31946272854954605</v>
      </c>
      <c r="G10" s="10">
        <f>D31*F10</f>
        <v>0.26151027864099141</v>
      </c>
      <c r="H10" s="22">
        <f>(J10*L16^2*(L10*D22)^(1/3))/(L15*D16*D18*D19*D20)</f>
        <v>5136.2441453393649</v>
      </c>
      <c r="I10" s="8">
        <f>($D$15-H10)/D$15*100</f>
        <v>-29.477694138626866</v>
      </c>
      <c r="J10" s="8">
        <v>0.5</v>
      </c>
      <c r="K10" s="52">
        <v>0.05</v>
      </c>
      <c r="L10" s="22">
        <f>(PI()*L17^2*L21)/4</f>
        <v>1005.3096491487338</v>
      </c>
      <c r="M10" s="22">
        <f>0.65*(L10*D22/L16)^(1/3)</f>
        <v>5.7502005845193302</v>
      </c>
      <c r="N10" s="22">
        <f>IF(D16=1,L16*D23,IF(D16&gt;=2,D23*L16*(5-D16)/4, "error"))</f>
        <v>3302.1476256674928</v>
      </c>
      <c r="O10" s="22">
        <f>D27*N10</f>
        <v>7819.7449273899028</v>
      </c>
    </row>
    <row r="11" spans="3:18" x14ac:dyDescent="0.35">
      <c r="C11" s="8" t="s">
        <v>3</v>
      </c>
      <c r="D11" s="10">
        <f>(L15*D15*D16*D19*D20*F32)/(L16^(4/3))</f>
        <v>0.59412398549468282</v>
      </c>
      <c r="E11" s="10">
        <f>D11*F26</f>
        <v>0.54485425852702529</v>
      </c>
      <c r="F11" s="53">
        <f>D11*F29</f>
        <v>0.58607731975272903</v>
      </c>
      <c r="G11" s="10">
        <f>F11*F31</f>
        <v>0.479759388175173</v>
      </c>
      <c r="H11" s="22">
        <f>J11*L16^(4/3)/(L15*D16*D19*D20*F32)</f>
        <v>3338.44035421833</v>
      </c>
      <c r="I11" s="8">
        <f>($D$15-H11)/D$15*100</f>
        <v>15.842482005891886</v>
      </c>
      <c r="J11" s="8">
        <v>0.5</v>
      </c>
      <c r="K11" s="52">
        <v>0.05</v>
      </c>
      <c r="L11" s="22">
        <f>(PI()*L17^2*L21)/4</f>
        <v>1005.3096491487338</v>
      </c>
      <c r="M11" s="22">
        <f>1.3*L21*L17/L16</f>
        <v>1.3866666666666667</v>
      </c>
      <c r="N11" s="22">
        <f>IF(D16=1,L16*F23,IF(D16&gt;=2,F23*L16*(5-D16)/4, "error"))</f>
        <v>2371.2000000000003</v>
      </c>
      <c r="O11" s="22">
        <f>F27*N10</f>
        <v>3769.5285203773537</v>
      </c>
    </row>
    <row r="13" spans="3:18" x14ac:dyDescent="0.35">
      <c r="F13" s="50" t="s">
        <v>68</v>
      </c>
    </row>
    <row r="15" spans="3:18" x14ac:dyDescent="0.35">
      <c r="C15" s="12" t="s">
        <v>14</v>
      </c>
      <c r="D15" s="13">
        <f>P33*10^9/(365*24*60*60)</f>
        <v>3966.8949771689499</v>
      </c>
      <c r="E15" s="3" t="s">
        <v>57</v>
      </c>
      <c r="K15" s="18" t="s">
        <v>36</v>
      </c>
      <c r="L15" s="18">
        <v>120</v>
      </c>
      <c r="M15" s="4" t="s">
        <v>37</v>
      </c>
      <c r="N15" s="4"/>
      <c r="O15" s="4"/>
      <c r="P15" s="4"/>
      <c r="Q15" s="4"/>
      <c r="R15" s="4"/>
    </row>
    <row r="16" spans="3:18" x14ac:dyDescent="0.35">
      <c r="C16" s="12" t="s">
        <v>15</v>
      </c>
      <c r="D16" s="13">
        <v>1</v>
      </c>
      <c r="K16" s="18" t="s">
        <v>19</v>
      </c>
      <c r="L16" s="18">
        <v>150</v>
      </c>
      <c r="M16" s="4" t="s">
        <v>20</v>
      </c>
      <c r="N16" s="4"/>
      <c r="O16" s="4"/>
      <c r="P16" s="4"/>
      <c r="Q16" s="4"/>
      <c r="R16" s="4"/>
    </row>
    <row r="17" spans="3:18" x14ac:dyDescent="0.35">
      <c r="C17" s="29" t="s">
        <v>59</v>
      </c>
      <c r="D17" s="30"/>
      <c r="E17" s="31" t="s">
        <v>60</v>
      </c>
      <c r="F17" s="31"/>
      <c r="K17" s="18" t="s">
        <v>21</v>
      </c>
      <c r="L17" s="18">
        <v>8</v>
      </c>
      <c r="M17" s="4" t="s">
        <v>22</v>
      </c>
      <c r="N17" s="4"/>
      <c r="O17" s="4"/>
      <c r="P17" s="4"/>
      <c r="Q17" s="4"/>
      <c r="R17" s="4"/>
    </row>
    <row r="18" spans="3:18" x14ac:dyDescent="0.35">
      <c r="C18" s="14" t="s">
        <v>16</v>
      </c>
      <c r="D18" s="15">
        <f>1/(0.67+0.1*SQRT(D21)+0.34*(D21)^(1/3))</f>
        <v>0.85794413166863548</v>
      </c>
      <c r="E18" s="16" t="s">
        <v>16</v>
      </c>
      <c r="F18" s="17">
        <f>1/(0.67+0.1*SQRT(F21)+0.34*(F21)^(1/3))</f>
        <v>0.85794413166863548</v>
      </c>
      <c r="K18" s="18" t="s">
        <v>23</v>
      </c>
      <c r="L18" s="18">
        <v>125</v>
      </c>
      <c r="M18" s="4" t="s">
        <v>24</v>
      </c>
      <c r="N18" s="4"/>
      <c r="O18" s="4"/>
      <c r="P18" s="4"/>
      <c r="Q18" s="4"/>
      <c r="R18" s="4"/>
    </row>
    <row r="19" spans="3:18" x14ac:dyDescent="0.35">
      <c r="C19" s="14" t="s">
        <v>17</v>
      </c>
      <c r="D19" s="15">
        <f>IF(M10&lt;0.5,4.4*M10,IF(M10&lt;2,(0.53*M10^2-2.13*M10+3.13),(1)))</f>
        <v>1</v>
      </c>
      <c r="E19" s="16" t="s">
        <v>17</v>
      </c>
      <c r="F19" s="17">
        <f>IF(M10&lt;0.5,4.4*M10,IF(M10&lt;2,(0.53*M10^2-2.13*M10+3.13),(1)))</f>
        <v>1</v>
      </c>
      <c r="K19" s="18" t="s">
        <v>32</v>
      </c>
      <c r="L19" s="18">
        <v>21.7</v>
      </c>
      <c r="M19" s="4" t="s">
        <v>33</v>
      </c>
      <c r="N19" s="4"/>
      <c r="O19" s="4"/>
      <c r="P19" s="4"/>
      <c r="Q19" s="4"/>
      <c r="R19" s="4"/>
    </row>
    <row r="20" spans="3:18" x14ac:dyDescent="0.35">
      <c r="C20" s="14" t="s">
        <v>18</v>
      </c>
      <c r="D20" s="15">
        <v>1</v>
      </c>
      <c r="E20" s="16" t="s">
        <v>18</v>
      </c>
      <c r="F20" s="17">
        <v>1</v>
      </c>
      <c r="K20" s="18" t="s">
        <v>31</v>
      </c>
      <c r="L20" s="18">
        <v>-17.7</v>
      </c>
      <c r="M20" s="4" t="s">
        <v>34</v>
      </c>
      <c r="N20" s="4"/>
      <c r="O20" s="4"/>
      <c r="P20" s="4"/>
      <c r="Q20" s="4"/>
      <c r="R20" s="4"/>
    </row>
    <row r="21" spans="3:18" x14ac:dyDescent="0.35">
      <c r="C21" s="14" t="s">
        <v>35</v>
      </c>
      <c r="D21" s="15">
        <f>1000*L21^2*L17/(L16^2*D22)</f>
        <v>1.3767882112509411</v>
      </c>
      <c r="E21" s="16" t="s">
        <v>35</v>
      </c>
      <c r="F21" s="17">
        <f>1000*L21^2*L17/(L16^2*F22)</f>
        <v>1.3767882112509411</v>
      </c>
      <c r="K21" s="18" t="s">
        <v>27</v>
      </c>
      <c r="L21" s="18">
        <v>20</v>
      </c>
      <c r="M21" s="4" t="s">
        <v>26</v>
      </c>
      <c r="N21" s="4"/>
      <c r="O21" s="4"/>
      <c r="P21" s="4"/>
      <c r="Q21" s="4"/>
      <c r="R21" s="4"/>
    </row>
    <row r="22" spans="3:18" x14ac:dyDescent="0.35">
      <c r="C22" s="14" t="s">
        <v>30</v>
      </c>
      <c r="D22" s="15">
        <f>ABS(L18-L19)</f>
        <v>103.3</v>
      </c>
      <c r="E22" s="16" t="s">
        <v>30</v>
      </c>
      <c r="F22" s="17">
        <f>ABS(L18-L19)</f>
        <v>103.3</v>
      </c>
      <c r="K22" s="18" t="s">
        <v>25</v>
      </c>
      <c r="L22" s="18">
        <v>900</v>
      </c>
      <c r="M22" s="4" t="s">
        <v>54</v>
      </c>
      <c r="N22" s="4"/>
      <c r="O22" s="4"/>
      <c r="P22" s="4"/>
      <c r="Q22" s="4"/>
      <c r="R22" s="4"/>
    </row>
    <row r="23" spans="3:18" x14ac:dyDescent="0.35">
      <c r="C23" s="14" t="s">
        <v>38</v>
      </c>
      <c r="D23" s="15">
        <f>IF(M10&lt;=2, 4.95*M10*(1+0.28*(D21)^(1/3)),7*SQRT(M10)*(1+0.28*(D21)^(1/3)))</f>
        <v>22.014317504449952</v>
      </c>
      <c r="E23" s="16" t="s">
        <v>38</v>
      </c>
      <c r="F23" s="17">
        <f>IF(M11&lt;=2, M11*11.4, 16.1*SQRT(M11))</f>
        <v>15.808000000000002</v>
      </c>
      <c r="K23" s="18" t="s">
        <v>39</v>
      </c>
      <c r="L23" s="18">
        <v>2</v>
      </c>
      <c r="M23" s="4" t="s">
        <v>40</v>
      </c>
      <c r="N23" s="4"/>
      <c r="O23" s="4"/>
      <c r="P23" s="4"/>
      <c r="Q23" s="4"/>
      <c r="R23" s="4"/>
    </row>
    <row r="24" spans="3:18" x14ac:dyDescent="0.35">
      <c r="C24" s="14" t="s">
        <v>43</v>
      </c>
      <c r="D24" s="15">
        <f>IF(M10 &lt;= 0.5, 0.5, IF(M10 &lt;= 2, M10, M10 * (1 + 0.12 * SQRT(D21))))</f>
        <v>6.5598514973626036</v>
      </c>
      <c r="E24" s="16" t="s">
        <v>43</v>
      </c>
      <c r="F24" s="17">
        <f>IF(M11 &lt;= 0.5, 0.5, IF(M11 &lt;= 2, M11, 2.2*M11))</f>
        <v>1.3866666666666667</v>
      </c>
      <c r="K24" s="18" t="s">
        <v>47</v>
      </c>
      <c r="L24" s="18">
        <v>2000</v>
      </c>
      <c r="M24" s="4" t="s">
        <v>48</v>
      </c>
      <c r="N24" s="4"/>
      <c r="O24" s="4"/>
      <c r="P24" s="4"/>
      <c r="Q24" s="4"/>
      <c r="R24" s="4"/>
    </row>
    <row r="25" spans="3:18" x14ac:dyDescent="0.35">
      <c r="C25" s="14" t="s">
        <v>44</v>
      </c>
      <c r="D25" s="15">
        <f>L23/D24</f>
        <v>0.30488495064318183</v>
      </c>
      <c r="E25" s="16" t="s">
        <v>44</v>
      </c>
      <c r="F25" s="17">
        <f>L23/F24</f>
        <v>1.4423076923076923</v>
      </c>
      <c r="K25" s="18" t="s">
        <v>51</v>
      </c>
      <c r="L25" s="18">
        <v>200</v>
      </c>
      <c r="M25" s="4" t="s">
        <v>52</v>
      </c>
      <c r="N25" s="4"/>
      <c r="O25" s="4"/>
      <c r="P25" s="4"/>
      <c r="Q25" s="4"/>
      <c r="R25" s="4"/>
    </row>
    <row r="26" spans="3:18" x14ac:dyDescent="0.35">
      <c r="C26" s="14" t="s">
        <v>42</v>
      </c>
      <c r="D26" s="15">
        <f>IF(D25&lt;=1, (0.67*D25 + 1.67*D25^2 - 1.34*D25^3), (3*D25)/(2*D25^2 - D25 + 2))</f>
        <v>0.32153117844379991</v>
      </c>
      <c r="E26" s="16" t="s">
        <v>42</v>
      </c>
      <c r="F26" s="17">
        <f>IF(F25&lt;=1, (0.67*F25 + 1.67*F25^2 - 1.34*F25^3), (3*F25)/(2*F25^2 - F25 + 2))</f>
        <v>0.91707164132309138</v>
      </c>
    </row>
    <row r="27" spans="3:18" x14ac:dyDescent="0.35">
      <c r="C27" s="14" t="s">
        <v>45</v>
      </c>
      <c r="D27" s="15">
        <f>IF(D25&lt;=0.25,3,IF(D25&lt;=1,8.43*(1-D25)^5+1,0.32*D25+0.68))</f>
        <v>2.3680785397379767</v>
      </c>
      <c r="E27" s="16" t="s">
        <v>45</v>
      </c>
      <c r="F27" s="17">
        <f>IF(F25&lt;=0.25,3,IF(F25&lt;=1,8.43*(1-F25)^5+1,0.32*F25+0.68))</f>
        <v>1.1415384615384616</v>
      </c>
      <c r="J27" s="4"/>
      <c r="K27" s="4"/>
      <c r="L27" s="4"/>
      <c r="M27" s="4"/>
      <c r="N27" s="4"/>
      <c r="O27" s="4"/>
    </row>
    <row r="28" spans="3:18" x14ac:dyDescent="0.35">
      <c r="C28" s="14" t="s">
        <v>46</v>
      </c>
      <c r="D28" s="15">
        <f>L24/N10</f>
        <v>0.6056664409713427</v>
      </c>
      <c r="E28" s="16" t="s">
        <v>46</v>
      </c>
      <c r="F28" s="17">
        <f>L24/N11</f>
        <v>0.84345479082321173</v>
      </c>
      <c r="J28" s="4"/>
      <c r="K28" s="4" t="s">
        <v>55</v>
      </c>
      <c r="L28" s="4"/>
      <c r="M28" s="4"/>
      <c r="N28" s="4"/>
      <c r="O28" s="4"/>
      <c r="P28" s="18">
        <v>2300000</v>
      </c>
    </row>
    <row r="29" spans="3:18" x14ac:dyDescent="0.35">
      <c r="C29" s="14" t="s">
        <v>49</v>
      </c>
      <c r="D29" s="15">
        <f>IF(D28&lt;=1,3*D28^4-8*D28^3+6*D28^2, IF(D28 &lt;= 8, 1.13/(0.13*D28^2+1), IF(D16=1, D28/(3.58*D28^2 - 35.2*D28 + 120), 1/(0.1*D28^2 + 2.47*D28 - 17.8))))</f>
        <v>0.82726594911658613</v>
      </c>
      <c r="E29" s="16" t="s">
        <v>49</v>
      </c>
      <c r="F29" s="17">
        <f>IF(F28&lt;=1,3*F28^4-8*F28^3+6*F28^2, IF(F28 &lt;= 8, 1.13/(0.13*F28^2+1), IF(D16=1, F28/(3.58*F28^2 - 35.2*F28 + 120), 1/(0.1*F28^2 + 2.47*F28 - 17.8))))</f>
        <v>0.98645625166057904</v>
      </c>
      <c r="J29" s="4"/>
      <c r="K29" s="4" t="s">
        <v>56</v>
      </c>
      <c r="L29" s="4"/>
      <c r="M29" s="4"/>
      <c r="N29" s="4"/>
      <c r="O29" s="4"/>
      <c r="P29" s="18">
        <f>P28*L22/1000</f>
        <v>2070000</v>
      </c>
    </row>
    <row r="30" spans="3:18" x14ac:dyDescent="0.35">
      <c r="C30" s="14" t="s">
        <v>50</v>
      </c>
      <c r="D30" s="15">
        <f>IF(L23&lt;=5,(L23*L25^2)/(L24^2),(5*L25^2)/(L24^2) )</f>
        <v>0.02</v>
      </c>
      <c r="E30" s="16" t="s">
        <v>50</v>
      </c>
      <c r="F30" s="17">
        <f>IF(L23&lt;=5,(L23*L25^2)/(L24^2),(5*L25^2)/(L24^2) )</f>
        <v>0.02</v>
      </c>
      <c r="J30" s="4"/>
      <c r="K30" s="4"/>
      <c r="L30" s="4"/>
      <c r="M30" s="4"/>
      <c r="N30" s="4"/>
      <c r="O30" s="4"/>
    </row>
    <row r="31" spans="3:18" x14ac:dyDescent="0.35">
      <c r="C31" s="14" t="s">
        <v>53</v>
      </c>
      <c r="D31" s="15">
        <f xml:space="preserve"> 1/((1 +5*D30 + 12.8*D30^2 + 17*D30^3 + 45.1*D30^4)^2)</f>
        <v>0.81859401823907385</v>
      </c>
      <c r="E31" s="16" t="s">
        <v>53</v>
      </c>
      <c r="F31" s="17">
        <f xml:space="preserve"> 1/((1 +5*F30 + 12.8*F30^2 + 17*F30^3 + 45.1*F30^4)^2)</f>
        <v>0.81859401823907385</v>
      </c>
      <c r="J31" s="4"/>
      <c r="K31" s="4"/>
      <c r="L31" s="4"/>
      <c r="M31" s="4"/>
      <c r="N31" s="4"/>
      <c r="O31" s="4"/>
    </row>
    <row r="32" spans="3:18" x14ac:dyDescent="0.35">
      <c r="C32" s="2"/>
      <c r="E32" s="16" t="s">
        <v>58</v>
      </c>
      <c r="F32" s="17">
        <f>L17/(8*L11)</f>
        <v>9.9471839432434587E-4</v>
      </c>
      <c r="J32" s="4"/>
      <c r="K32" s="4" t="s">
        <v>28</v>
      </c>
      <c r="L32" s="4"/>
      <c r="M32" s="4"/>
      <c r="N32" s="4"/>
      <c r="O32" s="4"/>
      <c r="P32" s="21">
        <v>139</v>
      </c>
      <c r="Q32" s="4" t="s">
        <v>67</v>
      </c>
    </row>
    <row r="33" spans="3:16" x14ac:dyDescent="0.35">
      <c r="J33" s="4"/>
      <c r="K33" s="4" t="s">
        <v>29</v>
      </c>
      <c r="L33" s="4"/>
      <c r="M33" s="4"/>
      <c r="N33" s="4"/>
      <c r="O33" s="4"/>
      <c r="P33" s="21">
        <f>P32*L22/1000</f>
        <v>125.1</v>
      </c>
    </row>
    <row r="34" spans="3:16" x14ac:dyDescent="0.35">
      <c r="J34" s="4"/>
      <c r="K34" s="4"/>
      <c r="L34" s="4"/>
      <c r="M34" s="4"/>
      <c r="N34" s="4"/>
      <c r="O34" s="4"/>
    </row>
    <row r="35" spans="3:16" ht="15" thickBot="1" x14ac:dyDescent="0.4">
      <c r="J35" s="4"/>
      <c r="K35" s="4"/>
      <c r="L35" s="4"/>
      <c r="M35" s="4"/>
      <c r="N35" s="4"/>
      <c r="O35" s="4"/>
    </row>
    <row r="36" spans="3:16" ht="14.5" customHeight="1" x14ac:dyDescent="0.35">
      <c r="C36" s="54" t="s">
        <v>70</v>
      </c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6"/>
    </row>
    <row r="37" spans="3:16" ht="14.5" customHeight="1" thickBot="1" x14ac:dyDescent="0.4">
      <c r="C37" s="57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9"/>
    </row>
  </sheetData>
  <mergeCells count="4">
    <mergeCell ref="C6:N7"/>
    <mergeCell ref="C17:D17"/>
    <mergeCell ref="E17:F17"/>
    <mergeCell ref="C36:P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06917-A686-4D0C-A104-6DDBD898D2D8}">
  <dimension ref="C5:Q38"/>
  <sheetViews>
    <sheetView topLeftCell="A22" workbookViewId="0">
      <selection activeCell="J41" sqref="J41"/>
    </sheetView>
  </sheetViews>
  <sheetFormatPr defaultRowHeight="14.5" x14ac:dyDescent="0.35"/>
  <cols>
    <col min="3" max="3" width="12" customWidth="1"/>
    <col min="4" max="4" width="11.36328125" style="1" customWidth="1"/>
    <col min="5" max="5" width="13.1796875" bestFit="1" customWidth="1"/>
    <col min="6" max="6" width="12.08984375" bestFit="1" customWidth="1"/>
    <col min="7" max="7" width="10.36328125" customWidth="1"/>
    <col min="8" max="8" width="9.54296875" bestFit="1" customWidth="1"/>
    <col min="9" max="13" width="9" bestFit="1" customWidth="1"/>
    <col min="14" max="14" width="9.54296875" bestFit="1" customWidth="1"/>
    <col min="16" max="16" width="9.90625" customWidth="1"/>
  </cols>
  <sheetData>
    <row r="5" spans="3:15" ht="15" thickBot="1" x14ac:dyDescent="0.4"/>
    <row r="6" spans="3:15" ht="14.4" customHeight="1" x14ac:dyDescent="0.35">
      <c r="C6" s="23" t="s">
        <v>61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5"/>
    </row>
    <row r="7" spans="3:15" ht="15" thickBot="1" x14ac:dyDescent="0.4">
      <c r="C7" s="26"/>
      <c r="D7" s="27"/>
      <c r="E7" s="27"/>
      <c r="F7" s="27"/>
      <c r="G7" s="27"/>
      <c r="H7" s="27"/>
      <c r="I7" s="27"/>
      <c r="J7" s="27"/>
      <c r="K7" s="27"/>
      <c r="L7" s="27"/>
      <c r="M7" s="27"/>
      <c r="N7" s="28"/>
    </row>
    <row r="9" spans="3:15" x14ac:dyDescent="0.35">
      <c r="C9" s="10" t="s">
        <v>1</v>
      </c>
      <c r="D9" s="10" t="s">
        <v>9</v>
      </c>
      <c r="E9" s="10" t="s">
        <v>10</v>
      </c>
      <c r="F9" s="51" t="s">
        <v>4</v>
      </c>
      <c r="G9" s="10" t="s">
        <v>11</v>
      </c>
      <c r="H9" s="10" t="s">
        <v>5</v>
      </c>
      <c r="I9" s="10" t="s">
        <v>63</v>
      </c>
      <c r="J9" s="10" t="s">
        <v>6</v>
      </c>
      <c r="K9" s="51" t="s">
        <v>7</v>
      </c>
      <c r="L9" s="10" t="s">
        <v>41</v>
      </c>
      <c r="M9" s="10" t="s">
        <v>12</v>
      </c>
      <c r="N9" s="10" t="s">
        <v>13</v>
      </c>
      <c r="O9" s="10" t="s">
        <v>8</v>
      </c>
    </row>
    <row r="10" spans="3:15" x14ac:dyDescent="0.35">
      <c r="C10" s="10" t="s">
        <v>2</v>
      </c>
      <c r="D10" s="10">
        <f>L15*D15*D16*D18*D19*D20/(L16^2 * (L10 * D22)^(1/3))</f>
        <v>5.8008380647132589E-2</v>
      </c>
      <c r="E10" s="10">
        <f>D26*D10</f>
        <v>1.8651502989089058E-2</v>
      </c>
      <c r="F10" s="51">
        <f>D29*D10</f>
        <v>4.798835807276635E-2</v>
      </c>
      <c r="G10" s="10">
        <f>D31*F10</f>
        <v>3.9282982863481301E-2</v>
      </c>
      <c r="H10" s="22">
        <f>(J10*L16^2*(L10*D22)^(1/3))/(L15*D16*D18*D19*D20)</f>
        <v>821.79906325429829</v>
      </c>
      <c r="I10" s="8">
        <f>($D$15-H10)/D$15*100</f>
        <v>-37.911107166813274</v>
      </c>
      <c r="J10" s="10">
        <f>0.08</f>
        <v>0.08</v>
      </c>
      <c r="K10" s="51">
        <f>0.06+0.04</f>
        <v>0.1</v>
      </c>
      <c r="L10" s="22">
        <f>(PI()*L17^2*L21)/4</f>
        <v>1005.3096491487338</v>
      </c>
      <c r="M10" s="22">
        <f>0.65*(L10*D22/L16)^(1/3)</f>
        <v>5.7502005845193302</v>
      </c>
      <c r="N10" s="22">
        <f>IF(D16=1,L16*D23,IF(D16&gt;=2,D23*L16*(5-D16)/4, "error"))</f>
        <v>3302.1476256674928</v>
      </c>
      <c r="O10" s="22">
        <f>((5-D16)/4)*D23*L16</f>
        <v>3302.1476256674928</v>
      </c>
    </row>
    <row r="11" spans="3:15" x14ac:dyDescent="0.35">
      <c r="C11" s="10" t="s">
        <v>3</v>
      </c>
      <c r="D11" s="10">
        <f>(L15*D15*D16*D19*D20*F32)/(L16^(4/3))</f>
        <v>8.9246826022510634E-2</v>
      </c>
      <c r="E11" s="10">
        <f>D11*F26</f>
        <v>8.1845733223340211E-2</v>
      </c>
      <c r="F11" s="51">
        <f>D11*F29</f>
        <v>8.8038089470769659E-2</v>
      </c>
      <c r="G11" s="10">
        <f>F11*F31</f>
        <v>7.2067453417968427E-2</v>
      </c>
      <c r="H11" s="22">
        <f>J11*L16^(4/3)/(L15*D16*D19*D20*F32)</f>
        <v>534.15045667493291</v>
      </c>
      <c r="I11" s="8">
        <f>($D$15-H11)/D$15*100</f>
        <v>10.360957845356086</v>
      </c>
      <c r="J11" s="10">
        <f>0.08</f>
        <v>0.08</v>
      </c>
      <c r="K11" s="51">
        <f>0.06+0.04</f>
        <v>0.1</v>
      </c>
      <c r="L11" s="22">
        <f>(PI()*L17^2*L21)/4</f>
        <v>1005.3096491487338</v>
      </c>
      <c r="M11" s="22">
        <f>1.3*L21*L17/L16</f>
        <v>1.3866666666666667</v>
      </c>
      <c r="N11" s="22">
        <f>IF(D16=1,L16*F23,IF(D16&gt;=2,F23*L16*(5-D16)/4, "error"))</f>
        <v>2371.2000000000003</v>
      </c>
      <c r="O11" s="22">
        <f>((5-D16)/4)*F23*L16</f>
        <v>2371.2000000000003</v>
      </c>
    </row>
    <row r="13" spans="3:15" x14ac:dyDescent="0.35">
      <c r="F13" s="50" t="s">
        <v>68</v>
      </c>
    </row>
    <row r="15" spans="3:15" x14ac:dyDescent="0.35">
      <c r="C15" s="12" t="s">
        <v>14</v>
      </c>
      <c r="D15" s="13">
        <f>P33*10^9/(365*24*60*60)</f>
        <v>595.89041095890411</v>
      </c>
      <c r="E15" s="3" t="s">
        <v>57</v>
      </c>
      <c r="K15" s="20" t="s">
        <v>36</v>
      </c>
      <c r="L15" s="20">
        <v>120</v>
      </c>
      <c r="M15" s="4" t="s">
        <v>37</v>
      </c>
      <c r="N15" s="4"/>
      <c r="O15" s="4"/>
    </row>
    <row r="16" spans="3:15" x14ac:dyDescent="0.35">
      <c r="C16" s="12" t="s">
        <v>15</v>
      </c>
      <c r="D16" s="13">
        <v>1</v>
      </c>
      <c r="K16" s="20" t="s">
        <v>19</v>
      </c>
      <c r="L16" s="20">
        <v>150</v>
      </c>
      <c r="M16" s="4" t="s">
        <v>20</v>
      </c>
      <c r="N16" s="4"/>
      <c r="O16" s="4"/>
    </row>
    <row r="17" spans="3:17" x14ac:dyDescent="0.35">
      <c r="C17" s="29" t="s">
        <v>59</v>
      </c>
      <c r="D17" s="30"/>
      <c r="E17" s="31" t="s">
        <v>60</v>
      </c>
      <c r="F17" s="31"/>
      <c r="K17" s="20" t="s">
        <v>21</v>
      </c>
      <c r="L17" s="20">
        <v>8</v>
      </c>
      <c r="M17" s="4" t="s">
        <v>22</v>
      </c>
      <c r="N17" s="4"/>
      <c r="O17" s="4"/>
    </row>
    <row r="18" spans="3:17" x14ac:dyDescent="0.35">
      <c r="C18" s="14" t="s">
        <v>16</v>
      </c>
      <c r="D18" s="15">
        <f>1/(0.67+0.1*SQRT(D21)+0.34*(D21)^(1/3))</f>
        <v>0.85794413166863548</v>
      </c>
      <c r="E18" s="16" t="s">
        <v>16</v>
      </c>
      <c r="F18" s="17">
        <f>1/(0.67+0.1*SQRT(F21)+0.34*(F21)^(1/3))</f>
        <v>0.85794413166863548</v>
      </c>
      <c r="K18" s="20" t="s">
        <v>23</v>
      </c>
      <c r="L18" s="20">
        <v>125</v>
      </c>
      <c r="M18" s="4" t="s">
        <v>24</v>
      </c>
      <c r="N18" s="4"/>
      <c r="O18" s="4"/>
    </row>
    <row r="19" spans="3:17" x14ac:dyDescent="0.35">
      <c r="C19" s="14" t="s">
        <v>17</v>
      </c>
      <c r="D19" s="15">
        <f>IF(M10&lt;0.5,4.4*M10,IF(M10&lt;2,(0.53*M10^2-2.13*M10+3.13),(1)))</f>
        <v>1</v>
      </c>
      <c r="E19" s="16" t="s">
        <v>17</v>
      </c>
      <c r="F19" s="17">
        <f>IF(M10&lt;0.5,4.4*M10,IF(M10&lt;2,(0.53*M10^2-2.13*M10+3.13),(1)))</f>
        <v>1</v>
      </c>
      <c r="K19" s="20" t="s">
        <v>32</v>
      </c>
      <c r="L19" s="20">
        <v>21.7</v>
      </c>
      <c r="M19" s="4" t="s">
        <v>33</v>
      </c>
      <c r="N19" s="4"/>
      <c r="O19" s="4"/>
    </row>
    <row r="20" spans="3:17" x14ac:dyDescent="0.35">
      <c r="C20" s="14" t="s">
        <v>18</v>
      </c>
      <c r="D20" s="15">
        <v>1</v>
      </c>
      <c r="E20" s="16" t="s">
        <v>18</v>
      </c>
      <c r="F20" s="17">
        <v>1</v>
      </c>
      <c r="K20" s="20" t="s">
        <v>31</v>
      </c>
      <c r="L20" s="20">
        <v>-17.7</v>
      </c>
      <c r="M20" s="4" t="s">
        <v>34</v>
      </c>
      <c r="N20" s="4"/>
      <c r="O20" s="4"/>
    </row>
    <row r="21" spans="3:17" x14ac:dyDescent="0.35">
      <c r="C21" s="14" t="s">
        <v>35</v>
      </c>
      <c r="D21" s="15">
        <f>1000*L21^2*L17/(L16^2*D22)</f>
        <v>1.3767882112509411</v>
      </c>
      <c r="E21" s="16" t="s">
        <v>35</v>
      </c>
      <c r="F21" s="17">
        <f>1000*L21^2*L17/(L16^2*F22)</f>
        <v>1.3767882112509411</v>
      </c>
      <c r="K21" s="20" t="s">
        <v>27</v>
      </c>
      <c r="L21" s="20">
        <v>20</v>
      </c>
      <c r="M21" s="4" t="s">
        <v>26</v>
      </c>
      <c r="N21" s="4"/>
      <c r="O21" s="4"/>
    </row>
    <row r="22" spans="3:17" x14ac:dyDescent="0.35">
      <c r="C22" s="14" t="s">
        <v>30</v>
      </c>
      <c r="D22" s="15">
        <f>ABS(L18-L19)</f>
        <v>103.3</v>
      </c>
      <c r="E22" s="16" t="s">
        <v>30</v>
      </c>
      <c r="F22" s="17">
        <f>ABS(L18-L19)</f>
        <v>103.3</v>
      </c>
      <c r="K22" s="20" t="s">
        <v>25</v>
      </c>
      <c r="L22" s="20">
        <v>900</v>
      </c>
      <c r="M22" s="4" t="s">
        <v>54</v>
      </c>
      <c r="N22" s="4"/>
      <c r="O22" s="4"/>
    </row>
    <row r="23" spans="3:17" x14ac:dyDescent="0.35">
      <c r="C23" s="14" t="s">
        <v>38</v>
      </c>
      <c r="D23" s="15">
        <f>IF(M10&lt;=2, 4.95*M10*(1+0.28*(D21)^(1/3)),7*SQRT(M10)*(1+0.28*(D21)^(1/3)))</f>
        <v>22.014317504449952</v>
      </c>
      <c r="E23" s="16" t="s">
        <v>38</v>
      </c>
      <c r="F23" s="17">
        <f>IF(M11&lt;=2, M11*11.4, 16.1*SQRT(M11))</f>
        <v>15.808000000000002</v>
      </c>
      <c r="K23" s="20" t="s">
        <v>39</v>
      </c>
      <c r="L23" s="20">
        <v>2</v>
      </c>
      <c r="M23" s="4" t="s">
        <v>40</v>
      </c>
      <c r="N23" s="4"/>
      <c r="O23" s="4"/>
    </row>
    <row r="24" spans="3:17" x14ac:dyDescent="0.35">
      <c r="C24" s="14" t="s">
        <v>43</v>
      </c>
      <c r="D24" s="15">
        <f>IF(M10 &lt;= 0.5, 0.5, IF(M10 &lt;= 2, M10, M10 * (1 + 0.12 * SQRT(D21))))</f>
        <v>6.5598514973626036</v>
      </c>
      <c r="E24" s="16" t="s">
        <v>43</v>
      </c>
      <c r="F24" s="17">
        <f>IF(M11 &lt;= 0.5, 0.5, IF(M11 &lt;= 2, M11, 2.2*M11))</f>
        <v>1.3866666666666667</v>
      </c>
      <c r="K24" s="20" t="s">
        <v>47</v>
      </c>
      <c r="L24" s="20">
        <v>2000</v>
      </c>
      <c r="M24" s="4" t="s">
        <v>48</v>
      </c>
      <c r="N24" s="4"/>
      <c r="O24" s="4"/>
    </row>
    <row r="25" spans="3:17" x14ac:dyDescent="0.35">
      <c r="C25" s="14" t="s">
        <v>44</v>
      </c>
      <c r="D25" s="15">
        <f>L23/D24</f>
        <v>0.30488495064318183</v>
      </c>
      <c r="E25" s="16" t="s">
        <v>44</v>
      </c>
      <c r="F25" s="17">
        <f>L23/F24</f>
        <v>1.4423076923076923</v>
      </c>
      <c r="K25" s="20" t="s">
        <v>51</v>
      </c>
      <c r="L25" s="20">
        <v>200</v>
      </c>
      <c r="M25" s="4" t="s">
        <v>52</v>
      </c>
      <c r="N25" s="4"/>
      <c r="O25" s="4"/>
    </row>
    <row r="26" spans="3:17" x14ac:dyDescent="0.35">
      <c r="C26" s="14" t="s">
        <v>42</v>
      </c>
      <c r="D26" s="15">
        <f>IF(D25&lt;=1, (0.67*D25 + 1.67*D25^2 - 1.34*D25^3), (3*D25)/(2*D25^2 - D25 + 2))</f>
        <v>0.32153117844379991</v>
      </c>
      <c r="E26" s="16" t="s">
        <v>42</v>
      </c>
      <c r="F26" s="17">
        <f>IF(F25&lt;=1, (0.67*F25 + 1.67*F25^2 - 1.34*F25^3), (3*F25)/(2*F25^2 - F25 + 2))</f>
        <v>0.91707164132309138</v>
      </c>
      <c r="J26" s="4"/>
      <c r="K26" s="4"/>
      <c r="L26" s="4"/>
      <c r="M26" s="4"/>
      <c r="N26" s="4"/>
      <c r="O26" s="4"/>
    </row>
    <row r="27" spans="3:17" x14ac:dyDescent="0.35">
      <c r="C27" s="14" t="s">
        <v>45</v>
      </c>
      <c r="D27" s="15">
        <f>IF(D25&lt;=0.25,3,IF(D25&lt;=1,8.43*(1-D25)^5+1,0.32*D25+0.68))</f>
        <v>2.3680785397379767</v>
      </c>
      <c r="E27" s="16" t="s">
        <v>45</v>
      </c>
      <c r="F27" s="17">
        <f>IF(F25&lt;=0.25,3,IF(F25&lt;=1,8.43*(1-F25)^5+1,0.32*F25+0.68))</f>
        <v>1.1415384615384616</v>
      </c>
      <c r="J27" s="4"/>
      <c r="K27" s="4"/>
      <c r="L27" s="4"/>
    </row>
    <row r="28" spans="3:17" x14ac:dyDescent="0.35">
      <c r="C28" s="14" t="s">
        <v>46</v>
      </c>
      <c r="D28" s="15">
        <f>L24/N10</f>
        <v>0.6056664409713427</v>
      </c>
      <c r="E28" s="16" t="s">
        <v>46</v>
      </c>
      <c r="F28" s="17">
        <f>L24/N11</f>
        <v>0.84345479082321173</v>
      </c>
      <c r="J28" s="4"/>
      <c r="K28" s="4" t="s">
        <v>55</v>
      </c>
      <c r="L28" s="4"/>
      <c r="P28" s="20">
        <v>2300000</v>
      </c>
    </row>
    <row r="29" spans="3:17" x14ac:dyDescent="0.35">
      <c r="C29" s="14" t="s">
        <v>49</v>
      </c>
      <c r="D29" s="15">
        <f>IF(D28&lt;=1,3*D28^4-8*D28^3+6*D28^2, IF(D28 &lt;= 8, 1.13/(0.13*D28^2+1), IF(D16=1, D28/(3.58*D28^2 - 35.2*D28 + 120), 1/(0.1*D28^2 + 2.47*D28 - 17.8))))</f>
        <v>0.82726594911658613</v>
      </c>
      <c r="E29" s="16" t="s">
        <v>49</v>
      </c>
      <c r="F29" s="17">
        <f>IF(F28&lt;=1,3*F28^4-8*F28^3+6*F28^2, IF(F28 &lt;= 8, 1.13/(0.13*F28^2+1), IF(D16=1, F28/(3.58*F28^2 - 35.2*F28 + 120), 1/(0.1*F28^2 + 2.47*F28 - 17.8))))</f>
        <v>0.98645625166057904</v>
      </c>
      <c r="J29" s="4"/>
      <c r="K29" s="4" t="s">
        <v>56</v>
      </c>
      <c r="L29" s="4"/>
      <c r="P29" s="20">
        <f>P28*L22/1000</f>
        <v>2070000</v>
      </c>
    </row>
    <row r="30" spans="3:17" x14ac:dyDescent="0.35">
      <c r="C30" s="14" t="s">
        <v>50</v>
      </c>
      <c r="D30" s="15">
        <f>IF(L23&lt;=5,(L23*L25^2)/(L24^2),(5*L25^2)/(L24^2) )</f>
        <v>0.02</v>
      </c>
      <c r="E30" s="16" t="s">
        <v>50</v>
      </c>
      <c r="F30" s="17">
        <f>IF(L23&lt;=5,(L23*L25^2)/(L24^2),(5*L25^2)/(L24^2) )</f>
        <v>0.02</v>
      </c>
      <c r="J30" s="4"/>
      <c r="K30" s="4"/>
      <c r="L30" s="4"/>
      <c r="Q30" s="4"/>
    </row>
    <row r="31" spans="3:17" x14ac:dyDescent="0.35">
      <c r="C31" s="14" t="s">
        <v>53</v>
      </c>
      <c r="D31" s="15">
        <f xml:space="preserve"> 1/((1 +5*D30 + 12.8*D30^2 + 17*D30^3 + 45.1*D30^4)^2)</f>
        <v>0.81859401823907385</v>
      </c>
      <c r="E31" s="16" t="s">
        <v>53</v>
      </c>
      <c r="F31" s="17">
        <f xml:space="preserve"> 1/((1 +5*F30 + 12.8*F30^2 + 17*F30^3 + 45.1*F30^4)^2)</f>
        <v>0.81859401823907385</v>
      </c>
      <c r="J31" s="4"/>
      <c r="K31" s="4"/>
      <c r="L31" s="4"/>
      <c r="Q31" s="4"/>
    </row>
    <row r="32" spans="3:17" x14ac:dyDescent="0.35">
      <c r="C32" s="2"/>
      <c r="E32" s="16" t="s">
        <v>58</v>
      </c>
      <c r="F32" s="17">
        <f>L17/(8*L11)</f>
        <v>9.9471839432434587E-4</v>
      </c>
      <c r="J32" s="4"/>
      <c r="K32" s="4" t="s">
        <v>28</v>
      </c>
      <c r="L32" s="4"/>
      <c r="P32" s="20">
        <v>20.88</v>
      </c>
      <c r="Q32" s="4" t="s">
        <v>66</v>
      </c>
    </row>
    <row r="33" spans="3:17" x14ac:dyDescent="0.35">
      <c r="J33" s="4"/>
      <c r="K33" s="4" t="s">
        <v>29</v>
      </c>
      <c r="L33" s="4"/>
      <c r="P33" s="20">
        <f>P32*L22/1000</f>
        <v>18.792000000000002</v>
      </c>
      <c r="Q33" s="4"/>
    </row>
    <row r="34" spans="3:17" x14ac:dyDescent="0.35">
      <c r="J34" s="4"/>
      <c r="K34" s="4"/>
      <c r="L34" s="4"/>
    </row>
    <row r="36" spans="3:17" ht="15" thickBot="1" x14ac:dyDescent="0.4"/>
    <row r="37" spans="3:17" ht="18" customHeight="1" x14ac:dyDescent="0.35">
      <c r="C37" s="32" t="s">
        <v>69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4"/>
    </row>
    <row r="38" spans="3:17" ht="15" customHeight="1" thickBot="1" x14ac:dyDescent="0.4">
      <c r="C38" s="35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7"/>
    </row>
  </sheetData>
  <mergeCells count="4">
    <mergeCell ref="C6:N7"/>
    <mergeCell ref="C17:D17"/>
    <mergeCell ref="E17:F17"/>
    <mergeCell ref="C37:N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3F85D-F3C2-44C2-87A9-74BA18B7F231}">
  <dimension ref="C2:Q38"/>
  <sheetViews>
    <sheetView topLeftCell="B9" workbookViewId="0">
      <selection activeCell="H28" sqref="H28"/>
    </sheetView>
  </sheetViews>
  <sheetFormatPr defaultRowHeight="14.5" x14ac:dyDescent="0.35"/>
  <cols>
    <col min="3" max="3" width="12" customWidth="1"/>
    <col min="4" max="4" width="11.36328125" style="1" customWidth="1"/>
    <col min="5" max="5" width="13.1796875" bestFit="1" customWidth="1"/>
    <col min="6" max="6" width="12.08984375" bestFit="1" customWidth="1"/>
    <col min="7" max="7" width="10.36328125" customWidth="1"/>
    <col min="8" max="8" width="9.54296875" bestFit="1" customWidth="1"/>
    <col min="9" max="13" width="9" bestFit="1" customWidth="1"/>
    <col min="14" max="14" width="9.54296875" bestFit="1" customWidth="1"/>
    <col min="16" max="16" width="9.90625" customWidth="1"/>
  </cols>
  <sheetData>
    <row r="2" spans="3:15" x14ac:dyDescent="0.35">
      <c r="C2" t="s">
        <v>64</v>
      </c>
    </row>
    <row r="5" spans="3:15" ht="15" thickBot="1" x14ac:dyDescent="0.4"/>
    <row r="6" spans="3:15" ht="14.4" customHeight="1" x14ac:dyDescent="0.35">
      <c r="C6" s="38" t="s">
        <v>62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40"/>
    </row>
    <row r="7" spans="3:15" ht="15" thickBot="1" x14ac:dyDescent="0.4">
      <c r="C7" s="41"/>
      <c r="D7" s="42"/>
      <c r="E7" s="42"/>
      <c r="F7" s="42"/>
      <c r="G7" s="42"/>
      <c r="H7" s="42"/>
      <c r="I7" s="42"/>
      <c r="J7" s="42"/>
      <c r="K7" s="42"/>
      <c r="L7" s="42"/>
      <c r="M7" s="42"/>
      <c r="N7" s="43"/>
    </row>
    <row r="9" spans="3:15" x14ac:dyDescent="0.35">
      <c r="C9" s="11" t="s">
        <v>1</v>
      </c>
      <c r="D9" s="10" t="s">
        <v>9</v>
      </c>
      <c r="E9" s="10" t="s">
        <v>10</v>
      </c>
      <c r="F9" s="51" t="s">
        <v>4</v>
      </c>
      <c r="G9" s="10" t="s">
        <v>11</v>
      </c>
      <c r="H9" s="10" t="s">
        <v>5</v>
      </c>
      <c r="I9" s="10" t="s">
        <v>63</v>
      </c>
      <c r="J9" s="10" t="s">
        <v>6</v>
      </c>
      <c r="K9" s="51" t="s">
        <v>7</v>
      </c>
      <c r="L9" s="10" t="s">
        <v>41</v>
      </c>
      <c r="M9" s="10" t="s">
        <v>12</v>
      </c>
      <c r="N9" s="10" t="s">
        <v>13</v>
      </c>
      <c r="O9" s="10" t="s">
        <v>8</v>
      </c>
    </row>
    <row r="10" spans="3:15" x14ac:dyDescent="0.35">
      <c r="C10" s="11" t="s">
        <v>2</v>
      </c>
      <c r="D10" s="10">
        <f>L15*D15*D16*D18*D19*D20/(L16^2 * (L10 * D22)^(1/3))</f>
        <v>2.4948048764906642E-2</v>
      </c>
      <c r="E10" s="10">
        <f>D26*D10</f>
        <v>8.02157551925382E-3</v>
      </c>
      <c r="F10" s="51">
        <f>D29*D10</f>
        <v>2.4339466563181551E-2</v>
      </c>
      <c r="G10" s="10">
        <f>D31*F10</f>
        <v>1.9924141735750366E-2</v>
      </c>
      <c r="H10" s="22">
        <f>(J10*L16^2*(L10*D22)^(1/3))/(L15*D16*D18*D19*D20)</f>
        <v>770.43662180090473</v>
      </c>
      <c r="I10" s="8">
        <f>($D$15-H10)/D$15*100</f>
        <v>-501.24942601121819</v>
      </c>
      <c r="J10" s="10">
        <f>0.15</f>
        <v>0.15</v>
      </c>
      <c r="K10" s="51">
        <f>0.15+0.05</f>
        <v>0.2</v>
      </c>
      <c r="L10" s="22">
        <f>(PI()*L17^2*L21)/4</f>
        <v>1005.3096491487338</v>
      </c>
      <c r="M10" s="22">
        <f>0.65*(L10*D22/L16)^(1/3)</f>
        <v>5.7502005845193302</v>
      </c>
      <c r="N10" s="22">
        <f>IF(D16=1,L16*D23,IF(D16&gt;=2,D23*L16*(5-D16)/4, "error"))</f>
        <v>2476.6107192506197</v>
      </c>
      <c r="O10" s="22">
        <f>((5-D16)/4)*D23*L16</f>
        <v>2476.6107192506197</v>
      </c>
    </row>
    <row r="11" spans="3:15" x14ac:dyDescent="0.35">
      <c r="C11" s="11" t="s">
        <v>3</v>
      </c>
      <c r="D11" s="10">
        <f>(L15*D15*D16*D19*D20*F32)/(L16^(4/3))</f>
        <v>3.838297402692268E-2</v>
      </c>
      <c r="E11" s="10">
        <f>D11*F26</f>
        <v>3.5199936989731569E-2</v>
      </c>
      <c r="F11" s="51">
        <f>D11*F29</f>
        <v>3.7248505250008709E-2</v>
      </c>
      <c r="G11" s="10">
        <f>F11*F31</f>
        <v>3.0491403586003867E-2</v>
      </c>
      <c r="H11" s="22">
        <f>J11*L16^(4/3)/(L15*D16*D19*D20*F32)</f>
        <v>500.76605313274951</v>
      </c>
      <c r="I11" s="8">
        <f>($D$15-H11)/D$15*100</f>
        <v>-290.79827398154873</v>
      </c>
      <c r="J11" s="10">
        <f>0.15</f>
        <v>0.15</v>
      </c>
      <c r="K11" s="51">
        <f>0.15+0.05</f>
        <v>0.2</v>
      </c>
      <c r="L11" s="22">
        <f>(PI()*L17^2*L21)/4</f>
        <v>1005.3096491487338</v>
      </c>
      <c r="M11" s="22">
        <f>1.3*L21*L17/L16</f>
        <v>1.3866666666666667</v>
      </c>
      <c r="N11" s="22">
        <f>IF(D16=1,L16*F23,IF(D16&gt;=2,F23*L16*(5-D16)/4, "error"))</f>
        <v>1778.4</v>
      </c>
      <c r="O11" s="22">
        <f>((5-D16)/4)*F23*L16</f>
        <v>1778.4000000000003</v>
      </c>
    </row>
    <row r="13" spans="3:15" x14ac:dyDescent="0.35">
      <c r="F13" s="50" t="s">
        <v>68</v>
      </c>
    </row>
    <row r="15" spans="3:15" x14ac:dyDescent="0.35">
      <c r="C15" s="12" t="s">
        <v>14</v>
      </c>
      <c r="D15" s="13">
        <f>P33*10^9/(365*24*60*60)</f>
        <v>128.13926940639271</v>
      </c>
      <c r="E15" s="6" t="s">
        <v>57</v>
      </c>
      <c r="K15" s="18" t="s">
        <v>36</v>
      </c>
      <c r="L15" s="18">
        <v>120</v>
      </c>
      <c r="M15" s="7" t="s">
        <v>37</v>
      </c>
    </row>
    <row r="16" spans="3:15" x14ac:dyDescent="0.35">
      <c r="C16" s="12" t="s">
        <v>15</v>
      </c>
      <c r="D16" s="13">
        <v>2</v>
      </c>
      <c r="K16" s="18" t="s">
        <v>19</v>
      </c>
      <c r="L16" s="18">
        <v>150</v>
      </c>
      <c r="M16" s="7" t="s">
        <v>20</v>
      </c>
    </row>
    <row r="17" spans="3:17" x14ac:dyDescent="0.35">
      <c r="C17" s="29" t="s">
        <v>59</v>
      </c>
      <c r="D17" s="30"/>
      <c r="E17" s="31" t="s">
        <v>60</v>
      </c>
      <c r="F17" s="31"/>
      <c r="K17" s="18" t="s">
        <v>21</v>
      </c>
      <c r="L17" s="18">
        <v>8</v>
      </c>
      <c r="M17" s="7" t="s">
        <v>22</v>
      </c>
    </row>
    <row r="18" spans="3:17" x14ac:dyDescent="0.35">
      <c r="C18" s="14" t="s">
        <v>16</v>
      </c>
      <c r="D18" s="15">
        <f>1/(0.67+0.1*SQRT(D21)+0.34*(D21)^(1/3))</f>
        <v>0.85794413166863548</v>
      </c>
      <c r="E18" s="16" t="s">
        <v>16</v>
      </c>
      <c r="F18" s="17">
        <f>1/(0.67+0.1*SQRT(F21)+0.34*(F21)^(1/3))</f>
        <v>0.85794413166863548</v>
      </c>
      <c r="K18" s="18" t="s">
        <v>23</v>
      </c>
      <c r="L18" s="18">
        <v>125</v>
      </c>
      <c r="M18" s="7" t="s">
        <v>24</v>
      </c>
    </row>
    <row r="19" spans="3:17" x14ac:dyDescent="0.35">
      <c r="C19" s="14" t="s">
        <v>17</v>
      </c>
      <c r="D19" s="15">
        <f>IF(M10&lt;0.5,4.4*M10,IF(M10&lt;2,(0.53*M10^2-2.13*M10+3.13),(1)))</f>
        <v>1</v>
      </c>
      <c r="E19" s="16" t="s">
        <v>17</v>
      </c>
      <c r="F19" s="17">
        <f>IF(M10&lt;0.5,4.4*M10,IF(M10&lt;2,(0.53*M10^2-2.13*M10+3.13),(1)))</f>
        <v>1</v>
      </c>
      <c r="K19" s="18" t="s">
        <v>32</v>
      </c>
      <c r="L19" s="18">
        <v>21.7</v>
      </c>
      <c r="M19" s="7" t="s">
        <v>33</v>
      </c>
    </row>
    <row r="20" spans="3:17" x14ac:dyDescent="0.35">
      <c r="C20" s="14" t="s">
        <v>18</v>
      </c>
      <c r="D20" s="15">
        <v>1</v>
      </c>
      <c r="E20" s="16" t="s">
        <v>18</v>
      </c>
      <c r="F20" s="17">
        <v>1</v>
      </c>
      <c r="K20" s="18" t="s">
        <v>31</v>
      </c>
      <c r="L20" s="18">
        <v>-17.7</v>
      </c>
      <c r="M20" s="7" t="s">
        <v>34</v>
      </c>
    </row>
    <row r="21" spans="3:17" x14ac:dyDescent="0.35">
      <c r="C21" s="14" t="s">
        <v>35</v>
      </c>
      <c r="D21" s="15">
        <f>1000*L21^2*L17/(L16^2*D22)</f>
        <v>1.3767882112509411</v>
      </c>
      <c r="E21" s="16" t="s">
        <v>35</v>
      </c>
      <c r="F21" s="17">
        <f>1000*L21^2*L17/(L16^2*F22)</f>
        <v>1.3767882112509411</v>
      </c>
      <c r="K21" s="18" t="s">
        <v>27</v>
      </c>
      <c r="L21" s="18">
        <v>20</v>
      </c>
      <c r="M21" s="7" t="s">
        <v>26</v>
      </c>
    </row>
    <row r="22" spans="3:17" x14ac:dyDescent="0.35">
      <c r="C22" s="14" t="s">
        <v>30</v>
      </c>
      <c r="D22" s="15">
        <f>ABS(L18-L19)</f>
        <v>103.3</v>
      </c>
      <c r="E22" s="16" t="s">
        <v>30</v>
      </c>
      <c r="F22" s="17">
        <f>ABS(L18-L19)</f>
        <v>103.3</v>
      </c>
      <c r="K22" s="18" t="s">
        <v>25</v>
      </c>
      <c r="L22" s="18">
        <v>900</v>
      </c>
      <c r="M22" s="7" t="s">
        <v>54</v>
      </c>
    </row>
    <row r="23" spans="3:17" x14ac:dyDescent="0.35">
      <c r="C23" s="14" t="s">
        <v>38</v>
      </c>
      <c r="D23" s="15">
        <f>IF(M10&lt;=2, 4.95*M10*(1+0.28*(D21)^(1/3)),7*SQRT(M10)*(1+0.28*(D21)^(1/3)))</f>
        <v>22.014317504449952</v>
      </c>
      <c r="E23" s="16" t="s">
        <v>38</v>
      </c>
      <c r="F23" s="17">
        <f>IF(M11&lt;=2, M11*11.4, 16.1*SQRT(M11))</f>
        <v>15.808000000000002</v>
      </c>
      <c r="K23" s="18" t="s">
        <v>39</v>
      </c>
      <c r="L23" s="18">
        <v>2</v>
      </c>
      <c r="M23" s="7" t="s">
        <v>40</v>
      </c>
    </row>
    <row r="24" spans="3:17" x14ac:dyDescent="0.35">
      <c r="C24" s="14" t="s">
        <v>43</v>
      </c>
      <c r="D24" s="15">
        <f>IF(M10 &lt;= 0.5, 0.5, IF(M10 &lt;= 2, M10, M10 * (1 + 0.12 * SQRT(D21))))</f>
        <v>6.5598514973626036</v>
      </c>
      <c r="E24" s="16" t="s">
        <v>43</v>
      </c>
      <c r="F24" s="17">
        <f>IF(M11 &lt;= 0.5, 0.5, IF(M11 &lt;= 2, M11, 2.2*M11))</f>
        <v>1.3866666666666667</v>
      </c>
      <c r="K24" s="18" t="s">
        <v>47</v>
      </c>
      <c r="L24" s="18">
        <v>2000</v>
      </c>
      <c r="M24" s="7" t="s">
        <v>48</v>
      </c>
    </row>
    <row r="25" spans="3:17" x14ac:dyDescent="0.35">
      <c r="C25" s="14" t="s">
        <v>44</v>
      </c>
      <c r="D25" s="15">
        <f>L23/D24</f>
        <v>0.30488495064318183</v>
      </c>
      <c r="E25" s="16" t="s">
        <v>44</v>
      </c>
      <c r="F25" s="17">
        <f>L23/F24</f>
        <v>1.4423076923076923</v>
      </c>
      <c r="K25" s="18" t="s">
        <v>51</v>
      </c>
      <c r="L25" s="18">
        <v>200</v>
      </c>
      <c r="M25" s="7" t="s">
        <v>52</v>
      </c>
    </row>
    <row r="26" spans="3:17" x14ac:dyDescent="0.35">
      <c r="C26" s="14" t="s">
        <v>42</v>
      </c>
      <c r="D26" s="15">
        <f>IF(D25&lt;=1, (0.67*D25 + 1.67*D25^2 - 1.34*D25^3), (3*D25)/(2*D25^2 - D25 + 2))</f>
        <v>0.32153117844379991</v>
      </c>
      <c r="E26" s="16" t="s">
        <v>42</v>
      </c>
      <c r="F26" s="17">
        <f>IF(F25&lt;=1, (0.67*F25 + 1.67*F25^2 - 1.34*F25^3), (3*F25)/(2*F25^2 - F25 + 2))</f>
        <v>0.91707164132309138</v>
      </c>
    </row>
    <row r="27" spans="3:17" x14ac:dyDescent="0.35">
      <c r="C27" s="14" t="s">
        <v>45</v>
      </c>
      <c r="D27" s="15">
        <f>IF(D25&lt;=0.25,3,IF(D25&lt;=1,8.43*(1-D25)^5+1,0.32*D25+0.68))</f>
        <v>2.3680785397379767</v>
      </c>
      <c r="E27" s="16" t="s">
        <v>45</v>
      </c>
      <c r="F27" s="17">
        <f>IF(F25&lt;=0.25,3,IF(F25&lt;=1,8.43*(1-F25)^5+1,0.32*F25+0.68))</f>
        <v>1.1415384615384616</v>
      </c>
      <c r="J27" s="7"/>
      <c r="K27" s="7"/>
      <c r="L27" s="7"/>
      <c r="M27" s="7"/>
      <c r="N27" s="7"/>
      <c r="O27" s="7"/>
    </row>
    <row r="28" spans="3:17" x14ac:dyDescent="0.35">
      <c r="C28" s="14" t="s">
        <v>46</v>
      </c>
      <c r="D28" s="15">
        <f>L24/N10</f>
        <v>0.8075552546284569</v>
      </c>
      <c r="E28" s="16" t="s">
        <v>46</v>
      </c>
      <c r="F28" s="17">
        <f>L24/N11</f>
        <v>1.1246063877642825</v>
      </c>
      <c r="J28" s="7"/>
      <c r="K28" s="7" t="s">
        <v>55</v>
      </c>
      <c r="L28" s="7"/>
      <c r="M28" s="7"/>
      <c r="N28" s="7"/>
      <c r="O28" s="7"/>
      <c r="P28" s="19">
        <v>2300000</v>
      </c>
    </row>
    <row r="29" spans="3:17" x14ac:dyDescent="0.35">
      <c r="C29" s="14" t="s">
        <v>49</v>
      </c>
      <c r="D29" s="15">
        <f>IF(D28&lt;=1,3*D28^4-8*D28^3+6*D28^2, IF(D28 &lt;= 8, 1.13/(0.13*D28^2+1), IF(D16=1, D28/(3.58*D28^2 - 35.2*D28 + 120), 1/(0.1*D28^2 + 2.47*D28 - 17.8))))</f>
        <v>0.97560602003547636</v>
      </c>
      <c r="E29" s="16" t="s">
        <v>49</v>
      </c>
      <c r="F29" s="17">
        <f>IF(F28&lt;=1,3*F28^4-8*F28^3+6*F28^2, IF(F28 &lt;= 8, 1.13/(0.13*F28^2+1), IF(D16=1, F28/(3.58*F28^2 - 35.2*F28 + 120), 1/(0.1*F28^2 + 2.47*F28 - 17.8))))</f>
        <v>0.97044343733973737</v>
      </c>
      <c r="J29" s="7"/>
      <c r="K29" s="7" t="s">
        <v>56</v>
      </c>
      <c r="L29" s="7"/>
      <c r="M29" s="7"/>
      <c r="N29" s="7"/>
      <c r="O29" s="7"/>
      <c r="P29" s="19">
        <f>P28*L22/1000</f>
        <v>2070000</v>
      </c>
    </row>
    <row r="30" spans="3:17" x14ac:dyDescent="0.35">
      <c r="C30" s="14" t="s">
        <v>50</v>
      </c>
      <c r="D30" s="15">
        <f>IF(L23&lt;=5,(L23*L25^2)/(L24^2),(5*L25^2)/(L24^2) )</f>
        <v>0.02</v>
      </c>
      <c r="E30" s="16" t="s">
        <v>50</v>
      </c>
      <c r="F30" s="17">
        <f>IF(L23&lt;=5,(L23*L25^2)/(L24^2),(5*L25^2)/(L24^2) )</f>
        <v>0.02</v>
      </c>
      <c r="J30" s="7"/>
      <c r="K30" s="7"/>
      <c r="L30" s="7"/>
      <c r="M30" s="7"/>
      <c r="N30" s="7"/>
      <c r="O30" s="7"/>
    </row>
    <row r="31" spans="3:17" x14ac:dyDescent="0.35">
      <c r="C31" s="14" t="s">
        <v>53</v>
      </c>
      <c r="D31" s="15">
        <f xml:space="preserve"> 1/((1 +5*D30 + 12.8*D30^2 + 17*D30^3 + 45.1*D30^4)^2)</f>
        <v>0.81859401823907385</v>
      </c>
      <c r="E31" s="16" t="s">
        <v>53</v>
      </c>
      <c r="F31" s="17">
        <f xml:space="preserve"> 1/((1 +5*F30 + 12.8*F30^2 + 17*F30^3 + 45.1*F30^4)^2)</f>
        <v>0.81859401823907385</v>
      </c>
      <c r="J31" s="7"/>
      <c r="K31" s="7"/>
      <c r="L31" s="7"/>
      <c r="M31" s="7"/>
      <c r="N31" s="7"/>
      <c r="O31" s="7"/>
    </row>
    <row r="32" spans="3:17" x14ac:dyDescent="0.35">
      <c r="C32" s="2"/>
      <c r="E32" s="16" t="s">
        <v>58</v>
      </c>
      <c r="F32" s="17">
        <f>L17/(8*L11)</f>
        <v>9.9471839432434587E-4</v>
      </c>
      <c r="J32" s="7"/>
      <c r="K32" s="7" t="s">
        <v>28</v>
      </c>
      <c r="L32" s="7"/>
      <c r="M32" s="7"/>
      <c r="N32" s="7"/>
      <c r="O32" s="7"/>
      <c r="P32" s="18">
        <v>4.49</v>
      </c>
      <c r="Q32" s="4" t="s">
        <v>65</v>
      </c>
    </row>
    <row r="33" spans="3:16" x14ac:dyDescent="0.35">
      <c r="J33" s="7"/>
      <c r="K33" s="7" t="s">
        <v>29</v>
      </c>
      <c r="L33" s="7"/>
      <c r="M33" s="7"/>
      <c r="N33" s="7"/>
      <c r="O33" s="7"/>
      <c r="P33" s="18">
        <f>P32*L22/1000</f>
        <v>4.0410000000000004</v>
      </c>
    </row>
    <row r="34" spans="3:16" x14ac:dyDescent="0.35">
      <c r="J34" s="7"/>
      <c r="K34" s="7"/>
      <c r="L34" s="7"/>
      <c r="M34" s="7"/>
      <c r="N34" s="7"/>
      <c r="O34" s="7"/>
    </row>
    <row r="36" spans="3:16" ht="15" thickBot="1" x14ac:dyDescent="0.4"/>
    <row r="37" spans="3:16" ht="18" customHeight="1" x14ac:dyDescent="0.35">
      <c r="C37" s="44" t="s">
        <v>69</v>
      </c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6"/>
    </row>
    <row r="38" spans="3:16" ht="15" customHeight="1" thickBot="1" x14ac:dyDescent="0.4">
      <c r="C38" s="47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9"/>
    </row>
  </sheetData>
  <mergeCells count="4">
    <mergeCell ref="C6:N7"/>
    <mergeCell ref="C17:D17"/>
    <mergeCell ref="E17:F17"/>
    <mergeCell ref="C37:P3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SO2</vt:lpstr>
      <vt:lpstr>NOx</vt:lpstr>
      <vt:lpstr>Твёрдые частицы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</dc:creator>
  <cp:lastModifiedBy>Михаил Кругуз</cp:lastModifiedBy>
  <dcterms:created xsi:type="dcterms:W3CDTF">2021-02-19T10:18:34Z</dcterms:created>
  <dcterms:modified xsi:type="dcterms:W3CDTF">2021-04-12T20:17:12Z</dcterms:modified>
</cp:coreProperties>
</file>