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imperiallondon-my.sharepoint.com/personal/mo322_ic_ac_uk/Documents/Year 3 MSE/MATE60002 Theory and Simulation of Materials/Finite Element Simulations (Stephen Hanham)/"/>
    </mc:Choice>
  </mc:AlternateContent>
  <xr:revisionPtr revIDLastSave="757" documentId="8_{87517B1A-BF48-4EA1-A184-9E5B49E0F459}" xr6:coauthVersionLast="47" xr6:coauthVersionMax="47" xr10:uidLastSave="{1CFB6364-B03F-492B-8477-F6A07D4E2F58}"/>
  <bookViews>
    <workbookView xWindow="-108" yWindow="-108" windowWidth="23256" windowHeight="12456" xr2:uid="{FAD0719B-13C4-4016-9E17-48E8280F1A9A}"/>
  </bookViews>
  <sheets>
    <sheet name="APPENDIX INFORMATION" sheetId="2" r:id="rId1"/>
    <sheet name="1.4.1" sheetId="1" r:id="rId2"/>
    <sheet name="2.3.1" sheetId="4" r:id="rId3"/>
    <sheet name="2.3.2" sheetId="6" r:id="rId4"/>
    <sheet name="3.5.2 " sheetId="7" r:id="rId5"/>
    <sheet name="4.4.1 (Oxidation)" sheetId="8" r:id="rId6"/>
    <sheet name="4.4.1 (Reduction)"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28" i="8" l="1"/>
  <c r="AE22" i="8"/>
  <c r="AE23" i="8"/>
  <c r="AE24" i="8"/>
  <c r="AE21" i="8"/>
  <c r="AD24" i="8"/>
  <c r="AD23" i="8"/>
  <c r="AD22" i="8"/>
  <c r="AD21" i="8"/>
  <c r="AB23" i="8"/>
  <c r="AB22" i="8"/>
  <c r="AB21" i="8"/>
  <c r="P7" i="9"/>
  <c r="P6" i="9"/>
  <c r="P5" i="9"/>
  <c r="P4" i="9"/>
  <c r="P3" i="9"/>
  <c r="R11" i="9" s="1"/>
  <c r="A3" i="9"/>
  <c r="B3" i="9"/>
  <c r="H3" i="9"/>
  <c r="I3" i="9" s="1"/>
  <c r="A4" i="9"/>
  <c r="B4" i="9" s="1"/>
  <c r="H4" i="9"/>
  <c r="I4" i="9"/>
  <c r="A5" i="9"/>
  <c r="B5" i="9" s="1"/>
  <c r="H5" i="9"/>
  <c r="I5" i="9"/>
  <c r="A6" i="9"/>
  <c r="B6" i="9" s="1"/>
  <c r="H6" i="9"/>
  <c r="I6" i="9" s="1"/>
  <c r="A7" i="9"/>
  <c r="B7" i="9" s="1"/>
  <c r="H7" i="9"/>
  <c r="I7" i="9"/>
  <c r="A8" i="9"/>
  <c r="B8" i="9"/>
  <c r="H8" i="9"/>
  <c r="I8" i="9" s="1"/>
  <c r="A9" i="9"/>
  <c r="B9" i="9" s="1"/>
  <c r="H9" i="9"/>
  <c r="I9" i="9"/>
  <c r="A10" i="9"/>
  <c r="B10" i="9" s="1"/>
  <c r="H10" i="9"/>
  <c r="I10" i="9"/>
  <c r="A11" i="9"/>
  <c r="B11" i="9" s="1"/>
  <c r="H11" i="9"/>
  <c r="I11" i="9"/>
  <c r="A12" i="9"/>
  <c r="B12" i="9" s="1"/>
  <c r="H12" i="9"/>
  <c r="I12" i="9" s="1"/>
  <c r="A13" i="9"/>
  <c r="B13" i="9" s="1"/>
  <c r="H13" i="9"/>
  <c r="I13" i="9" s="1"/>
  <c r="A14" i="9"/>
  <c r="B14" i="9" s="1"/>
  <c r="H14" i="9"/>
  <c r="I14" i="9" s="1"/>
  <c r="A15" i="9"/>
  <c r="B15" i="9"/>
  <c r="I15" i="9"/>
  <c r="A16" i="9"/>
  <c r="B16" i="9" s="1"/>
  <c r="U11" i="9"/>
  <c r="A17" i="9"/>
  <c r="B17" i="9" s="1"/>
  <c r="A18" i="9"/>
  <c r="B18" i="9"/>
  <c r="A19" i="9"/>
  <c r="B19" i="9"/>
  <c r="I19" i="9"/>
  <c r="A20" i="9"/>
  <c r="B20" i="9" s="1"/>
  <c r="I20" i="9"/>
  <c r="A21" i="9"/>
  <c r="B21" i="9" s="1"/>
  <c r="I21" i="9"/>
  <c r="A22" i="9"/>
  <c r="B22" i="9"/>
  <c r="I22" i="9"/>
  <c r="A23" i="9"/>
  <c r="B23" i="9" s="1"/>
  <c r="I23" i="9"/>
  <c r="A24" i="9"/>
  <c r="B24" i="9" s="1"/>
  <c r="I24" i="9"/>
  <c r="A25" i="9"/>
  <c r="B25" i="9" s="1"/>
  <c r="I25" i="9"/>
  <c r="A26" i="9"/>
  <c r="B26" i="9" s="1"/>
  <c r="I26" i="9"/>
  <c r="A27" i="9"/>
  <c r="B27" i="9" s="1"/>
  <c r="I27" i="9"/>
  <c r="A28" i="9"/>
  <c r="B28" i="9" s="1"/>
  <c r="I28" i="9"/>
  <c r="A29" i="9"/>
  <c r="B29" i="9" s="1"/>
  <c r="I29" i="9"/>
  <c r="A30" i="9"/>
  <c r="B30" i="9" s="1"/>
  <c r="I30" i="9"/>
  <c r="A31" i="9"/>
  <c r="B31" i="9"/>
  <c r="I31" i="9"/>
  <c r="A32" i="9"/>
  <c r="B32" i="9"/>
  <c r="I32" i="9"/>
  <c r="A33" i="9"/>
  <c r="B33" i="9" s="1"/>
  <c r="I33" i="9"/>
  <c r="A34" i="9"/>
  <c r="B34" i="9" s="1"/>
  <c r="I34" i="9"/>
  <c r="A35" i="9"/>
  <c r="B35" i="9" s="1"/>
  <c r="I35" i="9"/>
  <c r="A36" i="9"/>
  <c r="B36" i="9" s="1"/>
  <c r="I36" i="9"/>
  <c r="A37" i="9"/>
  <c r="B37" i="9" s="1"/>
  <c r="I37" i="9"/>
  <c r="A38" i="9"/>
  <c r="B38" i="9" s="1"/>
  <c r="I38" i="9"/>
  <c r="A39" i="9"/>
  <c r="B39" i="9"/>
  <c r="I39" i="9"/>
  <c r="A40" i="9"/>
  <c r="B40" i="9" s="1"/>
  <c r="I40" i="9"/>
  <c r="A41" i="9"/>
  <c r="B41" i="9" s="1"/>
  <c r="I41" i="9"/>
  <c r="A42" i="9"/>
  <c r="B42" i="9" s="1"/>
  <c r="I42" i="9"/>
  <c r="A43" i="9"/>
  <c r="B43" i="9"/>
  <c r="I43" i="9"/>
  <c r="A44" i="9"/>
  <c r="B44" i="9" s="1"/>
  <c r="I44" i="9"/>
  <c r="A45" i="9"/>
  <c r="B45" i="9" s="1"/>
  <c r="I45" i="9"/>
  <c r="A46" i="9"/>
  <c r="B46" i="9"/>
  <c r="I46" i="9"/>
  <c r="A47" i="9"/>
  <c r="B47" i="9"/>
  <c r="I47" i="9"/>
  <c r="A48" i="9"/>
  <c r="B48" i="9" s="1"/>
  <c r="I48" i="9"/>
  <c r="A49" i="9"/>
  <c r="B49" i="9" s="1"/>
  <c r="I49" i="9"/>
  <c r="A50" i="9"/>
  <c r="B50" i="9" s="1"/>
  <c r="I50" i="9"/>
  <c r="A51" i="9"/>
  <c r="B51" i="9" s="1"/>
  <c r="I51" i="9"/>
  <c r="A52" i="9"/>
  <c r="B52" i="9" s="1"/>
  <c r="I52" i="9"/>
  <c r="A53" i="9"/>
  <c r="B53" i="9"/>
  <c r="I53" i="9"/>
  <c r="A54" i="9"/>
  <c r="B54" i="9" s="1"/>
  <c r="I54" i="9"/>
  <c r="A55" i="9"/>
  <c r="B55" i="9" s="1"/>
  <c r="I55" i="9"/>
  <c r="A56" i="9"/>
  <c r="B56" i="9"/>
  <c r="A57" i="9"/>
  <c r="B57" i="9" s="1"/>
  <c r="A58" i="9"/>
  <c r="B58" i="9" s="1"/>
  <c r="A59" i="9"/>
  <c r="B59" i="9" s="1"/>
  <c r="A60" i="9"/>
  <c r="B60" i="9" s="1"/>
  <c r="A61" i="9"/>
  <c r="B61" i="9" s="1"/>
  <c r="A62" i="9"/>
  <c r="B62" i="9"/>
  <c r="A63" i="9"/>
  <c r="B63" i="9" s="1"/>
  <c r="A64" i="9"/>
  <c r="B64" i="9" s="1"/>
  <c r="A65" i="9"/>
  <c r="B65" i="9" s="1"/>
  <c r="A66" i="9"/>
  <c r="B66" i="9"/>
  <c r="A67" i="9"/>
  <c r="B67" i="9" s="1"/>
  <c r="A68" i="9"/>
  <c r="B68" i="9" s="1"/>
  <c r="A69" i="9"/>
  <c r="B69" i="9"/>
  <c r="A70" i="9"/>
  <c r="B70" i="9" s="1"/>
  <c r="A71" i="9"/>
  <c r="B71" i="9" s="1"/>
  <c r="A72" i="9"/>
  <c r="B72" i="9"/>
  <c r="A73" i="9"/>
  <c r="B73" i="9" s="1"/>
  <c r="A74" i="9"/>
  <c r="B74" i="9"/>
  <c r="A75" i="9"/>
  <c r="B75" i="9" s="1"/>
  <c r="A76" i="9"/>
  <c r="B76" i="9" s="1"/>
  <c r="A77" i="9"/>
  <c r="B77" i="9" s="1"/>
  <c r="A78" i="9"/>
  <c r="B78" i="9"/>
  <c r="A79" i="9"/>
  <c r="B79" i="9"/>
  <c r="A80" i="9"/>
  <c r="B80" i="9"/>
  <c r="A81" i="9"/>
  <c r="B81" i="9" s="1"/>
  <c r="A82" i="9"/>
  <c r="B82" i="9" s="1"/>
  <c r="A83" i="9"/>
  <c r="B83" i="9"/>
  <c r="A84" i="9"/>
  <c r="B84" i="9"/>
  <c r="A85" i="9"/>
  <c r="B85" i="9" s="1"/>
  <c r="A86" i="9"/>
  <c r="B86" i="9" s="1"/>
  <c r="A87" i="9"/>
  <c r="B87" i="9" s="1"/>
  <c r="A88" i="9"/>
  <c r="B88" i="9"/>
  <c r="A89" i="9"/>
  <c r="B89" i="9" s="1"/>
  <c r="A90" i="9"/>
  <c r="B90" i="9"/>
  <c r="A91" i="9"/>
  <c r="B91" i="9" s="1"/>
  <c r="A92" i="9"/>
  <c r="B92" i="9" s="1"/>
  <c r="A93" i="9"/>
  <c r="B93" i="9" s="1"/>
  <c r="A94" i="9"/>
  <c r="B94" i="9" s="1"/>
  <c r="A95" i="9"/>
  <c r="B95" i="9"/>
  <c r="A96" i="9"/>
  <c r="B96" i="9"/>
  <c r="A97" i="9"/>
  <c r="B97" i="9" s="1"/>
  <c r="A98" i="9"/>
  <c r="B98" i="9" s="1"/>
  <c r="A99" i="9"/>
  <c r="B99" i="9"/>
  <c r="A100" i="9"/>
  <c r="B100" i="9"/>
  <c r="A101" i="9"/>
  <c r="B101" i="9"/>
  <c r="A102" i="9"/>
  <c r="B102" i="9" s="1"/>
  <c r="A103" i="9"/>
  <c r="B103" i="9" s="1"/>
  <c r="A104" i="9"/>
  <c r="B104" i="9" s="1"/>
  <c r="A105" i="9"/>
  <c r="B105" i="9"/>
  <c r="A106" i="9"/>
  <c r="B106" i="9"/>
  <c r="A107" i="9"/>
  <c r="B107" i="9" s="1"/>
  <c r="A108" i="9"/>
  <c r="B108" i="9" s="1"/>
  <c r="A109" i="9"/>
  <c r="B109" i="9" s="1"/>
  <c r="A110" i="9"/>
  <c r="B110" i="9"/>
  <c r="A111" i="9"/>
  <c r="B111" i="9" s="1"/>
  <c r="A112" i="9"/>
  <c r="B112" i="9"/>
  <c r="A113" i="9"/>
  <c r="B113" i="9" s="1"/>
  <c r="A114" i="9"/>
  <c r="B114" i="9"/>
  <c r="A115" i="9"/>
  <c r="B115" i="9"/>
  <c r="A116" i="9"/>
  <c r="B116" i="9"/>
  <c r="A117" i="9"/>
  <c r="B117" i="9" s="1"/>
  <c r="A118" i="9"/>
  <c r="B118" i="9"/>
  <c r="A119" i="9"/>
  <c r="B119" i="9" s="1"/>
  <c r="A120" i="9"/>
  <c r="B120" i="9"/>
  <c r="A121" i="9"/>
  <c r="B121" i="9" s="1"/>
  <c r="A122" i="9"/>
  <c r="B122" i="9" s="1"/>
  <c r="A123" i="9"/>
  <c r="B123" i="9" s="1"/>
  <c r="A124" i="9"/>
  <c r="B124" i="9"/>
  <c r="A125" i="9"/>
  <c r="B125" i="9" s="1"/>
  <c r="A126" i="9"/>
  <c r="B126" i="9" s="1"/>
  <c r="A127" i="9"/>
  <c r="B127" i="9" s="1"/>
  <c r="A128" i="9"/>
  <c r="B128" i="9" s="1"/>
  <c r="A129" i="9"/>
  <c r="B129" i="9" s="1"/>
  <c r="A130" i="9"/>
  <c r="B130" i="9" s="1"/>
  <c r="A131" i="9"/>
  <c r="B131" i="9" s="1"/>
  <c r="A132" i="9"/>
  <c r="B132" i="9"/>
  <c r="A133" i="9"/>
  <c r="B133" i="9" s="1"/>
  <c r="A134" i="9"/>
  <c r="B134" i="9" s="1"/>
  <c r="A135" i="9"/>
  <c r="B135" i="9" s="1"/>
  <c r="A136" i="9"/>
  <c r="B136" i="9"/>
  <c r="A137" i="9"/>
  <c r="B137" i="9"/>
  <c r="A138" i="9"/>
  <c r="B138" i="9" s="1"/>
  <c r="A139" i="9"/>
  <c r="B139" i="9" s="1"/>
  <c r="A140" i="9"/>
  <c r="B140" i="9" s="1"/>
  <c r="A141" i="9"/>
  <c r="B141" i="9" s="1"/>
  <c r="A142" i="9"/>
  <c r="B142" i="9"/>
  <c r="A143" i="9"/>
  <c r="B143" i="9"/>
  <c r="A144" i="9"/>
  <c r="B144" i="9"/>
  <c r="A145" i="9"/>
  <c r="B145" i="9" s="1"/>
  <c r="A146" i="9"/>
  <c r="B146" i="9" s="1"/>
  <c r="A147" i="9"/>
  <c r="B147" i="9"/>
  <c r="A148" i="9"/>
  <c r="B148" i="9" s="1"/>
  <c r="A149" i="9"/>
  <c r="B149" i="9" s="1"/>
  <c r="A150" i="9"/>
  <c r="B150" i="9"/>
  <c r="A151" i="9"/>
  <c r="B151" i="9" s="1"/>
  <c r="A152" i="9"/>
  <c r="B152" i="9"/>
  <c r="A153" i="9"/>
  <c r="B153" i="9"/>
  <c r="A154" i="9"/>
  <c r="B154" i="9"/>
  <c r="A155" i="9"/>
  <c r="B155" i="9" s="1"/>
  <c r="A156" i="9"/>
  <c r="B156" i="9"/>
  <c r="A157" i="9"/>
  <c r="B157" i="9"/>
  <c r="A158" i="9"/>
  <c r="B158" i="9"/>
  <c r="A159" i="9"/>
  <c r="B159" i="9" s="1"/>
  <c r="A160" i="9"/>
  <c r="B160" i="9"/>
  <c r="A161" i="9"/>
  <c r="B161" i="9"/>
  <c r="A162" i="9"/>
  <c r="B162" i="9"/>
  <c r="A163" i="9"/>
  <c r="B163" i="9" s="1"/>
  <c r="A164" i="9"/>
  <c r="B164" i="9"/>
  <c r="A165" i="9"/>
  <c r="B165" i="9"/>
  <c r="A166" i="9"/>
  <c r="B166" i="9"/>
  <c r="A167" i="9"/>
  <c r="B167" i="9" s="1"/>
  <c r="A168" i="9"/>
  <c r="B168" i="9"/>
  <c r="A169" i="9"/>
  <c r="B169" i="9"/>
  <c r="A170" i="9"/>
  <c r="B170" i="9"/>
  <c r="A171" i="9"/>
  <c r="B171" i="9" s="1"/>
  <c r="A172" i="9"/>
  <c r="B172" i="9"/>
  <c r="A173" i="9"/>
  <c r="B173" i="9"/>
  <c r="A174" i="9"/>
  <c r="B174" i="9"/>
  <c r="A175" i="9"/>
  <c r="B175" i="9" s="1"/>
  <c r="A176" i="9"/>
  <c r="B176" i="9"/>
  <c r="A177" i="9"/>
  <c r="B177" i="9"/>
  <c r="A178" i="9"/>
  <c r="B178" i="9"/>
  <c r="A179" i="9"/>
  <c r="B179" i="9" s="1"/>
  <c r="A180" i="9"/>
  <c r="B180" i="9"/>
  <c r="A181" i="9"/>
  <c r="B181" i="9"/>
  <c r="A182" i="9"/>
  <c r="B182" i="9"/>
  <c r="A183" i="9"/>
  <c r="B183" i="9" s="1"/>
  <c r="A184" i="9"/>
  <c r="B184" i="9"/>
  <c r="A185" i="9"/>
  <c r="B185" i="9"/>
  <c r="A186" i="9"/>
  <c r="B186" i="9"/>
  <c r="A187" i="9"/>
  <c r="B187" i="9" s="1"/>
  <c r="A188" i="9"/>
  <c r="B188" i="9"/>
  <c r="A189" i="9"/>
  <c r="B189" i="9"/>
  <c r="A190" i="9"/>
  <c r="B190" i="9"/>
  <c r="A191" i="9"/>
  <c r="B191" i="9" s="1"/>
  <c r="A192" i="9"/>
  <c r="B192" i="9"/>
  <c r="A193" i="9"/>
  <c r="B193" i="9"/>
  <c r="A194" i="9"/>
  <c r="B194" i="9"/>
  <c r="A195" i="9"/>
  <c r="B195" i="9" s="1"/>
  <c r="A196" i="9"/>
  <c r="B196" i="9"/>
  <c r="A197" i="9"/>
  <c r="B197" i="9"/>
  <c r="A198" i="9"/>
  <c r="B198" i="9"/>
  <c r="A199" i="9"/>
  <c r="B199" i="9" s="1"/>
  <c r="A200" i="9"/>
  <c r="B200" i="9"/>
  <c r="A201" i="9"/>
  <c r="B201" i="9"/>
  <c r="A202" i="9"/>
  <c r="B202" i="9"/>
  <c r="A203" i="9"/>
  <c r="B203" i="9" s="1"/>
  <c r="A204" i="9"/>
  <c r="B204" i="9"/>
  <c r="A205" i="9"/>
  <c r="B205" i="9"/>
  <c r="A206" i="9"/>
  <c r="B206" i="9"/>
  <c r="A207" i="9"/>
  <c r="B207" i="9" s="1"/>
  <c r="A208" i="9"/>
  <c r="B208" i="9"/>
  <c r="A209" i="9"/>
  <c r="B209" i="9"/>
  <c r="A210" i="9"/>
  <c r="B210" i="9"/>
  <c r="A211" i="9"/>
  <c r="B211" i="9" s="1"/>
  <c r="A212" i="9"/>
  <c r="B212" i="9"/>
  <c r="A213" i="9"/>
  <c r="B213" i="9"/>
  <c r="A214" i="9"/>
  <c r="B214" i="9"/>
  <c r="A215" i="9"/>
  <c r="B215" i="9" s="1"/>
  <c r="A216" i="9"/>
  <c r="B216" i="9"/>
  <c r="A217" i="9"/>
  <c r="B217" i="9"/>
  <c r="A218" i="9"/>
  <c r="B218" i="9"/>
  <c r="A219" i="9"/>
  <c r="B219" i="9" s="1"/>
  <c r="A220" i="9"/>
  <c r="B220" i="9"/>
  <c r="A221" i="9"/>
  <c r="B221" i="9"/>
  <c r="A222" i="9"/>
  <c r="B222" i="9"/>
  <c r="A223" i="9"/>
  <c r="B223" i="9" s="1"/>
  <c r="A224" i="9"/>
  <c r="B224" i="9"/>
  <c r="A225" i="9"/>
  <c r="B225" i="9"/>
  <c r="A226" i="9"/>
  <c r="B226" i="9"/>
  <c r="A227" i="9"/>
  <c r="B227" i="9" s="1"/>
  <c r="A228" i="9"/>
  <c r="B228" i="9"/>
  <c r="A229" i="9"/>
  <c r="B229" i="9"/>
  <c r="A230" i="9"/>
  <c r="B230" i="9"/>
  <c r="A231" i="9"/>
  <c r="B231" i="9" s="1"/>
  <c r="A232" i="9"/>
  <c r="B232" i="9"/>
  <c r="A233" i="9"/>
  <c r="B233" i="9"/>
  <c r="A234" i="9"/>
  <c r="B234" i="9"/>
  <c r="A235" i="9"/>
  <c r="B235" i="9" s="1"/>
  <c r="A236" i="9"/>
  <c r="B236" i="9"/>
  <c r="A237" i="9"/>
  <c r="B237" i="9"/>
  <c r="A238" i="9"/>
  <c r="B238" i="9"/>
  <c r="A239" i="9"/>
  <c r="B239" i="9" s="1"/>
  <c r="A240" i="9"/>
  <c r="B240" i="9"/>
  <c r="A241" i="9"/>
  <c r="B241" i="9"/>
  <c r="A242" i="9"/>
  <c r="B242" i="9"/>
  <c r="A243" i="9"/>
  <c r="B243" i="9" s="1"/>
  <c r="A244" i="9"/>
  <c r="B244" i="9"/>
  <c r="A245" i="9"/>
  <c r="B245" i="9"/>
  <c r="A246" i="9"/>
  <c r="B246" i="9"/>
  <c r="A247" i="9"/>
  <c r="B247" i="9" s="1"/>
  <c r="C3" i="8"/>
  <c r="D3" i="8" s="1"/>
  <c r="X21" i="8" s="1"/>
  <c r="G3" i="8"/>
  <c r="K3" i="8"/>
  <c r="R3" i="8"/>
  <c r="C4" i="8"/>
  <c r="D4" i="8" s="1"/>
  <c r="K4" i="8"/>
  <c r="R4" i="8"/>
  <c r="Y4" i="8"/>
  <c r="C5" i="8"/>
  <c r="D5" i="8" s="1"/>
  <c r="K5" i="8"/>
  <c r="R5" i="8"/>
  <c r="Y5" i="8"/>
  <c r="X12" i="8" s="1"/>
  <c r="C6" i="8"/>
  <c r="D6" i="8" s="1"/>
  <c r="K6" i="8"/>
  <c r="R6" i="8"/>
  <c r="Y6" i="8"/>
  <c r="C7" i="8"/>
  <c r="D7" i="8" s="1"/>
  <c r="K7" i="8"/>
  <c r="R7" i="8"/>
  <c r="Y7" i="8"/>
  <c r="C8" i="8"/>
  <c r="D8" i="8" s="1"/>
  <c r="K8" i="8"/>
  <c r="R8" i="8"/>
  <c r="Y8" i="8"/>
  <c r="C9" i="8"/>
  <c r="D9" i="8" s="1"/>
  <c r="K9" i="8"/>
  <c r="R9" i="8"/>
  <c r="C10" i="8"/>
  <c r="D10" i="8"/>
  <c r="K10" i="8"/>
  <c r="R10" i="8"/>
  <c r="C11" i="8"/>
  <c r="D11" i="8" s="1"/>
  <c r="K11" i="8"/>
  <c r="R11" i="8"/>
  <c r="C12" i="8"/>
  <c r="D12" i="8" s="1"/>
  <c r="K12" i="8"/>
  <c r="R12" i="8"/>
  <c r="C13" i="8"/>
  <c r="D13" i="8" s="1"/>
  <c r="K13" i="8"/>
  <c r="R13" i="8"/>
  <c r="C14" i="8"/>
  <c r="D14" i="8" s="1"/>
  <c r="K14" i="8"/>
  <c r="R14" i="8"/>
  <c r="C15" i="8"/>
  <c r="D15" i="8"/>
  <c r="K15" i="8"/>
  <c r="R15" i="8"/>
  <c r="C16" i="8"/>
  <c r="D16" i="8"/>
  <c r="K16" i="8"/>
  <c r="R16" i="8"/>
  <c r="C17" i="8"/>
  <c r="D17" i="8" s="1"/>
  <c r="K17" i="8"/>
  <c r="R17" i="8"/>
  <c r="AD12" i="8"/>
  <c r="C18" i="8"/>
  <c r="D18" i="8" s="1"/>
  <c r="K18" i="8"/>
  <c r="R18" i="8"/>
  <c r="C19" i="8"/>
  <c r="D19" i="8" s="1"/>
  <c r="K19" i="8"/>
  <c r="R19" i="8"/>
  <c r="C20" i="8"/>
  <c r="D20" i="8" s="1"/>
  <c r="K20" i="8"/>
  <c r="R20" i="8"/>
  <c r="C21" i="8"/>
  <c r="D21" i="8" s="1"/>
  <c r="K21" i="8"/>
  <c r="R21" i="8"/>
  <c r="C22" i="8"/>
  <c r="D22" i="8" s="1"/>
  <c r="K22" i="8"/>
  <c r="R22" i="8"/>
  <c r="C23" i="8"/>
  <c r="D23" i="8" s="1"/>
  <c r="K23" i="8"/>
  <c r="R23" i="8"/>
  <c r="C24" i="8"/>
  <c r="D24" i="8"/>
  <c r="K24" i="8"/>
  <c r="R24" i="8"/>
  <c r="C25" i="8"/>
  <c r="D25" i="8"/>
  <c r="K25" i="8"/>
  <c r="R25" i="8"/>
  <c r="C26" i="8"/>
  <c r="D26" i="8" s="1"/>
  <c r="K26" i="8"/>
  <c r="R26" i="8"/>
  <c r="C27" i="8"/>
  <c r="D27" i="8" s="1"/>
  <c r="K27" i="8"/>
  <c r="R27" i="8"/>
  <c r="C28" i="8"/>
  <c r="D28" i="8" s="1"/>
  <c r="K28" i="8"/>
  <c r="R28" i="8"/>
  <c r="C29" i="8"/>
  <c r="D29" i="8" s="1"/>
  <c r="K29" i="8"/>
  <c r="R29" i="8"/>
  <c r="C30" i="8"/>
  <c r="D30" i="8" s="1"/>
  <c r="K30" i="8"/>
  <c r="R30" i="8"/>
  <c r="C31" i="8"/>
  <c r="D31" i="8"/>
  <c r="K31" i="8"/>
  <c r="R31" i="8"/>
  <c r="C32" i="8"/>
  <c r="D32" i="8" s="1"/>
  <c r="K32" i="8"/>
  <c r="R32" i="8"/>
  <c r="C33" i="8"/>
  <c r="D33" i="8"/>
  <c r="K33" i="8"/>
  <c r="R33" i="8"/>
  <c r="C34" i="8"/>
  <c r="D34" i="8" s="1"/>
  <c r="K34" i="8"/>
  <c r="R34" i="8"/>
  <c r="C35" i="8"/>
  <c r="D35" i="8" s="1"/>
  <c r="K35" i="8"/>
  <c r="R35" i="8"/>
  <c r="C36" i="8"/>
  <c r="D36" i="8" s="1"/>
  <c r="K36" i="8"/>
  <c r="R36" i="8"/>
  <c r="C37" i="8"/>
  <c r="D37" i="8"/>
  <c r="K37" i="8"/>
  <c r="R37" i="8"/>
  <c r="C38" i="8"/>
  <c r="D38" i="8" s="1"/>
  <c r="K38" i="8"/>
  <c r="R38" i="8"/>
  <c r="C39" i="8"/>
  <c r="D39" i="8" s="1"/>
  <c r="K39" i="8"/>
  <c r="R39" i="8"/>
  <c r="C40" i="8"/>
  <c r="D40" i="8"/>
  <c r="K40" i="8"/>
  <c r="C41" i="8"/>
  <c r="D41" i="8" s="1"/>
  <c r="K41" i="8"/>
  <c r="C42" i="8"/>
  <c r="D42" i="8" s="1"/>
  <c r="K42" i="8"/>
  <c r="C43" i="8"/>
  <c r="D43" i="8" s="1"/>
  <c r="K43" i="8"/>
  <c r="C44" i="8"/>
  <c r="D44" i="8" s="1"/>
  <c r="K44" i="8"/>
  <c r="R44" i="8"/>
  <c r="C45" i="8"/>
  <c r="D45" i="8" s="1"/>
  <c r="K45" i="8"/>
  <c r="R45" i="8"/>
  <c r="C46" i="8"/>
  <c r="D46" i="8" s="1"/>
  <c r="K46" i="8"/>
  <c r="R46" i="8"/>
  <c r="C47" i="8"/>
  <c r="D47" i="8" s="1"/>
  <c r="K47" i="8"/>
  <c r="R47" i="8"/>
  <c r="C48" i="8"/>
  <c r="D48" i="8" s="1"/>
  <c r="K48" i="8"/>
  <c r="R48" i="8"/>
  <c r="C49" i="8"/>
  <c r="D49" i="8" s="1"/>
  <c r="K49" i="8"/>
  <c r="R49" i="8"/>
  <c r="C50" i="8"/>
  <c r="D50" i="8" s="1"/>
  <c r="K50" i="8"/>
  <c r="R50" i="8"/>
  <c r="C51" i="8"/>
  <c r="D51" i="8" s="1"/>
  <c r="K51" i="8"/>
  <c r="R51" i="8"/>
  <c r="C52" i="8"/>
  <c r="D52" i="8" s="1"/>
  <c r="K52" i="8"/>
  <c r="R52" i="8"/>
  <c r="C53" i="8"/>
  <c r="D53" i="8" s="1"/>
  <c r="K53" i="8"/>
  <c r="R53" i="8"/>
  <c r="C54" i="8"/>
  <c r="D54" i="8" s="1"/>
  <c r="K54" i="8"/>
  <c r="R54" i="8"/>
  <c r="C55" i="8"/>
  <c r="D55" i="8"/>
  <c r="K55" i="8"/>
  <c r="R55" i="8"/>
  <c r="C56" i="8"/>
  <c r="D56" i="8" s="1"/>
  <c r="K56" i="8"/>
  <c r="R56" i="8"/>
  <c r="C57" i="8"/>
  <c r="D57" i="8" s="1"/>
  <c r="K57" i="8"/>
  <c r="C58" i="8"/>
  <c r="D58" i="8" s="1"/>
  <c r="K58" i="8"/>
  <c r="C59" i="8"/>
  <c r="D59" i="8" s="1"/>
  <c r="K59" i="8"/>
  <c r="C60" i="8"/>
  <c r="D60" i="8"/>
  <c r="K60" i="8"/>
  <c r="C61" i="8"/>
  <c r="D61" i="8" s="1"/>
  <c r="K61" i="8"/>
  <c r="C62" i="8"/>
  <c r="D62" i="8" s="1"/>
  <c r="K62" i="8"/>
  <c r="C63" i="8"/>
  <c r="D63" i="8"/>
  <c r="K63" i="8"/>
  <c r="C64" i="8"/>
  <c r="D64" i="8" s="1"/>
  <c r="K64" i="8"/>
  <c r="C65" i="8"/>
  <c r="D65" i="8" s="1"/>
  <c r="K65" i="8"/>
  <c r="C66" i="8"/>
  <c r="D66" i="8" s="1"/>
  <c r="K66" i="8"/>
  <c r="C67" i="8"/>
  <c r="D67" i="8" s="1"/>
  <c r="K67" i="8"/>
  <c r="C68" i="8"/>
  <c r="D68" i="8" s="1"/>
  <c r="K68" i="8"/>
  <c r="C69" i="8"/>
  <c r="D69" i="8"/>
  <c r="K69" i="8"/>
  <c r="C70" i="8"/>
  <c r="D70" i="8" s="1"/>
  <c r="K70" i="8"/>
  <c r="C71" i="8"/>
  <c r="D71" i="8" s="1"/>
  <c r="K71" i="8"/>
  <c r="C72" i="8"/>
  <c r="D72" i="8"/>
  <c r="K72" i="8"/>
  <c r="C73" i="8"/>
  <c r="D73" i="8" s="1"/>
  <c r="K73" i="8"/>
  <c r="C74" i="8"/>
  <c r="D74" i="8" s="1"/>
  <c r="K74" i="8"/>
  <c r="C75" i="8"/>
  <c r="D75" i="8" s="1"/>
  <c r="K75" i="8"/>
  <c r="C76" i="8"/>
  <c r="D76" i="8" s="1"/>
  <c r="K76" i="8"/>
  <c r="C77" i="8"/>
  <c r="D77" i="8" s="1"/>
  <c r="K77" i="8"/>
  <c r="C78" i="8"/>
  <c r="D78" i="8" s="1"/>
  <c r="K78" i="8"/>
  <c r="C79" i="8"/>
  <c r="D79" i="8" s="1"/>
  <c r="K79" i="8"/>
  <c r="K80" i="8"/>
  <c r="K81" i="8"/>
  <c r="K82" i="8"/>
  <c r="K83" i="8"/>
  <c r="K84"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130" i="8"/>
  <c r="K131" i="8"/>
  <c r="K132" i="8"/>
  <c r="K133" i="8"/>
  <c r="K134" i="8"/>
  <c r="K135" i="8"/>
  <c r="K136" i="8"/>
  <c r="K137" i="8"/>
  <c r="K138" i="8"/>
  <c r="K139" i="8"/>
  <c r="K140" i="8"/>
  <c r="K141" i="8"/>
  <c r="K142" i="8"/>
  <c r="K143" i="8"/>
  <c r="K144" i="8"/>
  <c r="K145" i="8"/>
  <c r="K146" i="8"/>
  <c r="K147" i="8"/>
  <c r="K148" i="8"/>
  <c r="K149" i="8"/>
  <c r="K150" i="8"/>
  <c r="K151" i="8"/>
  <c r="K152" i="8"/>
  <c r="K153" i="8"/>
  <c r="K154" i="8"/>
  <c r="K155" i="8"/>
  <c r="K156" i="8"/>
  <c r="K157" i="8"/>
  <c r="K158" i="8"/>
  <c r="K159" i="8"/>
  <c r="K160" i="8"/>
  <c r="K161" i="8"/>
  <c r="K162" i="8"/>
  <c r="K163" i="8"/>
  <c r="K164" i="8"/>
  <c r="K165" i="8"/>
  <c r="K166" i="8"/>
  <c r="K167" i="8"/>
  <c r="K168" i="8"/>
  <c r="K169" i="8"/>
  <c r="K170" i="8"/>
  <c r="K171" i="8"/>
  <c r="K172" i="8"/>
  <c r="K173" i="8"/>
  <c r="K174" i="8"/>
  <c r="K175" i="8"/>
  <c r="K176" i="8"/>
  <c r="K177" i="8"/>
  <c r="K178" i="8"/>
  <c r="K179" i="8"/>
  <c r="K180" i="8"/>
  <c r="K181" i="8"/>
  <c r="K182" i="8"/>
  <c r="K183" i="8"/>
  <c r="K184" i="8"/>
  <c r="K185" i="8"/>
  <c r="K186" i="8"/>
  <c r="K187" i="8"/>
  <c r="K188" i="8"/>
  <c r="K189" i="8"/>
  <c r="K190" i="8"/>
  <c r="K191" i="8"/>
  <c r="K192" i="8"/>
  <c r="K193" i="8"/>
  <c r="K194" i="8"/>
  <c r="K195" i="8"/>
  <c r="K196" i="8"/>
  <c r="K197" i="8"/>
  <c r="K198" i="8"/>
  <c r="K199" i="8"/>
  <c r="K200" i="8"/>
  <c r="K201" i="8"/>
  <c r="K202" i="8"/>
  <c r="K203" i="8"/>
  <c r="K204" i="8"/>
  <c r="K205" i="8"/>
  <c r="K206" i="8"/>
  <c r="K207" i="8"/>
  <c r="K208" i="8"/>
  <c r="K209" i="8"/>
  <c r="K210" i="8"/>
  <c r="K211" i="8"/>
  <c r="K212" i="8"/>
  <c r="K213" i="8"/>
  <c r="K214" i="8"/>
  <c r="K215" i="8"/>
  <c r="K216" i="8"/>
  <c r="K217" i="8"/>
  <c r="K218" i="8"/>
  <c r="K219" i="8"/>
  <c r="K220" i="8"/>
  <c r="K221" i="8"/>
  <c r="K222" i="8"/>
  <c r="K223" i="8"/>
  <c r="K224" i="8"/>
  <c r="K225" i="8"/>
  <c r="K226" i="8"/>
  <c r="K227" i="8"/>
  <c r="K228" i="8"/>
  <c r="K229" i="8"/>
  <c r="K230" i="8"/>
  <c r="K231" i="8"/>
  <c r="K232" i="8"/>
  <c r="K233" i="8"/>
  <c r="K234" i="8"/>
  <c r="K235" i="8"/>
  <c r="K236" i="8"/>
  <c r="K237" i="8"/>
  <c r="K238" i="8"/>
  <c r="K239" i="8"/>
  <c r="K240" i="8"/>
  <c r="K241" i="8"/>
  <c r="K242" i="8"/>
  <c r="K243" i="8"/>
  <c r="K244" i="8"/>
  <c r="K245" i="8"/>
  <c r="K246" i="8"/>
  <c r="K247" i="8"/>
  <c r="F54" i="8" l="1"/>
  <c r="G54" i="8" s="1"/>
  <c r="X22" i="8"/>
  <c r="AH10" i="8" s="1"/>
  <c r="F46" i="8"/>
  <c r="G46" i="8" s="1"/>
  <c r="AA15" i="8"/>
  <c r="F50" i="8"/>
  <c r="G50" i="8" s="1"/>
  <c r="F18" i="8"/>
  <c r="G18" i="8" s="1"/>
  <c r="F8" i="8"/>
  <c r="G8" i="8" s="1"/>
  <c r="M6" i="8"/>
  <c r="N6" i="8" s="1"/>
  <c r="M15" i="8"/>
  <c r="N15" i="8" s="1"/>
  <c r="M16" i="8"/>
  <c r="N16" i="8" s="1"/>
  <c r="M148" i="8"/>
  <c r="N148" i="8" s="1"/>
  <c r="M194" i="8"/>
  <c r="N194" i="8" s="1"/>
  <c r="M67" i="8"/>
  <c r="N67" i="8" s="1"/>
  <c r="M78" i="8"/>
  <c r="N78" i="8" s="1"/>
  <c r="M180" i="8"/>
  <c r="N180" i="8" s="1"/>
  <c r="M233" i="8"/>
  <c r="N233" i="8" s="1"/>
  <c r="M58" i="8"/>
  <c r="N58" i="8" s="1"/>
  <c r="M162" i="8"/>
  <c r="N162" i="8" s="1"/>
  <c r="M201" i="8"/>
  <c r="N201" i="8" s="1"/>
  <c r="M215" i="8"/>
  <c r="N215" i="8" s="1"/>
  <c r="M103" i="8"/>
  <c r="N103" i="8" s="1"/>
  <c r="M115" i="8"/>
  <c r="N115" i="8" s="1"/>
  <c r="M169" i="8"/>
  <c r="N169" i="8" s="1"/>
  <c r="M123" i="8"/>
  <c r="N123" i="8" s="1"/>
  <c r="M137" i="8"/>
  <c r="N137" i="8" s="1"/>
  <c r="M183" i="8"/>
  <c r="N183" i="8" s="1"/>
  <c r="M230" i="8"/>
  <c r="N230" i="8" s="1"/>
  <c r="M31" i="8"/>
  <c r="N31" i="8" s="1"/>
  <c r="M74" i="8"/>
  <c r="N74" i="8" s="1"/>
  <c r="M111" i="8"/>
  <c r="N111" i="8" s="1"/>
  <c r="M151" i="8"/>
  <c r="N151" i="8" s="1"/>
  <c r="M198" i="8"/>
  <c r="N198" i="8" s="1"/>
  <c r="M212" i="8"/>
  <c r="N212" i="8" s="1"/>
  <c r="M65" i="8"/>
  <c r="N65" i="8" s="1"/>
  <c r="M100" i="8"/>
  <c r="N100" i="8" s="1"/>
  <c r="M166" i="8"/>
  <c r="N166" i="8" s="1"/>
  <c r="M226" i="8"/>
  <c r="N226" i="8" s="1"/>
  <c r="M246" i="8"/>
  <c r="N246" i="8" s="1"/>
  <c r="M134" i="8"/>
  <c r="N134" i="8" s="1"/>
  <c r="F16" i="8"/>
  <c r="G16" i="8" s="1"/>
  <c r="F6" i="8"/>
  <c r="G6" i="8" s="1"/>
  <c r="F36" i="8"/>
  <c r="G36" i="8" s="1"/>
  <c r="F51" i="8"/>
  <c r="G51" i="8" s="1"/>
  <c r="F55" i="8"/>
  <c r="G55" i="8" s="1"/>
  <c r="F17" i="8"/>
  <c r="G17" i="8" s="1"/>
  <c r="F7" i="8"/>
  <c r="G7" i="8" s="1"/>
  <c r="F37" i="8"/>
  <c r="G37" i="8" s="1"/>
  <c r="F62" i="8"/>
  <c r="G62" i="8" s="1"/>
  <c r="F67" i="8"/>
  <c r="G67" i="8" s="1"/>
  <c r="F47" i="8"/>
  <c r="G47" i="8" s="1"/>
  <c r="F73" i="8"/>
  <c r="G73" i="8" s="1"/>
  <c r="F28" i="8"/>
  <c r="G28" i="8" s="1"/>
  <c r="F39" i="8"/>
  <c r="G39" i="8" s="1"/>
  <c r="F34" i="8"/>
  <c r="G34" i="8" s="1"/>
  <c r="F75" i="8"/>
  <c r="G75" i="8" s="1"/>
  <c r="F60" i="8"/>
  <c r="G60" i="8" s="1"/>
  <c r="F52" i="8"/>
  <c r="G52" i="8" s="1"/>
  <c r="F48" i="8"/>
  <c r="G48" i="8" s="1"/>
  <c r="F65" i="8"/>
  <c r="G65" i="8" s="1"/>
  <c r="F57" i="8"/>
  <c r="G57" i="8" s="1"/>
  <c r="F53" i="8"/>
  <c r="G53" i="8" s="1"/>
  <c r="F49" i="8"/>
  <c r="G49" i="8" s="1"/>
  <c r="F63" i="8"/>
  <c r="G63" i="8" s="1"/>
  <c r="F38" i="8"/>
  <c r="G38" i="8" s="1"/>
  <c r="F69" i="8"/>
  <c r="G69" i="8" s="1"/>
  <c r="F14" i="8"/>
  <c r="G14" i="8" s="1"/>
  <c r="X15" i="8"/>
  <c r="AH9" i="8" s="1"/>
  <c r="F4" i="8"/>
  <c r="G4" i="8" s="1"/>
  <c r="F70" i="8"/>
  <c r="G70" i="8" s="1"/>
  <c r="F43" i="8"/>
  <c r="G43" i="8" s="1"/>
  <c r="F56" i="8"/>
  <c r="G56" i="8" s="1"/>
  <c r="F21" i="8"/>
  <c r="G21" i="8" s="1"/>
  <c r="F45" i="8"/>
  <c r="G45" i="8" s="1"/>
  <c r="F71" i="8"/>
  <c r="G71" i="8" s="1"/>
  <c r="AA12" i="8"/>
  <c r="O14" i="9"/>
  <c r="O11" i="9"/>
  <c r="D223" i="9" s="1"/>
  <c r="E223" i="9" s="1"/>
  <c r="K5" i="9"/>
  <c r="L5" i="9" s="1"/>
  <c r="K6" i="9"/>
  <c r="L6" i="9" s="1"/>
  <c r="K11" i="9"/>
  <c r="L11" i="9" s="1"/>
  <c r="K7" i="9"/>
  <c r="L7" i="9" s="1"/>
  <c r="K14" i="9"/>
  <c r="L14" i="9" s="1"/>
  <c r="K15" i="9"/>
  <c r="L15" i="9" s="1"/>
  <c r="K10" i="9"/>
  <c r="L10" i="9" s="1"/>
  <c r="K8" i="9"/>
  <c r="L8" i="9" s="1"/>
  <c r="K13" i="9"/>
  <c r="L13" i="9" s="1"/>
  <c r="K4" i="9"/>
  <c r="L4" i="9" s="1"/>
  <c r="K9" i="9"/>
  <c r="L9" i="9" s="1"/>
  <c r="K20" i="9"/>
  <c r="L20" i="9" s="1"/>
  <c r="K21" i="9"/>
  <c r="L21" i="9" s="1"/>
  <c r="K3" i="9"/>
  <c r="L3" i="9" s="1"/>
  <c r="K12" i="9"/>
  <c r="L12" i="9" s="1"/>
  <c r="D77" i="9"/>
  <c r="E77" i="9" s="1"/>
  <c r="D40" i="9"/>
  <c r="E40" i="9" s="1"/>
  <c r="D105" i="9"/>
  <c r="E105" i="9" s="1"/>
  <c r="D157" i="9"/>
  <c r="E157" i="9" s="1"/>
  <c r="D173" i="9"/>
  <c r="E173" i="9" s="1"/>
  <c r="D221" i="9"/>
  <c r="E221" i="9" s="1"/>
  <c r="D138" i="9"/>
  <c r="E138" i="9" s="1"/>
  <c r="D9" i="9"/>
  <c r="E9" i="9" s="1"/>
  <c r="D152" i="9"/>
  <c r="E152" i="9" s="1"/>
  <c r="D166" i="9"/>
  <c r="E166" i="9" s="1"/>
  <c r="D75" i="9"/>
  <c r="E75" i="9" s="1"/>
  <c r="U14" i="9"/>
  <c r="R14" i="9"/>
  <c r="R12" i="9"/>
  <c r="K38" i="9" s="1"/>
  <c r="L38" i="9" s="1"/>
  <c r="F27" i="8"/>
  <c r="G27" i="8" s="1"/>
  <c r="F23" i="8"/>
  <c r="G23" i="8" s="1"/>
  <c r="F22" i="8"/>
  <c r="G22" i="8" s="1"/>
  <c r="F78" i="8"/>
  <c r="G78" i="8" s="1"/>
  <c r="F77" i="8"/>
  <c r="G77" i="8" s="1"/>
  <c r="F11" i="8"/>
  <c r="G11" i="8" s="1"/>
  <c r="F10" i="8"/>
  <c r="G10" i="8" s="1"/>
  <c r="F29" i="8"/>
  <c r="G29" i="8" s="1"/>
  <c r="F26" i="8"/>
  <c r="G26" i="8" s="1"/>
  <c r="F24" i="8"/>
  <c r="G24" i="8" s="1"/>
  <c r="F12" i="8"/>
  <c r="G12" i="8" s="1"/>
  <c r="F35" i="8"/>
  <c r="G35" i="8" s="1"/>
  <c r="M222" i="8"/>
  <c r="N222" i="8" s="1"/>
  <c r="M140" i="8"/>
  <c r="N140" i="8" s="1"/>
  <c r="M122" i="8"/>
  <c r="N122" i="8" s="1"/>
  <c r="M114" i="8"/>
  <c r="N114" i="8" s="1"/>
  <c r="M96" i="8"/>
  <c r="N96" i="8" s="1"/>
  <c r="F41" i="8"/>
  <c r="G41" i="8" s="1"/>
  <c r="M245" i="8"/>
  <c r="N245" i="8" s="1"/>
  <c r="M225" i="8"/>
  <c r="N225" i="8" s="1"/>
  <c r="M207" i="8"/>
  <c r="N207" i="8" s="1"/>
  <c r="M175" i="8"/>
  <c r="N175" i="8" s="1"/>
  <c r="M143" i="8"/>
  <c r="N143" i="8" s="1"/>
  <c r="M99" i="8"/>
  <c r="N99" i="8" s="1"/>
  <c r="F76" i="8"/>
  <c r="G76" i="8" s="1"/>
  <c r="M52" i="8"/>
  <c r="N52" i="8" s="1"/>
  <c r="M48" i="8"/>
  <c r="N48" i="8" s="1"/>
  <c r="M44" i="8"/>
  <c r="N44" i="8" s="1"/>
  <c r="M3" i="8"/>
  <c r="N3" i="8" s="1"/>
  <c r="M228" i="8"/>
  <c r="N228" i="8" s="1"/>
  <c r="M214" i="8"/>
  <c r="N214" i="8" s="1"/>
  <c r="M178" i="8"/>
  <c r="N178" i="8" s="1"/>
  <c r="M164" i="8"/>
  <c r="N164" i="8" s="1"/>
  <c r="M146" i="8"/>
  <c r="N146" i="8" s="1"/>
  <c r="F74" i="8"/>
  <c r="G74" i="8" s="1"/>
  <c r="M68" i="8"/>
  <c r="N68" i="8" s="1"/>
  <c r="F33" i="8"/>
  <c r="G33" i="8" s="1"/>
  <c r="M23" i="8"/>
  <c r="N23" i="8" s="1"/>
  <c r="AA13" i="8"/>
  <c r="AD15" i="8"/>
  <c r="M247" i="8"/>
  <c r="N247" i="8" s="1"/>
  <c r="M238" i="8"/>
  <c r="N238" i="8" s="1"/>
  <c r="M231" i="8"/>
  <c r="N231" i="8" s="1"/>
  <c r="M217" i="8"/>
  <c r="N217" i="8" s="1"/>
  <c r="M199" i="8"/>
  <c r="N199" i="8" s="1"/>
  <c r="M185" i="8"/>
  <c r="N185" i="8" s="1"/>
  <c r="M167" i="8"/>
  <c r="N167" i="8" s="1"/>
  <c r="M153" i="8"/>
  <c r="N153" i="8" s="1"/>
  <c r="M135" i="8"/>
  <c r="N135" i="8" s="1"/>
  <c r="M105" i="8"/>
  <c r="N105" i="8" s="1"/>
  <c r="M79" i="8"/>
  <c r="N79" i="8" s="1"/>
  <c r="F61" i="8"/>
  <c r="G61" i="8" s="1"/>
  <c r="F59" i="8"/>
  <c r="G59" i="8" s="1"/>
  <c r="M57" i="8"/>
  <c r="N57" i="8" s="1"/>
  <c r="M53" i="8"/>
  <c r="N53" i="8" s="1"/>
  <c r="M49" i="8"/>
  <c r="N49" i="8" s="1"/>
  <c r="M45" i="8"/>
  <c r="N45" i="8" s="1"/>
  <c r="F44" i="8"/>
  <c r="G44" i="8" s="1"/>
  <c r="F42" i="8"/>
  <c r="G42" i="8" s="1"/>
  <c r="M34" i="8"/>
  <c r="N34" i="8" s="1"/>
  <c r="M27" i="8"/>
  <c r="N27" i="8" s="1"/>
  <c r="M4" i="8"/>
  <c r="N4" i="8" s="1"/>
  <c r="F30" i="8"/>
  <c r="G30" i="8" s="1"/>
  <c r="F25" i="8"/>
  <c r="G25" i="8" s="1"/>
  <c r="T44" i="8"/>
  <c r="U44" i="8" s="1"/>
  <c r="T45" i="8"/>
  <c r="U45" i="8" s="1"/>
  <c r="T46" i="8"/>
  <c r="U46" i="8" s="1"/>
  <c r="T47" i="8"/>
  <c r="U47" i="8" s="1"/>
  <c r="T48" i="8"/>
  <c r="U48" i="8" s="1"/>
  <c r="T49" i="8"/>
  <c r="U49" i="8" s="1"/>
  <c r="T50" i="8"/>
  <c r="U50" i="8" s="1"/>
  <c r="T51" i="8"/>
  <c r="U51" i="8" s="1"/>
  <c r="T52" i="8"/>
  <c r="U52" i="8" s="1"/>
  <c r="T53" i="8"/>
  <c r="U53" i="8" s="1"/>
  <c r="T54" i="8"/>
  <c r="U54" i="8" s="1"/>
  <c r="T55" i="8"/>
  <c r="U55" i="8" s="1"/>
  <c r="T56" i="8"/>
  <c r="U56" i="8" s="1"/>
  <c r="M236" i="8"/>
  <c r="N236" i="8" s="1"/>
  <c r="M186" i="8"/>
  <c r="N186" i="8" s="1"/>
  <c r="M88" i="8"/>
  <c r="N88" i="8" s="1"/>
  <c r="M80" i="8"/>
  <c r="N80" i="8" s="1"/>
  <c r="M72" i="8"/>
  <c r="N72" i="8" s="1"/>
  <c r="F31" i="8"/>
  <c r="G31" i="8" s="1"/>
  <c r="M150" i="8"/>
  <c r="N150" i="8" s="1"/>
  <c r="M5" i="8"/>
  <c r="N5" i="8" s="1"/>
  <c r="M244" i="8"/>
  <c r="N244" i="8" s="1"/>
  <c r="M241" i="8"/>
  <c r="N241" i="8" s="1"/>
  <c r="M234" i="8"/>
  <c r="N234" i="8" s="1"/>
  <c r="M220" i="8"/>
  <c r="N220" i="8" s="1"/>
  <c r="M206" i="8"/>
  <c r="N206" i="8" s="1"/>
  <c r="M202" i="8"/>
  <c r="N202" i="8" s="1"/>
  <c r="M188" i="8"/>
  <c r="N188" i="8" s="1"/>
  <c r="M174" i="8"/>
  <c r="N174" i="8" s="1"/>
  <c r="M170" i="8"/>
  <c r="N170" i="8" s="1"/>
  <c r="M156" i="8"/>
  <c r="N156" i="8" s="1"/>
  <c r="M142" i="8"/>
  <c r="N142" i="8" s="1"/>
  <c r="M138" i="8"/>
  <c r="N138" i="8" s="1"/>
  <c r="M128" i="8"/>
  <c r="N128" i="8" s="1"/>
  <c r="M120" i="8"/>
  <c r="N120" i="8" s="1"/>
  <c r="M112" i="8"/>
  <c r="N112" i="8" s="1"/>
  <c r="M94" i="8"/>
  <c r="N94" i="8" s="1"/>
  <c r="M90" i="8"/>
  <c r="N90" i="8" s="1"/>
  <c r="M86" i="8"/>
  <c r="N86" i="8" s="1"/>
  <c r="M82" i="8"/>
  <c r="N82" i="8" s="1"/>
  <c r="M75" i="8"/>
  <c r="N75" i="8" s="1"/>
  <c r="F68" i="8"/>
  <c r="G68" i="8" s="1"/>
  <c r="F66" i="8"/>
  <c r="G66" i="8" s="1"/>
  <c r="M35" i="8"/>
  <c r="N35" i="8" s="1"/>
  <c r="M26" i="8"/>
  <c r="N26" i="8" s="1"/>
  <c r="F20" i="8"/>
  <c r="G20" i="8" s="1"/>
  <c r="F19" i="8"/>
  <c r="G19" i="8" s="1"/>
  <c r="F13" i="8"/>
  <c r="G13" i="8" s="1"/>
  <c r="M22" i="8"/>
  <c r="N22" i="8" s="1"/>
  <c r="M29" i="8"/>
  <c r="N29" i="8" s="1"/>
  <c r="M32" i="8"/>
  <c r="N32" i="8" s="1"/>
  <c r="M36" i="8"/>
  <c r="N36" i="8" s="1"/>
  <c r="M40" i="8"/>
  <c r="N40" i="8" s="1"/>
  <c r="M46" i="8"/>
  <c r="N46" i="8" s="1"/>
  <c r="M50" i="8"/>
  <c r="N50" i="8" s="1"/>
  <c r="M54" i="8"/>
  <c r="N54" i="8" s="1"/>
  <c r="M63" i="8"/>
  <c r="N63" i="8" s="1"/>
  <c r="M71" i="8"/>
  <c r="N71" i="8" s="1"/>
  <c r="M8" i="8"/>
  <c r="N8" i="8" s="1"/>
  <c r="M14" i="8"/>
  <c r="N14" i="8" s="1"/>
  <c r="M21" i="8"/>
  <c r="N21" i="8" s="1"/>
  <c r="M28" i="8"/>
  <c r="N28" i="8" s="1"/>
  <c r="M30" i="8"/>
  <c r="N30" i="8" s="1"/>
  <c r="M33" i="8"/>
  <c r="N33" i="8" s="1"/>
  <c r="M37" i="8"/>
  <c r="N37" i="8" s="1"/>
  <c r="M47" i="8"/>
  <c r="N47" i="8" s="1"/>
  <c r="M51" i="8"/>
  <c r="N51" i="8" s="1"/>
  <c r="M55" i="8"/>
  <c r="N55" i="8" s="1"/>
  <c r="M61" i="8"/>
  <c r="N61" i="8" s="1"/>
  <c r="M69" i="8"/>
  <c r="N69" i="8" s="1"/>
  <c r="M77" i="8"/>
  <c r="N77" i="8" s="1"/>
  <c r="M85" i="8"/>
  <c r="N85" i="8" s="1"/>
  <c r="M93" i="8"/>
  <c r="N93" i="8" s="1"/>
  <c r="M101" i="8"/>
  <c r="N101" i="8" s="1"/>
  <c r="M109" i="8"/>
  <c r="N109" i="8" s="1"/>
  <c r="M117" i="8"/>
  <c r="N117" i="8" s="1"/>
  <c r="M125" i="8"/>
  <c r="N125" i="8" s="1"/>
  <c r="M133" i="8"/>
  <c r="N133" i="8" s="1"/>
  <c r="M7" i="8"/>
  <c r="N7" i="8" s="1"/>
  <c r="M18" i="8"/>
  <c r="N18" i="8" s="1"/>
  <c r="M24" i="8"/>
  <c r="N24" i="8" s="1"/>
  <c r="M43" i="8"/>
  <c r="N43" i="8" s="1"/>
  <c r="M59" i="8"/>
  <c r="N59" i="8" s="1"/>
  <c r="M70" i="8"/>
  <c r="N70" i="8" s="1"/>
  <c r="M89" i="8"/>
  <c r="N89" i="8" s="1"/>
  <c r="M92" i="8"/>
  <c r="N92" i="8" s="1"/>
  <c r="M95" i="8"/>
  <c r="N95" i="8" s="1"/>
  <c r="M121" i="8"/>
  <c r="N121" i="8" s="1"/>
  <c r="M124" i="8"/>
  <c r="N124" i="8" s="1"/>
  <c r="M127" i="8"/>
  <c r="N127" i="8" s="1"/>
  <c r="M141" i="8"/>
  <c r="N141" i="8" s="1"/>
  <c r="M149" i="8"/>
  <c r="N149" i="8" s="1"/>
  <c r="M157" i="8"/>
  <c r="N157" i="8" s="1"/>
  <c r="M165" i="8"/>
  <c r="N165" i="8" s="1"/>
  <c r="M173" i="8"/>
  <c r="N173" i="8" s="1"/>
  <c r="M181" i="8"/>
  <c r="N181" i="8" s="1"/>
  <c r="M189" i="8"/>
  <c r="N189" i="8" s="1"/>
  <c r="M197" i="8"/>
  <c r="N197" i="8" s="1"/>
  <c r="M205" i="8"/>
  <c r="N205" i="8" s="1"/>
  <c r="M213" i="8"/>
  <c r="N213" i="8" s="1"/>
  <c r="M221" i="8"/>
  <c r="N221" i="8" s="1"/>
  <c r="M229" i="8"/>
  <c r="N229" i="8" s="1"/>
  <c r="M9" i="8"/>
  <c r="N9" i="8" s="1"/>
  <c r="M25" i="8"/>
  <c r="N25" i="8" s="1"/>
  <c r="M66" i="8"/>
  <c r="N66" i="8" s="1"/>
  <c r="M73" i="8"/>
  <c r="N73" i="8" s="1"/>
  <c r="M98" i="8"/>
  <c r="N98" i="8" s="1"/>
  <c r="M104" i="8"/>
  <c r="N104" i="8" s="1"/>
  <c r="M107" i="8"/>
  <c r="N107" i="8" s="1"/>
  <c r="M110" i="8"/>
  <c r="N110" i="8" s="1"/>
  <c r="M130" i="8"/>
  <c r="N130" i="8" s="1"/>
  <c r="M136" i="8"/>
  <c r="N136" i="8" s="1"/>
  <c r="M144" i="8"/>
  <c r="N144" i="8" s="1"/>
  <c r="M152" i="8"/>
  <c r="N152" i="8" s="1"/>
  <c r="M160" i="8"/>
  <c r="N160" i="8" s="1"/>
  <c r="M168" i="8"/>
  <c r="N168" i="8" s="1"/>
  <c r="M176" i="8"/>
  <c r="N176" i="8" s="1"/>
  <c r="M184" i="8"/>
  <c r="N184" i="8" s="1"/>
  <c r="M192" i="8"/>
  <c r="N192" i="8" s="1"/>
  <c r="M200" i="8"/>
  <c r="N200" i="8" s="1"/>
  <c r="M208" i="8"/>
  <c r="N208" i="8" s="1"/>
  <c r="M216" i="8"/>
  <c r="N216" i="8" s="1"/>
  <c r="M224" i="8"/>
  <c r="N224" i="8" s="1"/>
  <c r="M232" i="8"/>
  <c r="N232" i="8" s="1"/>
  <c r="M240" i="8"/>
  <c r="N240" i="8" s="1"/>
  <c r="M10" i="8"/>
  <c r="N10" i="8" s="1"/>
  <c r="M11" i="8"/>
  <c r="N11" i="8" s="1"/>
  <c r="M12" i="8"/>
  <c r="N12" i="8" s="1"/>
  <c r="M42" i="8"/>
  <c r="N42" i="8" s="1"/>
  <c r="M62" i="8"/>
  <c r="N62" i="8" s="1"/>
  <c r="M76" i="8"/>
  <c r="N76" i="8" s="1"/>
  <c r="M81" i="8"/>
  <c r="N81" i="8" s="1"/>
  <c r="M84" i="8"/>
  <c r="N84" i="8" s="1"/>
  <c r="M87" i="8"/>
  <c r="N87" i="8" s="1"/>
  <c r="M113" i="8"/>
  <c r="N113" i="8" s="1"/>
  <c r="M116" i="8"/>
  <c r="N116" i="8" s="1"/>
  <c r="M119" i="8"/>
  <c r="N119" i="8" s="1"/>
  <c r="M139" i="8"/>
  <c r="N139" i="8" s="1"/>
  <c r="M147" i="8"/>
  <c r="N147" i="8" s="1"/>
  <c r="M155" i="8"/>
  <c r="N155" i="8" s="1"/>
  <c r="M163" i="8"/>
  <c r="N163" i="8" s="1"/>
  <c r="M171" i="8"/>
  <c r="N171" i="8" s="1"/>
  <c r="M179" i="8"/>
  <c r="N179" i="8" s="1"/>
  <c r="M187" i="8"/>
  <c r="N187" i="8" s="1"/>
  <c r="M195" i="8"/>
  <c r="N195" i="8" s="1"/>
  <c r="M203" i="8"/>
  <c r="N203" i="8" s="1"/>
  <c r="M211" i="8"/>
  <c r="N211" i="8" s="1"/>
  <c r="M219" i="8"/>
  <c r="N219" i="8" s="1"/>
  <c r="M227" i="8"/>
  <c r="N227" i="8" s="1"/>
  <c r="M235" i="8"/>
  <c r="N235" i="8" s="1"/>
  <c r="M243" i="8"/>
  <c r="N243" i="8" s="1"/>
  <c r="M239" i="8"/>
  <c r="N239" i="8" s="1"/>
  <c r="M218" i="8"/>
  <c r="N218" i="8" s="1"/>
  <c r="M204" i="8"/>
  <c r="N204" i="8" s="1"/>
  <c r="M190" i="8"/>
  <c r="N190" i="8" s="1"/>
  <c r="M172" i="8"/>
  <c r="N172" i="8" s="1"/>
  <c r="M158" i="8"/>
  <c r="N158" i="8" s="1"/>
  <c r="M154" i="8"/>
  <c r="N154" i="8" s="1"/>
  <c r="M126" i="8"/>
  <c r="N126" i="8" s="1"/>
  <c r="M118" i="8"/>
  <c r="N118" i="8" s="1"/>
  <c r="M106" i="8"/>
  <c r="N106" i="8" s="1"/>
  <c r="M242" i="8"/>
  <c r="N242" i="8" s="1"/>
  <c r="M193" i="8"/>
  <c r="N193" i="8" s="1"/>
  <c r="M161" i="8"/>
  <c r="N161" i="8" s="1"/>
  <c r="M129" i="8"/>
  <c r="N129" i="8" s="1"/>
  <c r="M56" i="8"/>
  <c r="N56" i="8" s="1"/>
  <c r="M38" i="8"/>
  <c r="N38" i="8" s="1"/>
  <c r="F32" i="8"/>
  <c r="G32" i="8" s="1"/>
  <c r="M20" i="8"/>
  <c r="N20" i="8" s="1"/>
  <c r="M17" i="8"/>
  <c r="N17" i="8" s="1"/>
  <c r="F9" i="8"/>
  <c r="G9" i="8" s="1"/>
  <c r="M210" i="8"/>
  <c r="N210" i="8" s="1"/>
  <c r="M196" i="8"/>
  <c r="N196" i="8" s="1"/>
  <c r="M182" i="8"/>
  <c r="N182" i="8" s="1"/>
  <c r="M132" i="8"/>
  <c r="N132" i="8" s="1"/>
  <c r="M102" i="8"/>
  <c r="N102" i="8" s="1"/>
  <c r="M91" i="8"/>
  <c r="N91" i="8" s="1"/>
  <c r="M83" i="8"/>
  <c r="N83" i="8" s="1"/>
  <c r="F72" i="8"/>
  <c r="G72" i="8" s="1"/>
  <c r="M64" i="8"/>
  <c r="N64" i="8" s="1"/>
  <c r="M39" i="8"/>
  <c r="N39" i="8" s="1"/>
  <c r="M19" i="8"/>
  <c r="N19" i="8" s="1"/>
  <c r="M237" i="8"/>
  <c r="N237" i="8" s="1"/>
  <c r="M223" i="8"/>
  <c r="N223" i="8" s="1"/>
  <c r="M209" i="8"/>
  <c r="N209" i="8" s="1"/>
  <c r="M191" i="8"/>
  <c r="N191" i="8" s="1"/>
  <c r="M177" i="8"/>
  <c r="N177" i="8" s="1"/>
  <c r="M159" i="8"/>
  <c r="N159" i="8" s="1"/>
  <c r="M145" i="8"/>
  <c r="N145" i="8" s="1"/>
  <c r="M131" i="8"/>
  <c r="N131" i="8" s="1"/>
  <c r="M108" i="8"/>
  <c r="N108" i="8" s="1"/>
  <c r="M97" i="8"/>
  <c r="N97" i="8" s="1"/>
  <c r="F79" i="8"/>
  <c r="G79" i="8" s="1"/>
  <c r="F64" i="8"/>
  <c r="G64" i="8" s="1"/>
  <c r="M60" i="8"/>
  <c r="N60" i="8" s="1"/>
  <c r="M41" i="8"/>
  <c r="N41" i="8" s="1"/>
  <c r="F40" i="8"/>
  <c r="G40" i="8" s="1"/>
  <c r="M13" i="8"/>
  <c r="N13" i="8" s="1"/>
  <c r="F5" i="8"/>
  <c r="G5" i="8" s="1"/>
  <c r="F15" i="8"/>
  <c r="G15" i="8" s="1"/>
  <c r="F58" i="8"/>
  <c r="G58" i="8" s="1"/>
  <c r="AH8" i="8" l="1"/>
  <c r="T7" i="8"/>
  <c r="U7" i="8" s="1"/>
  <c r="D141" i="9"/>
  <c r="E141" i="9" s="1"/>
  <c r="D74" i="9"/>
  <c r="E74" i="9" s="1"/>
  <c r="T35" i="8"/>
  <c r="U35" i="8" s="1"/>
  <c r="X23" i="8"/>
  <c r="AB24" i="8" s="1"/>
  <c r="T23" i="8"/>
  <c r="U23" i="8" s="1"/>
  <c r="T15" i="8"/>
  <c r="U15" i="8" s="1"/>
  <c r="T34" i="8"/>
  <c r="U34" i="8" s="1"/>
  <c r="T5" i="8"/>
  <c r="U5" i="8" s="1"/>
  <c r="T25" i="8"/>
  <c r="U25" i="8" s="1"/>
  <c r="T16" i="8"/>
  <c r="U16" i="8" s="1"/>
  <c r="T36" i="8"/>
  <c r="U36" i="8" s="1"/>
  <c r="T9" i="8"/>
  <c r="U9" i="8" s="1"/>
  <c r="T11" i="8"/>
  <c r="U11" i="8" s="1"/>
  <c r="T27" i="8"/>
  <c r="U27" i="8" s="1"/>
  <c r="T18" i="8"/>
  <c r="U18" i="8" s="1"/>
  <c r="K55" i="9"/>
  <c r="L55" i="9" s="1"/>
  <c r="K26" i="9"/>
  <c r="L26" i="9" s="1"/>
  <c r="K39" i="9"/>
  <c r="L39" i="9" s="1"/>
  <c r="K41" i="9"/>
  <c r="L41" i="9" s="1"/>
  <c r="D69" i="9"/>
  <c r="E69" i="9" s="1"/>
  <c r="D205" i="9"/>
  <c r="E205" i="9" s="1"/>
  <c r="D10" i="9"/>
  <c r="E10" i="9" s="1"/>
  <c r="K27" i="9"/>
  <c r="L27" i="9" s="1"/>
  <c r="D102" i="9"/>
  <c r="E102" i="9" s="1"/>
  <c r="D114" i="9"/>
  <c r="E114" i="9" s="1"/>
  <c r="D189" i="9"/>
  <c r="E189" i="9" s="1"/>
  <c r="D35" i="9"/>
  <c r="E35" i="9" s="1"/>
  <c r="K25" i="9"/>
  <c r="L25" i="9" s="1"/>
  <c r="D142" i="9"/>
  <c r="E142" i="9" s="1"/>
  <c r="D62" i="9"/>
  <c r="E62" i="9" s="1"/>
  <c r="D139" i="9"/>
  <c r="E139" i="9" s="1"/>
  <c r="D127" i="9"/>
  <c r="E127" i="9" s="1"/>
  <c r="D203" i="9"/>
  <c r="E203" i="9" s="1"/>
  <c r="D171" i="9"/>
  <c r="E171" i="9" s="1"/>
  <c r="D33" i="9"/>
  <c r="E33" i="9" s="1"/>
  <c r="D27" i="9"/>
  <c r="E27" i="9" s="1"/>
  <c r="D150" i="9"/>
  <c r="E150" i="9" s="1"/>
  <c r="D108" i="9"/>
  <c r="E108" i="9" s="1"/>
  <c r="D200" i="9"/>
  <c r="E200" i="9" s="1"/>
  <c r="D82" i="9"/>
  <c r="E82" i="9" s="1"/>
  <c r="D220" i="9"/>
  <c r="E220" i="9" s="1"/>
  <c r="D58" i="9"/>
  <c r="E58" i="9" s="1"/>
  <c r="D201" i="9"/>
  <c r="E201" i="9" s="1"/>
  <c r="D169" i="9"/>
  <c r="E169" i="9" s="1"/>
  <c r="D89" i="9"/>
  <c r="E89" i="9" s="1"/>
  <c r="D22" i="9"/>
  <c r="E22" i="9" s="1"/>
  <c r="D125" i="9"/>
  <c r="E125" i="9" s="1"/>
  <c r="D61" i="9"/>
  <c r="E61" i="9" s="1"/>
  <c r="D42" i="9"/>
  <c r="E42" i="9" s="1"/>
  <c r="D17" i="9"/>
  <c r="E17" i="9" s="1"/>
  <c r="D78" i="9"/>
  <c r="E78" i="9" s="1"/>
  <c r="D59" i="9"/>
  <c r="E59" i="9" s="1"/>
  <c r="D111" i="9"/>
  <c r="E111" i="9" s="1"/>
  <c r="D215" i="9"/>
  <c r="E215" i="9" s="1"/>
  <c r="D167" i="9"/>
  <c r="E167" i="9" s="1"/>
  <c r="D16" i="9"/>
  <c r="E16" i="9" s="1"/>
  <c r="D11" i="9"/>
  <c r="E11" i="9" s="1"/>
  <c r="D131" i="9"/>
  <c r="E131" i="9" s="1"/>
  <c r="D136" i="9"/>
  <c r="E136" i="9" s="1"/>
  <c r="D18" i="9"/>
  <c r="E18" i="9" s="1"/>
  <c r="D188" i="9"/>
  <c r="E188" i="9" s="1"/>
  <c r="D213" i="9"/>
  <c r="E213" i="9" s="1"/>
  <c r="D197" i="9"/>
  <c r="E197" i="9" s="1"/>
  <c r="D137" i="9"/>
  <c r="E137" i="9" s="1"/>
  <c r="D8" i="9"/>
  <c r="E8" i="9" s="1"/>
  <c r="D48" i="9"/>
  <c r="E48" i="9" s="1"/>
  <c r="D26" i="9"/>
  <c r="E26" i="9" s="1"/>
  <c r="K36" i="9"/>
  <c r="L36" i="9" s="1"/>
  <c r="D110" i="9"/>
  <c r="E110" i="9" s="1"/>
  <c r="D196" i="9"/>
  <c r="E196" i="9" s="1"/>
  <c r="D20" i="9"/>
  <c r="E20" i="9" s="1"/>
  <c r="D120" i="9"/>
  <c r="E120" i="9" s="1"/>
  <c r="D154" i="9"/>
  <c r="E154" i="9" s="1"/>
  <c r="D21" i="9"/>
  <c r="E21" i="9" s="1"/>
  <c r="D216" i="9"/>
  <c r="E216" i="9" s="1"/>
  <c r="D72" i="9"/>
  <c r="E72" i="9" s="1"/>
  <c r="D172" i="9"/>
  <c r="E172" i="9" s="1"/>
  <c r="D95" i="9"/>
  <c r="E95" i="9" s="1"/>
  <c r="D31" i="9"/>
  <c r="E31" i="9" s="1"/>
  <c r="D211" i="9"/>
  <c r="E211" i="9" s="1"/>
  <c r="D195" i="9"/>
  <c r="E195" i="9" s="1"/>
  <c r="D179" i="9"/>
  <c r="E179" i="9" s="1"/>
  <c r="D163" i="9"/>
  <c r="E163" i="9" s="1"/>
  <c r="D128" i="9"/>
  <c r="E128" i="9" s="1"/>
  <c r="D64" i="9"/>
  <c r="E64" i="9" s="1"/>
  <c r="D6" i="9"/>
  <c r="E6" i="9" s="1"/>
  <c r="D100" i="9"/>
  <c r="E100" i="9" s="1"/>
  <c r="D41" i="9"/>
  <c r="E41" i="9" s="1"/>
  <c r="D12" i="9"/>
  <c r="E12" i="9" s="1"/>
  <c r="K33" i="9"/>
  <c r="L33" i="9" s="1"/>
  <c r="K32" i="9"/>
  <c r="L32" i="9" s="1"/>
  <c r="K37" i="9"/>
  <c r="L37" i="9" s="1"/>
  <c r="D30" i="9"/>
  <c r="E30" i="9" s="1"/>
  <c r="D118" i="9"/>
  <c r="E118" i="9" s="1"/>
  <c r="D235" i="9"/>
  <c r="E235" i="9" s="1"/>
  <c r="D140" i="9"/>
  <c r="E140" i="9" s="1"/>
  <c r="D70" i="9"/>
  <c r="E70" i="9" s="1"/>
  <c r="D99" i="9"/>
  <c r="E99" i="9" s="1"/>
  <c r="D218" i="9"/>
  <c r="E218" i="9" s="1"/>
  <c r="D133" i="9"/>
  <c r="E133" i="9" s="1"/>
  <c r="D63" i="9"/>
  <c r="E63" i="9" s="1"/>
  <c r="D155" i="9"/>
  <c r="E155" i="9" s="1"/>
  <c r="D132" i="9"/>
  <c r="E132" i="9" s="1"/>
  <c r="D50" i="9"/>
  <c r="E50" i="9" s="1"/>
  <c r="D32" i="9"/>
  <c r="E32" i="9" s="1"/>
  <c r="D117" i="9"/>
  <c r="E117" i="9" s="1"/>
  <c r="D217" i="9"/>
  <c r="E217" i="9" s="1"/>
  <c r="D153" i="9"/>
  <c r="E153" i="9" s="1"/>
  <c r="D164" i="9"/>
  <c r="E164" i="9" s="1"/>
  <c r="D71" i="9"/>
  <c r="E71" i="9" s="1"/>
  <c r="D186" i="9"/>
  <c r="E186" i="9" s="1"/>
  <c r="D204" i="9"/>
  <c r="E204" i="9" s="1"/>
  <c r="D199" i="9"/>
  <c r="E199" i="9" s="1"/>
  <c r="D80" i="9"/>
  <c r="E80" i="9" s="1"/>
  <c r="D55" i="9"/>
  <c r="E55" i="9" s="1"/>
  <c r="K52" i="9"/>
  <c r="L52" i="9" s="1"/>
  <c r="K53" i="9"/>
  <c r="L53" i="9" s="1"/>
  <c r="D67" i="9"/>
  <c r="E67" i="9" s="1"/>
  <c r="D151" i="9"/>
  <c r="E151" i="9" s="1"/>
  <c r="D38" i="9"/>
  <c r="E38" i="9" s="1"/>
  <c r="D106" i="9"/>
  <c r="E106" i="9" s="1"/>
  <c r="D165" i="9"/>
  <c r="E165" i="9" s="1"/>
  <c r="D115" i="9"/>
  <c r="E115" i="9" s="1"/>
  <c r="D123" i="9"/>
  <c r="E123" i="9" s="1"/>
  <c r="D101" i="9"/>
  <c r="E101" i="9" s="1"/>
  <c r="D146" i="9"/>
  <c r="E146" i="9" s="1"/>
  <c r="D5" i="9"/>
  <c r="E5" i="9" s="1"/>
  <c r="D184" i="9"/>
  <c r="E184" i="9" s="1"/>
  <c r="D56" i="9"/>
  <c r="E56" i="9" s="1"/>
  <c r="D156" i="9"/>
  <c r="E156" i="9" s="1"/>
  <c r="D90" i="9"/>
  <c r="E90" i="9" s="1"/>
  <c r="D24" i="9"/>
  <c r="E24" i="9" s="1"/>
  <c r="D209" i="9"/>
  <c r="E209" i="9" s="1"/>
  <c r="D193" i="9"/>
  <c r="E193" i="9" s="1"/>
  <c r="D177" i="9"/>
  <c r="E177" i="9" s="1"/>
  <c r="D161" i="9"/>
  <c r="E161" i="9" s="1"/>
  <c r="D121" i="9"/>
  <c r="E121" i="9" s="1"/>
  <c r="D57" i="9"/>
  <c r="E57" i="9" s="1"/>
  <c r="D3" i="9"/>
  <c r="E3" i="9" s="1"/>
  <c r="D93" i="9"/>
  <c r="E93" i="9" s="1"/>
  <c r="D23" i="9"/>
  <c r="E23" i="9" s="1"/>
  <c r="D51" i="9"/>
  <c r="E51" i="9" s="1"/>
  <c r="K47" i="9"/>
  <c r="L47" i="9" s="1"/>
  <c r="K49" i="9"/>
  <c r="L49" i="9" s="1"/>
  <c r="K29" i="9"/>
  <c r="L29" i="9" s="1"/>
  <c r="D37" i="9"/>
  <c r="E37" i="9" s="1"/>
  <c r="D135" i="9"/>
  <c r="E135" i="9" s="1"/>
  <c r="D45" i="9"/>
  <c r="E45" i="9" s="1"/>
  <c r="D225" i="9"/>
  <c r="E225" i="9" s="1"/>
  <c r="D212" i="9"/>
  <c r="E212" i="9" s="1"/>
  <c r="D60" i="9"/>
  <c r="E60" i="9" s="1"/>
  <c r="D81" i="9"/>
  <c r="E81" i="9" s="1"/>
  <c r="D97" i="9"/>
  <c r="E97" i="9" s="1"/>
  <c r="D176" i="9"/>
  <c r="E176" i="9" s="1"/>
  <c r="D210" i="9"/>
  <c r="E210" i="9" s="1"/>
  <c r="D224" i="9"/>
  <c r="E224" i="9" s="1"/>
  <c r="D227" i="9"/>
  <c r="E227" i="9" s="1"/>
  <c r="D238" i="9"/>
  <c r="E238" i="9" s="1"/>
  <c r="D244" i="9"/>
  <c r="E244" i="9" s="1"/>
  <c r="D36" i="9"/>
  <c r="E36" i="9" s="1"/>
  <c r="D94" i="9"/>
  <c r="E94" i="9" s="1"/>
  <c r="D147" i="9"/>
  <c r="E147" i="9" s="1"/>
  <c r="D162" i="9"/>
  <c r="E162" i="9" s="1"/>
  <c r="D190" i="9"/>
  <c r="E190" i="9" s="1"/>
  <c r="D232" i="9"/>
  <c r="E232" i="9" s="1"/>
  <c r="D119" i="9"/>
  <c r="E119" i="9" s="1"/>
  <c r="D208" i="9"/>
  <c r="E208" i="9" s="1"/>
  <c r="D214" i="9"/>
  <c r="E214" i="9" s="1"/>
  <c r="D230" i="9"/>
  <c r="E230" i="9" s="1"/>
  <c r="D242" i="9"/>
  <c r="E242" i="9" s="1"/>
  <c r="D247" i="9"/>
  <c r="E247" i="9" s="1"/>
  <c r="D25" i="9"/>
  <c r="E25" i="9" s="1"/>
  <c r="D65" i="9"/>
  <c r="E65" i="9" s="1"/>
  <c r="D174" i="9"/>
  <c r="E174" i="9" s="1"/>
  <c r="D194" i="9"/>
  <c r="E194" i="9" s="1"/>
  <c r="D222" i="9"/>
  <c r="E222" i="9" s="1"/>
  <c r="D228" i="9"/>
  <c r="E228" i="9" s="1"/>
  <c r="D236" i="9"/>
  <c r="E236" i="9" s="1"/>
  <c r="D245" i="9"/>
  <c r="E245" i="9" s="1"/>
  <c r="D49" i="9"/>
  <c r="E49" i="9" s="1"/>
  <c r="D103" i="9"/>
  <c r="E103" i="9" s="1"/>
  <c r="D124" i="9"/>
  <c r="E124" i="9" s="1"/>
  <c r="D145" i="9"/>
  <c r="E145" i="9" s="1"/>
  <c r="D160" i="9"/>
  <c r="E160" i="9" s="1"/>
  <c r="D180" i="9"/>
  <c r="E180" i="9" s="1"/>
  <c r="D7" i="9"/>
  <c r="E7" i="9" s="1"/>
  <c r="D44" i="9"/>
  <c r="E44" i="9" s="1"/>
  <c r="D52" i="9"/>
  <c r="E52" i="9" s="1"/>
  <c r="D83" i="9"/>
  <c r="E83" i="9" s="1"/>
  <c r="D206" i="9"/>
  <c r="E206" i="9" s="1"/>
  <c r="D226" i="9"/>
  <c r="E226" i="9" s="1"/>
  <c r="D231" i="9"/>
  <c r="E231" i="9" s="1"/>
  <c r="D240" i="9"/>
  <c r="E240" i="9" s="1"/>
  <c r="D29" i="9"/>
  <c r="E29" i="9" s="1"/>
  <c r="D178" i="9"/>
  <c r="E178" i="9" s="1"/>
  <c r="D246" i="9"/>
  <c r="E246" i="9" s="1"/>
  <c r="D113" i="9"/>
  <c r="E113" i="9" s="1"/>
  <c r="D192" i="9"/>
  <c r="E192" i="9" s="1"/>
  <c r="D234" i="9"/>
  <c r="E234" i="9" s="1"/>
  <c r="D129" i="9"/>
  <c r="E129" i="9" s="1"/>
  <c r="D229" i="9"/>
  <c r="E229" i="9" s="1"/>
  <c r="D243" i="9"/>
  <c r="E243" i="9" s="1"/>
  <c r="D158" i="9"/>
  <c r="E158" i="9" s="1"/>
  <c r="D15" i="9"/>
  <c r="E15" i="9" s="1"/>
  <c r="D28" i="9"/>
  <c r="E28" i="9" s="1"/>
  <c r="D98" i="9"/>
  <c r="E98" i="9" s="1"/>
  <c r="D4" i="9"/>
  <c r="E4" i="9" s="1"/>
  <c r="D219" i="9"/>
  <c r="E219" i="9" s="1"/>
  <c r="D187" i="9"/>
  <c r="E187" i="9" s="1"/>
  <c r="D96" i="9"/>
  <c r="E96" i="9" s="1"/>
  <c r="D68" i="9"/>
  <c r="E68" i="9" s="1"/>
  <c r="D53" i="9"/>
  <c r="E53" i="9" s="1"/>
  <c r="D39" i="9"/>
  <c r="E39" i="9" s="1"/>
  <c r="D202" i="9"/>
  <c r="E202" i="9" s="1"/>
  <c r="D107" i="9"/>
  <c r="E107" i="9" s="1"/>
  <c r="D122" i="9"/>
  <c r="E122" i="9" s="1"/>
  <c r="D185" i="9"/>
  <c r="E185" i="9" s="1"/>
  <c r="D126" i="9"/>
  <c r="E126" i="9" s="1"/>
  <c r="D92" i="9"/>
  <c r="E92" i="9" s="1"/>
  <c r="D149" i="9"/>
  <c r="E149" i="9" s="1"/>
  <c r="D66" i="9"/>
  <c r="E66" i="9" s="1"/>
  <c r="D104" i="9"/>
  <c r="E104" i="9" s="1"/>
  <c r="D54" i="9"/>
  <c r="E54" i="9" s="1"/>
  <c r="D183" i="9"/>
  <c r="E183" i="9" s="1"/>
  <c r="D144" i="9"/>
  <c r="E144" i="9" s="1"/>
  <c r="D116" i="9"/>
  <c r="E116" i="9" s="1"/>
  <c r="D34" i="9"/>
  <c r="E34" i="9" s="1"/>
  <c r="D134" i="9"/>
  <c r="E134" i="9" s="1"/>
  <c r="D86" i="9"/>
  <c r="E86" i="9" s="1"/>
  <c r="D170" i="9"/>
  <c r="E170" i="9" s="1"/>
  <c r="D85" i="9"/>
  <c r="E85" i="9" s="1"/>
  <c r="D46" i="9"/>
  <c r="E46" i="9" s="1"/>
  <c r="D181" i="9"/>
  <c r="E181" i="9" s="1"/>
  <c r="D73" i="9"/>
  <c r="E73" i="9" s="1"/>
  <c r="D109" i="9"/>
  <c r="E109" i="9" s="1"/>
  <c r="K45" i="9"/>
  <c r="L45" i="9" s="1"/>
  <c r="D233" i="9"/>
  <c r="E233" i="9" s="1"/>
  <c r="D91" i="9"/>
  <c r="E91" i="9" s="1"/>
  <c r="D88" i="9"/>
  <c r="E88" i="9" s="1"/>
  <c r="D130" i="9"/>
  <c r="E130" i="9" s="1"/>
  <c r="D182" i="9"/>
  <c r="E182" i="9" s="1"/>
  <c r="D168" i="9"/>
  <c r="E168" i="9" s="1"/>
  <c r="D13" i="9"/>
  <c r="E13" i="9" s="1"/>
  <c r="D143" i="9"/>
  <c r="E143" i="9" s="1"/>
  <c r="D79" i="9"/>
  <c r="E79" i="9" s="1"/>
  <c r="D14" i="9"/>
  <c r="E14" i="9" s="1"/>
  <c r="D207" i="9"/>
  <c r="E207" i="9" s="1"/>
  <c r="D191" i="9"/>
  <c r="E191" i="9" s="1"/>
  <c r="D175" i="9"/>
  <c r="E175" i="9" s="1"/>
  <c r="D159" i="9"/>
  <c r="E159" i="9" s="1"/>
  <c r="D112" i="9"/>
  <c r="E112" i="9" s="1"/>
  <c r="D47" i="9"/>
  <c r="E47" i="9" s="1"/>
  <c r="D148" i="9"/>
  <c r="E148" i="9" s="1"/>
  <c r="D84" i="9"/>
  <c r="E84" i="9" s="1"/>
  <c r="D19" i="9"/>
  <c r="E19" i="9" s="1"/>
  <c r="D43" i="9"/>
  <c r="E43" i="9" s="1"/>
  <c r="K44" i="9"/>
  <c r="L44" i="9" s="1"/>
  <c r="K54" i="9"/>
  <c r="L54" i="9" s="1"/>
  <c r="D76" i="9"/>
  <c r="E76" i="9" s="1"/>
  <c r="D241" i="9"/>
  <c r="E241" i="9" s="1"/>
  <c r="D87" i="9"/>
  <c r="E87" i="9" s="1"/>
  <c r="D239" i="9"/>
  <c r="E239" i="9" s="1"/>
  <c r="D198" i="9"/>
  <c r="E198" i="9" s="1"/>
  <c r="D237" i="9"/>
  <c r="E237" i="9" s="1"/>
  <c r="U13" i="9"/>
  <c r="U15" i="9" s="1"/>
  <c r="K23" i="9"/>
  <c r="L23" i="9" s="1"/>
  <c r="K19" i="9"/>
  <c r="L19" i="9" s="1"/>
  <c r="K22" i="9"/>
  <c r="L22" i="9" s="1"/>
  <c r="K46" i="9"/>
  <c r="L46" i="9" s="1"/>
  <c r="K43" i="9"/>
  <c r="L43" i="9" s="1"/>
  <c r="K51" i="9"/>
  <c r="L51" i="9" s="1"/>
  <c r="K34" i="9"/>
  <c r="L34" i="9" s="1"/>
  <c r="K28" i="9"/>
  <c r="L28" i="9" s="1"/>
  <c r="K35" i="9"/>
  <c r="L35" i="9" s="1"/>
  <c r="K48" i="9"/>
  <c r="L48" i="9" s="1"/>
  <c r="K50" i="9"/>
  <c r="L50" i="9" s="1"/>
  <c r="K31" i="9"/>
  <c r="L31" i="9" s="1"/>
  <c r="K24" i="9"/>
  <c r="L24" i="9" s="1"/>
  <c r="K42" i="9"/>
  <c r="L42" i="9" s="1"/>
  <c r="K30" i="9"/>
  <c r="L30" i="9" s="1"/>
  <c r="K40" i="9"/>
  <c r="L40" i="9" s="1"/>
  <c r="AD14" i="8"/>
  <c r="AD16" i="8" s="1"/>
  <c r="T32" i="8"/>
  <c r="U32" i="8" s="1"/>
  <c r="T30" i="8"/>
  <c r="U30" i="8" s="1"/>
  <c r="T39" i="8"/>
  <c r="U39" i="8" s="1"/>
  <c r="T6" i="8"/>
  <c r="U6" i="8" s="1"/>
  <c r="AH7" i="8"/>
  <c r="T19" i="8"/>
  <c r="U19" i="8" s="1"/>
  <c r="T3" i="8"/>
  <c r="U3" i="8" s="1"/>
  <c r="T21" i="8"/>
  <c r="U21" i="8" s="1"/>
  <c r="T10" i="8"/>
  <c r="U10" i="8" s="1"/>
  <c r="T28" i="8"/>
  <c r="U28" i="8" s="1"/>
  <c r="T38" i="8"/>
  <c r="U38" i="8" s="1"/>
  <c r="T22" i="8"/>
  <c r="U22" i="8" s="1"/>
  <c r="T31" i="8"/>
  <c r="U31" i="8" s="1"/>
  <c r="T20" i="8"/>
  <c r="U20" i="8" s="1"/>
  <c r="T33" i="8"/>
  <c r="U33" i="8" s="1"/>
  <c r="T13" i="8"/>
  <c r="U13" i="8" s="1"/>
  <c r="T12" i="8"/>
  <c r="U12" i="8" s="1"/>
  <c r="T8" i="8"/>
  <c r="U8" i="8" s="1"/>
  <c r="T26" i="8"/>
  <c r="U26" i="8" s="1"/>
  <c r="T14" i="8"/>
  <c r="U14" i="8" s="1"/>
  <c r="T29" i="8"/>
  <c r="U29" i="8" s="1"/>
  <c r="T4" i="8"/>
  <c r="U4" i="8" s="1"/>
  <c r="X14" i="8"/>
  <c r="X16" i="8" s="1"/>
  <c r="T37" i="8"/>
  <c r="U37" i="8" s="1"/>
  <c r="T17" i="8"/>
  <c r="U17" i="8" s="1"/>
  <c r="T24" i="8"/>
  <c r="U24" i="8" s="1"/>
  <c r="X24" i="8" l="1"/>
  <c r="X29" i="8" s="1"/>
  <c r="O13" i="9"/>
  <c r="O15" i="9" s="1"/>
  <c r="R13" i="9"/>
  <c r="R15" i="9" s="1"/>
  <c r="AA14" i="8"/>
  <c r="AG10" i="8"/>
  <c r="AI10" i="8"/>
  <c r="B11" i="7"/>
  <c r="B10" i="7"/>
  <c r="B9" i="7"/>
  <c r="B8" i="7"/>
  <c r="B7" i="7"/>
  <c r="C11" i="7"/>
  <c r="C10" i="7"/>
  <c r="C9" i="7"/>
  <c r="C8" i="7"/>
  <c r="C7" i="7"/>
  <c r="D11" i="7"/>
  <c r="D10" i="7"/>
  <c r="D9" i="7"/>
  <c r="D8" i="7"/>
  <c r="D7" i="7"/>
  <c r="D6" i="7"/>
  <c r="B6" i="7"/>
  <c r="C6" i="7"/>
  <c r="D15" i="7"/>
  <c r="O7" i="6"/>
  <c r="Q7" i="6" s="1"/>
  <c r="O6" i="6"/>
  <c r="O5" i="6"/>
  <c r="O4" i="6"/>
  <c r="Q4" i="6" s="1"/>
  <c r="T3" i="6"/>
  <c r="P4" i="6"/>
  <c r="P5" i="6"/>
  <c r="Q5" i="6"/>
  <c r="Q6" i="6"/>
  <c r="P6" i="6"/>
  <c r="P7" i="6"/>
  <c r="T5" i="6"/>
  <c r="T6" i="6"/>
  <c r="T8" i="6" s="1"/>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379"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254"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129" i="4"/>
  <c r="D3" i="4"/>
  <c r="D4" i="4"/>
  <c r="D5" i="4"/>
  <c r="D6" i="4"/>
  <c r="D7" i="4"/>
  <c r="D8" i="4"/>
  <c r="D9" i="4"/>
  <c r="D10" i="4"/>
  <c r="E10" i="4" s="1"/>
  <c r="D11" i="4"/>
  <c r="E11" i="4" s="1"/>
  <c r="I11" i="4"/>
  <c r="D12" i="4"/>
  <c r="I12" i="4"/>
  <c r="D13" i="4"/>
  <c r="D14" i="4"/>
  <c r="D15" i="4"/>
  <c r="D16" i="4"/>
  <c r="E16" i="4" s="1"/>
  <c r="H16" i="4"/>
  <c r="D17" i="4"/>
  <c r="H17" i="4"/>
  <c r="D18" i="4"/>
  <c r="H18" i="4"/>
  <c r="D19" i="4"/>
  <c r="H19" i="4"/>
  <c r="D20" i="4"/>
  <c r="E20" i="4" s="1"/>
  <c r="D21" i="4"/>
  <c r="D22" i="4"/>
  <c r="D23" i="4"/>
  <c r="E23" i="4" s="1"/>
  <c r="D24" i="4"/>
  <c r="D25" i="4"/>
  <c r="D26" i="4"/>
  <c r="E26" i="4" s="1"/>
  <c r="D27" i="4"/>
  <c r="E27" i="4" s="1"/>
  <c r="D28" i="4"/>
  <c r="E28" i="4" s="1"/>
  <c r="D29" i="4"/>
  <c r="D30" i="4"/>
  <c r="D31" i="4"/>
  <c r="D32" i="4"/>
  <c r="D33" i="4"/>
  <c r="E33" i="4"/>
  <c r="D34" i="4"/>
  <c r="E34" i="4" s="1"/>
  <c r="D35" i="4"/>
  <c r="D36" i="4"/>
  <c r="D37" i="4"/>
  <c r="E37" i="4" s="1"/>
  <c r="D38" i="4"/>
  <c r="D39" i="4"/>
  <c r="D40" i="4"/>
  <c r="D41" i="4"/>
  <c r="D42" i="4"/>
  <c r="E42" i="4"/>
  <c r="D43" i="4"/>
  <c r="E43" i="4" s="1"/>
  <c r="D44" i="4"/>
  <c r="E44" i="4"/>
  <c r="D45" i="4"/>
  <c r="D46" i="4"/>
  <c r="D47" i="4"/>
  <c r="D48" i="4"/>
  <c r="D49" i="4"/>
  <c r="E49" i="4" s="1"/>
  <c r="D50" i="4"/>
  <c r="D51" i="4"/>
  <c r="E51" i="4" s="1"/>
  <c r="D52" i="4"/>
  <c r="E52" i="4"/>
  <c r="D53" i="4"/>
  <c r="D54" i="4"/>
  <c r="D55" i="4"/>
  <c r="D56" i="4"/>
  <c r="D57" i="4"/>
  <c r="E57" i="4"/>
  <c r="D58" i="4"/>
  <c r="E58" i="4"/>
  <c r="D59" i="4"/>
  <c r="E59" i="4" s="1"/>
  <c r="D60" i="4"/>
  <c r="E60" i="4"/>
  <c r="D61" i="4"/>
  <c r="D62" i="4"/>
  <c r="E62" i="4" s="1"/>
  <c r="D63" i="4"/>
  <c r="D64" i="4"/>
  <c r="D65" i="4"/>
  <c r="E65" i="4" s="1"/>
  <c r="D66" i="4"/>
  <c r="D67" i="4"/>
  <c r="E67" i="4" s="1"/>
  <c r="D68" i="4"/>
  <c r="E68" i="4" s="1"/>
  <c r="D69" i="4"/>
  <c r="D70" i="4"/>
  <c r="D71" i="4"/>
  <c r="D72" i="4"/>
  <c r="D73" i="4"/>
  <c r="E73" i="4"/>
  <c r="D74" i="4"/>
  <c r="E74" i="4" s="1"/>
  <c r="D75" i="4"/>
  <c r="D76" i="4"/>
  <c r="D77" i="4"/>
  <c r="E77" i="4" s="1"/>
  <c r="D78" i="4"/>
  <c r="D79" i="4"/>
  <c r="D80" i="4"/>
  <c r="D81" i="4"/>
  <c r="D82" i="4"/>
  <c r="D83" i="4"/>
  <c r="E83" i="4" s="1"/>
  <c r="D84" i="4"/>
  <c r="E84" i="4" s="1"/>
  <c r="D85" i="4"/>
  <c r="D86" i="4"/>
  <c r="D87" i="4"/>
  <c r="D88" i="4"/>
  <c r="D89" i="4"/>
  <c r="E89" i="4"/>
  <c r="D90" i="4"/>
  <c r="D91" i="4"/>
  <c r="D92" i="4"/>
  <c r="E92" i="4" s="1"/>
  <c r="D93" i="4"/>
  <c r="E93" i="4" s="1"/>
  <c r="D94" i="4"/>
  <c r="D95" i="4"/>
  <c r="D96" i="4"/>
  <c r="D97" i="4"/>
  <c r="D98" i="4"/>
  <c r="E98" i="4" s="1"/>
  <c r="D99" i="4"/>
  <c r="E99" i="4" s="1"/>
  <c r="D100" i="4"/>
  <c r="E100" i="4" s="1"/>
  <c r="D101" i="4"/>
  <c r="D102" i="4"/>
  <c r="E102" i="4" s="1"/>
  <c r="D103" i="4"/>
  <c r="D104" i="4"/>
  <c r="D105" i="4"/>
  <c r="D106" i="4"/>
  <c r="D107" i="4"/>
  <c r="E107" i="4" s="1"/>
  <c r="D108" i="4"/>
  <c r="E108" i="4"/>
  <c r="D109" i="4"/>
  <c r="E109" i="4" s="1"/>
  <c r="D110" i="4"/>
  <c r="D111" i="4"/>
  <c r="D112" i="4"/>
  <c r="D113" i="4"/>
  <c r="D114" i="4"/>
  <c r="E114" i="4" s="1"/>
  <c r="D115" i="4"/>
  <c r="E115" i="4" s="1"/>
  <c r="D116" i="4"/>
  <c r="D117" i="4"/>
  <c r="D118" i="4"/>
  <c r="E118" i="4" s="1"/>
  <c r="D119" i="4"/>
  <c r="D120" i="4"/>
  <c r="D121" i="4"/>
  <c r="D122" i="4"/>
  <c r="D123" i="4"/>
  <c r="E123" i="4"/>
  <c r="D124" i="4"/>
  <c r="E124" i="4" s="1"/>
  <c r="D125" i="4"/>
  <c r="D126" i="4"/>
  <c r="D127" i="4"/>
  <c r="E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I4" i="1"/>
  <c r="I3" i="1"/>
  <c r="F4" i="1"/>
  <c r="G4" i="1" s="1"/>
  <c r="F5" i="1"/>
  <c r="G5" i="1" s="1"/>
  <c r="F3" i="1"/>
  <c r="G3" i="1" s="1"/>
  <c r="E20" i="1"/>
  <c r="F20" i="1" s="1"/>
  <c r="G20" i="1" s="1"/>
  <c r="E19" i="1"/>
  <c r="F19" i="1" s="1"/>
  <c r="G19" i="1" s="1"/>
  <c r="E18" i="1"/>
  <c r="I18" i="1" s="1"/>
  <c r="E17" i="1"/>
  <c r="F17" i="1" s="1"/>
  <c r="G17" i="1" s="1"/>
  <c r="E16" i="1"/>
  <c r="F16" i="1" s="1"/>
  <c r="G16" i="1" s="1"/>
  <c r="E12" i="1"/>
  <c r="F12" i="1" s="1"/>
  <c r="G12" i="1" s="1"/>
  <c r="E11" i="1"/>
  <c r="I11" i="1" s="1"/>
  <c r="K11" i="1" s="1"/>
  <c r="E10" i="1"/>
  <c r="F10" i="1" s="1"/>
  <c r="G10" i="1" s="1"/>
  <c r="E9" i="1"/>
  <c r="F9" i="1" s="1"/>
  <c r="G9" i="1" s="1"/>
  <c r="B4" i="1"/>
  <c r="C4" i="1" s="1"/>
  <c r="B5" i="1"/>
  <c r="C5" i="1" s="1"/>
  <c r="B6" i="1"/>
  <c r="C6" i="1" s="1"/>
  <c r="B7" i="1"/>
  <c r="C7" i="1" s="1"/>
  <c r="B8" i="1"/>
  <c r="C8" i="1" s="1"/>
  <c r="B9" i="1"/>
  <c r="C9" i="1" s="1"/>
  <c r="B10" i="1"/>
  <c r="C10" i="1" s="1"/>
  <c r="B11" i="1"/>
  <c r="B12" i="1"/>
  <c r="C12" i="1" s="1"/>
  <c r="B13" i="1"/>
  <c r="C13" i="1" s="1"/>
  <c r="B14" i="1"/>
  <c r="C14" i="1" s="1"/>
  <c r="B15" i="1"/>
  <c r="C15" i="1" s="1"/>
  <c r="B16" i="1"/>
  <c r="C16" i="1" s="1"/>
  <c r="B17" i="1"/>
  <c r="C17" i="1" s="1"/>
  <c r="B18" i="1"/>
  <c r="C18" i="1" s="1"/>
  <c r="B19" i="1"/>
  <c r="C19" i="1" s="1"/>
  <c r="B20" i="1"/>
  <c r="C20" i="1" s="1"/>
  <c r="B21" i="1"/>
  <c r="C21" i="1" s="1"/>
  <c r="B22" i="1"/>
  <c r="C22" i="1" s="1"/>
  <c r="B23" i="1"/>
  <c r="C23" i="1" s="1"/>
  <c r="B24" i="1"/>
  <c r="C24" i="1" s="1"/>
  <c r="B25" i="1"/>
  <c r="C25" i="1" s="1"/>
  <c r="B26" i="1"/>
  <c r="C26" i="1" s="1"/>
  <c r="B27" i="1"/>
  <c r="C27" i="1" s="1"/>
  <c r="B28" i="1"/>
  <c r="C28" i="1" s="1"/>
  <c r="B29" i="1"/>
  <c r="C29" i="1" s="1"/>
  <c r="B30" i="1"/>
  <c r="C30" i="1" s="1"/>
  <c r="B31" i="1"/>
  <c r="C31" i="1" s="1"/>
  <c r="B32" i="1"/>
  <c r="C32" i="1" s="1"/>
  <c r="B33" i="1"/>
  <c r="C33" i="1" s="1"/>
  <c r="B34" i="1"/>
  <c r="C34" i="1" s="1"/>
  <c r="B35" i="1"/>
  <c r="C35" i="1" s="1"/>
  <c r="B36" i="1"/>
  <c r="C36" i="1" s="1"/>
  <c r="B37" i="1"/>
  <c r="C37" i="1" s="1"/>
  <c r="B38" i="1"/>
  <c r="C38" i="1" s="1"/>
  <c r="B39" i="1"/>
  <c r="C39" i="1" s="1"/>
  <c r="B40" i="1"/>
  <c r="C40" i="1" s="1"/>
  <c r="B41" i="1"/>
  <c r="C41" i="1" s="1"/>
  <c r="B42" i="1"/>
  <c r="C42" i="1" s="1"/>
  <c r="B43" i="1"/>
  <c r="C43" i="1" s="1"/>
  <c r="B44" i="1"/>
  <c r="C44" i="1" s="1"/>
  <c r="B45" i="1"/>
  <c r="C45" i="1" s="1"/>
  <c r="B46" i="1"/>
  <c r="C46" i="1" s="1"/>
  <c r="B47" i="1"/>
  <c r="C47" i="1" s="1"/>
  <c r="B48" i="1"/>
  <c r="C48" i="1" s="1"/>
  <c r="B49" i="1"/>
  <c r="C49" i="1" s="1"/>
  <c r="B50" i="1"/>
  <c r="C50" i="1" s="1"/>
  <c r="B51" i="1"/>
  <c r="C51" i="1" s="1"/>
  <c r="B52" i="1"/>
  <c r="C52" i="1" s="1"/>
  <c r="B53" i="1"/>
  <c r="C53" i="1" s="1"/>
  <c r="B54" i="1"/>
  <c r="C54" i="1" s="1"/>
  <c r="B55" i="1"/>
  <c r="C55" i="1" s="1"/>
  <c r="B56" i="1"/>
  <c r="C56" i="1" s="1"/>
  <c r="B57" i="1"/>
  <c r="C57" i="1" s="1"/>
  <c r="B58" i="1"/>
  <c r="C58" i="1" s="1"/>
  <c r="B59" i="1"/>
  <c r="C59" i="1" s="1"/>
  <c r="B60" i="1"/>
  <c r="C60" i="1" s="1"/>
  <c r="B61" i="1"/>
  <c r="C61" i="1" s="1"/>
  <c r="B62" i="1"/>
  <c r="C62" i="1" s="1"/>
  <c r="B63" i="1"/>
  <c r="C63" i="1" s="1"/>
  <c r="B64" i="1"/>
  <c r="C64" i="1" s="1"/>
  <c r="B65" i="1"/>
  <c r="C65" i="1" s="1"/>
  <c r="B66" i="1"/>
  <c r="C66" i="1" s="1"/>
  <c r="B67" i="1"/>
  <c r="C67" i="1" s="1"/>
  <c r="B68" i="1"/>
  <c r="C68" i="1" s="1"/>
  <c r="B69" i="1"/>
  <c r="C69" i="1" s="1"/>
  <c r="B70" i="1"/>
  <c r="C70" i="1" s="1"/>
  <c r="B71" i="1"/>
  <c r="C71" i="1" s="1"/>
  <c r="B72" i="1"/>
  <c r="C72" i="1" s="1"/>
  <c r="B73" i="1"/>
  <c r="C73" i="1" s="1"/>
  <c r="B74" i="1"/>
  <c r="C74" i="1" s="1"/>
  <c r="B75" i="1"/>
  <c r="C75" i="1" s="1"/>
  <c r="B76" i="1"/>
  <c r="C76" i="1" s="1"/>
  <c r="B77" i="1"/>
  <c r="C77" i="1" s="1"/>
  <c r="B78" i="1"/>
  <c r="C78" i="1" s="1"/>
  <c r="B79" i="1"/>
  <c r="C79" i="1" s="1"/>
  <c r="B80" i="1"/>
  <c r="C80" i="1" s="1"/>
  <c r="B81" i="1"/>
  <c r="C81" i="1" s="1"/>
  <c r="B82" i="1"/>
  <c r="C82" i="1" s="1"/>
  <c r="B83" i="1"/>
  <c r="C83" i="1" s="1"/>
  <c r="B84" i="1"/>
  <c r="C84" i="1" s="1"/>
  <c r="B85" i="1"/>
  <c r="C85" i="1" s="1"/>
  <c r="B86" i="1"/>
  <c r="C86" i="1" s="1"/>
  <c r="B87" i="1"/>
  <c r="C87" i="1" s="1"/>
  <c r="B88" i="1"/>
  <c r="C88" i="1" s="1"/>
  <c r="B89" i="1"/>
  <c r="C89" i="1" s="1"/>
  <c r="B90" i="1"/>
  <c r="C90" i="1" s="1"/>
  <c r="B91" i="1"/>
  <c r="C91" i="1" s="1"/>
  <c r="B92" i="1"/>
  <c r="C92" i="1" s="1"/>
  <c r="B93" i="1"/>
  <c r="C93" i="1" s="1"/>
  <c r="B94" i="1"/>
  <c r="C94" i="1" s="1"/>
  <c r="B95" i="1"/>
  <c r="C95" i="1" s="1"/>
  <c r="B96" i="1"/>
  <c r="C96" i="1" s="1"/>
  <c r="B97" i="1"/>
  <c r="C97" i="1" s="1"/>
  <c r="B98" i="1"/>
  <c r="C98" i="1" s="1"/>
  <c r="B99" i="1"/>
  <c r="C99" i="1" s="1"/>
  <c r="B100" i="1"/>
  <c r="C100" i="1" s="1"/>
  <c r="B101" i="1"/>
  <c r="C101" i="1" s="1"/>
  <c r="B102" i="1"/>
  <c r="C102" i="1" s="1"/>
  <c r="B103" i="1"/>
  <c r="C103" i="1" s="1"/>
  <c r="B104" i="1"/>
  <c r="C104" i="1" s="1"/>
  <c r="B105" i="1"/>
  <c r="C105" i="1" s="1"/>
  <c r="B106" i="1"/>
  <c r="C106" i="1" s="1"/>
  <c r="B107" i="1"/>
  <c r="C107" i="1" s="1"/>
  <c r="B108" i="1"/>
  <c r="C108" i="1" s="1"/>
  <c r="B109" i="1"/>
  <c r="C109" i="1" s="1"/>
  <c r="B110" i="1"/>
  <c r="C110" i="1" s="1"/>
  <c r="B111" i="1"/>
  <c r="C111" i="1" s="1"/>
  <c r="B112" i="1"/>
  <c r="C112" i="1" s="1"/>
  <c r="B113" i="1"/>
  <c r="C113" i="1" s="1"/>
  <c r="B114" i="1"/>
  <c r="C114" i="1" s="1"/>
  <c r="B115" i="1"/>
  <c r="C115" i="1" s="1"/>
  <c r="B116" i="1"/>
  <c r="C116" i="1" s="1"/>
  <c r="B117" i="1"/>
  <c r="C117" i="1" s="1"/>
  <c r="B118" i="1"/>
  <c r="C118" i="1" s="1"/>
  <c r="B119" i="1"/>
  <c r="C119" i="1" s="1"/>
  <c r="B120" i="1"/>
  <c r="C120" i="1" s="1"/>
  <c r="B121" i="1"/>
  <c r="C121" i="1" s="1"/>
  <c r="B122" i="1"/>
  <c r="C122" i="1" s="1"/>
  <c r="B123" i="1"/>
  <c r="C123" i="1" s="1"/>
  <c r="B124" i="1"/>
  <c r="C124" i="1" s="1"/>
  <c r="B125" i="1"/>
  <c r="C125" i="1" s="1"/>
  <c r="B126" i="1"/>
  <c r="C126" i="1" s="1"/>
  <c r="B127" i="1"/>
  <c r="C127" i="1" s="1"/>
  <c r="B128" i="1"/>
  <c r="C128" i="1" s="1"/>
  <c r="B129" i="1"/>
  <c r="C129" i="1" s="1"/>
  <c r="B130" i="1"/>
  <c r="C130" i="1" s="1"/>
  <c r="B131" i="1"/>
  <c r="C131" i="1" s="1"/>
  <c r="B132" i="1"/>
  <c r="C132" i="1" s="1"/>
  <c r="B133" i="1"/>
  <c r="C133" i="1" s="1"/>
  <c r="B134" i="1"/>
  <c r="C134" i="1" s="1"/>
  <c r="B135" i="1"/>
  <c r="C135" i="1" s="1"/>
  <c r="B136" i="1"/>
  <c r="C136" i="1" s="1"/>
  <c r="B137" i="1"/>
  <c r="C137" i="1" s="1"/>
  <c r="B138" i="1"/>
  <c r="C138" i="1" s="1"/>
  <c r="B139" i="1"/>
  <c r="C139" i="1" s="1"/>
  <c r="B140" i="1"/>
  <c r="C140" i="1" s="1"/>
  <c r="B141" i="1"/>
  <c r="C141" i="1" s="1"/>
  <c r="B142" i="1"/>
  <c r="C142" i="1" s="1"/>
  <c r="B143" i="1"/>
  <c r="C143" i="1" s="1"/>
  <c r="B144" i="1"/>
  <c r="C144" i="1" s="1"/>
  <c r="B145" i="1"/>
  <c r="C145" i="1" s="1"/>
  <c r="B146" i="1"/>
  <c r="C146" i="1" s="1"/>
  <c r="B147" i="1"/>
  <c r="C147" i="1" s="1"/>
  <c r="B148" i="1"/>
  <c r="C148" i="1" s="1"/>
  <c r="B149" i="1"/>
  <c r="C149" i="1" s="1"/>
  <c r="B150" i="1"/>
  <c r="C150" i="1" s="1"/>
  <c r="B151" i="1"/>
  <c r="C151" i="1" s="1"/>
  <c r="B152" i="1"/>
  <c r="C152" i="1" s="1"/>
  <c r="B153" i="1"/>
  <c r="C153" i="1" s="1"/>
  <c r="B154" i="1"/>
  <c r="C154" i="1" s="1"/>
  <c r="B155" i="1"/>
  <c r="C155" i="1" s="1"/>
  <c r="B156" i="1"/>
  <c r="C156" i="1" s="1"/>
  <c r="B157" i="1"/>
  <c r="C157" i="1" s="1"/>
  <c r="B158" i="1"/>
  <c r="C158" i="1" s="1"/>
  <c r="B159" i="1"/>
  <c r="C159" i="1" s="1"/>
  <c r="B160" i="1"/>
  <c r="C160" i="1" s="1"/>
  <c r="B161" i="1"/>
  <c r="C161" i="1" s="1"/>
  <c r="B162" i="1"/>
  <c r="C162" i="1" s="1"/>
  <c r="B163" i="1"/>
  <c r="C163" i="1" s="1"/>
  <c r="B164" i="1"/>
  <c r="C164" i="1" s="1"/>
  <c r="B165" i="1"/>
  <c r="C165" i="1" s="1"/>
  <c r="B166" i="1"/>
  <c r="C166" i="1" s="1"/>
  <c r="B167" i="1"/>
  <c r="C167" i="1" s="1"/>
  <c r="B168" i="1"/>
  <c r="C168" i="1" s="1"/>
  <c r="B169" i="1"/>
  <c r="C169" i="1" s="1"/>
  <c r="B170" i="1"/>
  <c r="C170" i="1" s="1"/>
  <c r="B171" i="1"/>
  <c r="C171" i="1" s="1"/>
  <c r="B172" i="1"/>
  <c r="C172" i="1" s="1"/>
  <c r="B173" i="1"/>
  <c r="C173" i="1" s="1"/>
  <c r="B174" i="1"/>
  <c r="C174" i="1" s="1"/>
  <c r="B175" i="1"/>
  <c r="C175" i="1" s="1"/>
  <c r="B176" i="1"/>
  <c r="C176" i="1" s="1"/>
  <c r="B177" i="1"/>
  <c r="C177" i="1" s="1"/>
  <c r="B178" i="1"/>
  <c r="C178" i="1" s="1"/>
  <c r="B179" i="1"/>
  <c r="C179" i="1" s="1"/>
  <c r="B180" i="1"/>
  <c r="C180" i="1" s="1"/>
  <c r="B181" i="1"/>
  <c r="C181" i="1" s="1"/>
  <c r="B182" i="1"/>
  <c r="C182" i="1" s="1"/>
  <c r="B183" i="1"/>
  <c r="C183" i="1" s="1"/>
  <c r="B184" i="1"/>
  <c r="C184" i="1" s="1"/>
  <c r="B185" i="1"/>
  <c r="C185" i="1" s="1"/>
  <c r="B186" i="1"/>
  <c r="C186" i="1" s="1"/>
  <c r="B187" i="1"/>
  <c r="C187" i="1" s="1"/>
  <c r="B188" i="1"/>
  <c r="C188" i="1" s="1"/>
  <c r="B189" i="1"/>
  <c r="C189" i="1" s="1"/>
  <c r="B190" i="1"/>
  <c r="C190" i="1" s="1"/>
  <c r="B191" i="1"/>
  <c r="C191" i="1" s="1"/>
  <c r="B192" i="1"/>
  <c r="C192" i="1" s="1"/>
  <c r="B193" i="1"/>
  <c r="C193" i="1" s="1"/>
  <c r="B194" i="1"/>
  <c r="C194" i="1" s="1"/>
  <c r="B195" i="1"/>
  <c r="C195" i="1" s="1"/>
  <c r="B196" i="1"/>
  <c r="C196" i="1" s="1"/>
  <c r="B197" i="1"/>
  <c r="C197" i="1" s="1"/>
  <c r="B198" i="1"/>
  <c r="C198" i="1" s="1"/>
  <c r="B199" i="1"/>
  <c r="C199" i="1" s="1"/>
  <c r="B200" i="1"/>
  <c r="C200" i="1" s="1"/>
  <c r="B201" i="1"/>
  <c r="C201" i="1" s="1"/>
  <c r="B202" i="1"/>
  <c r="C202" i="1" s="1"/>
  <c r="B203" i="1"/>
  <c r="C203" i="1" s="1"/>
  <c r="B3" i="1"/>
  <c r="C3" i="1" s="1"/>
  <c r="AA16" i="8" l="1"/>
  <c r="AG9" i="8"/>
  <c r="O20" i="9"/>
  <c r="E116" i="4"/>
  <c r="E96" i="4"/>
  <c r="E75" i="4"/>
  <c r="E61" i="4"/>
  <c r="E30" i="4"/>
  <c r="E12" i="4"/>
  <c r="E21" i="4"/>
  <c r="E87" i="4"/>
  <c r="E53" i="4"/>
  <c r="E46" i="4"/>
  <c r="E126" i="4"/>
  <c r="E105" i="4"/>
  <c r="E85" i="4"/>
  <c r="E78" i="4"/>
  <c r="E71" i="4"/>
  <c r="E29" i="4"/>
  <c r="E125" i="4"/>
  <c r="E110" i="4"/>
  <c r="E91" i="4"/>
  <c r="E55" i="4"/>
  <c r="E35" i="4"/>
  <c r="E6" i="4"/>
  <c r="E101" i="4"/>
  <c r="E94" i="4"/>
  <c r="E4" i="4"/>
  <c r="E69" i="4"/>
  <c r="E90" i="4"/>
  <c r="E45" i="4"/>
  <c r="E39" i="4"/>
  <c r="E3" i="4"/>
  <c r="E19" i="4"/>
  <c r="E5" i="4"/>
  <c r="E81" i="4"/>
  <c r="E76" i="4"/>
  <c r="E36" i="4"/>
  <c r="E14" i="4"/>
  <c r="E117" i="4"/>
  <c r="E113" i="4"/>
  <c r="E111" i="4"/>
  <c r="E120" i="4"/>
  <c r="E95" i="4"/>
  <c r="E112" i="4"/>
  <c r="E82" i="4"/>
  <c r="E64" i="4"/>
  <c r="E50" i="4"/>
  <c r="E25" i="4"/>
  <c r="E31" i="4"/>
  <c r="E128" i="4"/>
  <c r="E106" i="4"/>
  <c r="E103" i="4"/>
  <c r="E63" i="4"/>
  <c r="E24" i="4"/>
  <c r="E18" i="4"/>
  <c r="E15" i="4"/>
  <c r="E9" i="4"/>
  <c r="E88" i="4"/>
  <c r="E56" i="4"/>
  <c r="E122" i="4"/>
  <c r="E119" i="4"/>
  <c r="E97" i="4"/>
  <c r="E80" i="4"/>
  <c r="E66" i="4"/>
  <c r="E48" i="4"/>
  <c r="E41" i="4"/>
  <c r="E17" i="4"/>
  <c r="E8" i="4"/>
  <c r="E7" i="4"/>
  <c r="E79" i="4"/>
  <c r="E47" i="4"/>
  <c r="E40" i="4"/>
  <c r="E13" i="4"/>
  <c r="E121" i="4"/>
  <c r="E104" i="4"/>
  <c r="E72" i="4"/>
  <c r="E32" i="4"/>
  <c r="E86" i="4"/>
  <c r="E70" i="4"/>
  <c r="E54" i="4"/>
  <c r="E38" i="4"/>
  <c r="E22" i="4"/>
  <c r="F18" i="1"/>
  <c r="G18" i="1" s="1"/>
  <c r="K18" i="1"/>
  <c r="I9" i="1"/>
  <c r="K9" i="1" s="1"/>
  <c r="J4" i="1"/>
  <c r="J18" i="1"/>
  <c r="J3" i="1"/>
  <c r="K3" i="1"/>
  <c r="I10" i="1"/>
  <c r="K10" i="1" s="1"/>
  <c r="F11" i="1"/>
  <c r="G11" i="1" s="1"/>
  <c r="J11" i="1" s="1"/>
  <c r="L11" i="1" s="1"/>
  <c r="I16" i="1"/>
  <c r="K16" i="1" s="1"/>
  <c r="K4" i="1"/>
  <c r="C11" i="1"/>
  <c r="I19" i="1"/>
  <c r="K19" i="1" s="1"/>
  <c r="I17" i="1"/>
  <c r="K17" i="1" s="1"/>
  <c r="AI9" i="8" l="1"/>
  <c r="AG7" i="8"/>
  <c r="AI7" i="8"/>
  <c r="AG8" i="8"/>
  <c r="L18" i="1"/>
  <c r="L4" i="1"/>
  <c r="J9" i="1"/>
  <c r="L9" i="1" s="1"/>
  <c r="J17" i="1"/>
  <c r="L17" i="1" s="1"/>
  <c r="J16" i="1"/>
  <c r="L16" i="1" s="1"/>
  <c r="J19" i="1"/>
  <c r="L19" i="1" s="1"/>
  <c r="L3" i="1"/>
  <c r="J10" i="1"/>
  <c r="L10" i="1" s="1"/>
  <c r="AI8" i="8" l="1"/>
</calcChain>
</file>

<file path=xl/sharedStrings.xml><?xml version="1.0" encoding="utf-8"?>
<sst xmlns="http://schemas.openxmlformats.org/spreadsheetml/2006/main" count="270" uniqueCount="162">
  <si>
    <t>y</t>
  </si>
  <si>
    <t>x (Radians)</t>
  </si>
  <si>
    <t>multiplier</t>
  </si>
  <si>
    <t>Multiplier</t>
  </si>
  <si>
    <t>midpoint x</t>
  </si>
  <si>
    <t>midpoint y</t>
  </si>
  <si>
    <t>actual y</t>
  </si>
  <si>
    <t>error (abs.)</t>
  </si>
  <si>
    <t>a</t>
  </si>
  <si>
    <t>x_{largest error}</t>
  </si>
  <si>
    <t>x_{smallest error}</t>
  </si>
  <si>
    <t>x_{se} error</t>
  </si>
  <si>
    <t>x_{le} error</t>
  </si>
  <si>
    <t>π/2</t>
  </si>
  <si>
    <t>π/3</t>
  </si>
  <si>
    <t>π/4</t>
  </si>
  <si>
    <t>with a = π/2</t>
  </si>
  <si>
    <t>with a = π/3</t>
  </si>
  <si>
    <t>with a = π/4</t>
  </si>
  <si>
    <t>MATE60002 Theory and Simulation of Materials</t>
  </si>
  <si>
    <t>ID: 02262227</t>
  </si>
  <si>
    <t>Name: Mervyn Ochoa-Dugoy</t>
  </si>
  <si>
    <t>Appendix Information</t>
  </si>
  <si>
    <t>rho_0</t>
  </si>
  <si>
    <t>rho_p</t>
  </si>
  <si>
    <t>rho_n</t>
  </si>
  <si>
    <t>epsilon0</t>
  </si>
  <si>
    <t>e</t>
  </si>
  <si>
    <t>Wp</t>
  </si>
  <si>
    <t>Wn</t>
  </si>
  <si>
    <t>Cp</t>
  </si>
  <si>
    <t>Cn</t>
  </si>
  <si>
    <t>I</t>
  </si>
  <si>
    <t>Boundaries</t>
  </si>
  <si>
    <t>charge density in the bulk</t>
  </si>
  <si>
    <t>C/m^3</t>
  </si>
  <si>
    <t>Charge density in the p-type depletion region</t>
  </si>
  <si>
    <t>Charge density in the n-type depletion region</t>
  </si>
  <si>
    <t>Permittivity of free space</t>
  </si>
  <si>
    <t>F/m</t>
  </si>
  <si>
    <t>Electron Charge constant</t>
  </si>
  <si>
    <t>C</t>
  </si>
  <si>
    <t>p-type depletion width</t>
  </si>
  <si>
    <t>m</t>
  </si>
  <si>
    <t>n-type depletion width</t>
  </si>
  <si>
    <t>Concentration of acceptors</t>
  </si>
  <si>
    <t>1/m^4</t>
  </si>
  <si>
    <t>Concentration of donors</t>
  </si>
  <si>
    <t>1/m^3</t>
  </si>
  <si>
    <t>Width of the retained bulk semiconductor</t>
  </si>
  <si>
    <t>Description</t>
  </si>
  <si>
    <t>Unit</t>
  </si>
  <si>
    <t>Value</t>
  </si>
  <si>
    <t>Name</t>
  </si>
  <si>
    <t>x-coordinate (nm)</t>
  </si>
  <si>
    <t>Actual Equation</t>
  </si>
  <si>
    <t>From COMSOL</t>
  </si>
  <si>
    <t>Table of parameters (provided by COMSOL)</t>
  </si>
  <si>
    <t>x-coordinate (m)</t>
  </si>
  <si>
    <t>l</t>
  </si>
  <si>
    <t>l + Wp</t>
  </si>
  <si>
    <t>l + Wp + Wn</t>
  </si>
  <si>
    <t>2l + Wp + Wn</t>
  </si>
  <si>
    <t>Potential (V)</t>
  </si>
  <si>
    <t>Voltage(V)</t>
  </si>
  <si>
    <t>Distance along p-n junction (nm)</t>
  </si>
  <si>
    <t>Normal mesh</t>
  </si>
  <si>
    <t>Finer mesh</t>
  </si>
  <si>
    <t>Extremely fine mesh</t>
  </si>
  <si>
    <r>
      <rPr>
        <b/>
        <u/>
        <sz val="11"/>
        <color theme="1"/>
        <rFont val="Calibri"/>
        <family val="2"/>
        <scheme val="minor"/>
      </rPr>
      <t xml:space="preserve">Notes: </t>
    </r>
    <r>
      <rPr>
        <sz val="11"/>
        <color theme="1"/>
        <rFont val="Calibri"/>
        <family val="2"/>
        <scheme val="minor"/>
      </rPr>
      <t xml:space="preserve">
An extremely fine mesh was used in COMSOL. Column D was converted to metres (from Column A) for easier calculations for column E. 
The graphs seen were further edited on the MATE60002 template. Databases were not manipulated during editing.</t>
    </r>
  </si>
  <si>
    <t>Wn when V =1.2V</t>
  </si>
  <si>
    <t>gradient p</t>
  </si>
  <si>
    <t>y-intercept</t>
  </si>
  <si>
    <t>ln (PD)</t>
  </si>
  <si>
    <t>ln (Wn)</t>
  </si>
  <si>
    <t>Potential Difference</t>
  </si>
  <si>
    <t>Wn (nm)</t>
  </si>
  <si>
    <t>Distance (nm)</t>
  </si>
  <si>
    <t>COMSOL Wn = 8.13904 nm</t>
  </si>
  <si>
    <t>10 nm</t>
  </si>
  <si>
    <t>8 nm</t>
  </si>
  <si>
    <t>6nm</t>
  </si>
  <si>
    <t>4 nm</t>
  </si>
  <si>
    <t>Was non-linear and had a degree of exponential relationship between Wn and potential difference.
The physical representation of p is the quadratic dependance of the depletion width (linear with distance) with the potential difference. This PD is the integral of the electric field caused by the change in carriers along the pn junction along the 1D line simulated in COMSOL.  As a result, the depletion region expands by exponent 2 to accomodate the change in carriers to generate the electric field and thus change the overall potential difference.</t>
  </si>
  <si>
    <t>ALL ON EXTREMELY FINE MESH!</t>
  </si>
  <si>
    <t>COMSOL V value 
(with Wn = 8.13904 nm)</t>
  </si>
  <si>
    <t>Difference in potential between COMSOL and calculations</t>
  </si>
  <si>
    <t>Working with a normal mesh at 20V, the result was gained by summing the tip displacement of the actuator by its base height (with no voltage applied). We're only needing to know the max height (z-axis) the tip reaches at this voltage as this would be the first point of contact between the two objects; the Al block and the actuator. Therefore the other perpendicular axes, x and y, are irrelevant and has no effect on the overall height required for contact.</t>
  </si>
  <si>
    <t>With reference to equation 3.22, the shear strain is defined by the displacement of the beam upon the application of an electric field. This electric field is proportional to the voltage applied to it (V/t) and thus this voltage is proportional to the displacement of the beam.</t>
  </si>
  <si>
    <t>The rule is the larger the voltage, the larger the deflectionrelative to the z axis - in a linear manner. This means it takes the form y =mx</t>
  </si>
  <si>
    <t>2mm</t>
  </si>
  <si>
    <t>difference</t>
  </si>
  <si>
    <t>20mm</t>
  </si>
  <si>
    <t>(base) height of Al block</t>
  </si>
  <si>
    <t>18mm</t>
  </si>
  <si>
    <t>height of actuator</t>
  </si>
  <si>
    <t>Normal</t>
  </si>
  <si>
    <t>Finer</t>
  </si>
  <si>
    <t>Extremely fine</t>
  </si>
  <si>
    <t>Displacement relative to z axis (nm)</t>
  </si>
  <si>
    <t>Applied Voltage (V)</t>
  </si>
  <si>
    <t>^These were extras^</t>
  </si>
  <si>
    <t>NORMAL MESH USED</t>
  </si>
  <si>
    <t>current (A)</t>
  </si>
  <si>
    <t>avg j (A/m2)</t>
  </si>
  <si>
    <t>area (m2)</t>
  </si>
  <si>
    <t>Cone</t>
  </si>
  <si>
    <t>b</t>
  </si>
  <si>
    <t>Current (A)</t>
  </si>
  <si>
    <t>d</t>
  </si>
  <si>
    <t>Head thickness</t>
  </si>
  <si>
    <t>W</t>
  </si>
  <si>
    <t>Head radius</t>
  </si>
  <si>
    <t>h</t>
  </si>
  <si>
    <t>Cone height</t>
  </si>
  <si>
    <t>H</t>
  </si>
  <si>
    <t>Cylinder Height</t>
  </si>
  <si>
    <t>R</t>
  </si>
  <si>
    <t>Cylinder Radius</t>
  </si>
  <si>
    <t>Value (m)</t>
  </si>
  <si>
    <t>Symbol</t>
  </si>
  <si>
    <t>wi</t>
  </si>
  <si>
    <t>r-coordinate (mm)</t>
  </si>
  <si>
    <t>z-coordinate (mm)</t>
  </si>
  <si>
    <t>STEP</t>
  </si>
  <si>
    <t>Dimensions of the simulated nail</t>
  </si>
  <si>
    <t>Zn coated head (underside, r-axis)</t>
  </si>
  <si>
    <t>Zn coated head (cylinder, z-axis)</t>
  </si>
  <si>
    <t>Zn coated body cylinder</t>
  </si>
  <si>
    <t>Fe cone tip</t>
  </si>
  <si>
    <t>wi x j(zi)</t>
  </si>
  <si>
    <t>z-coordinate (m)</t>
  </si>
  <si>
    <t>r-coordinate (m)</t>
  </si>
  <si>
    <t>(local) current density j (A/m2)</t>
  </si>
  <si>
    <t>Head Underside</t>
  </si>
  <si>
    <t>1/2H (m^-1)</t>
  </si>
  <si>
    <t>Head Cylinder</t>
  </si>
  <si>
    <t>ZINC REGION</t>
  </si>
  <si>
    <t>IRON REGION</t>
  </si>
  <si>
    <t>Average j (A/m^2)</t>
  </si>
  <si>
    <t>Surface Area (m^2)</t>
  </si>
  <si>
    <t>1/2d (m^-1)</t>
  </si>
  <si>
    <t>Cone Apex (m)</t>
  </si>
  <si>
    <t>Total Current</t>
  </si>
  <si>
    <t>Zinc (Zn) current</t>
  </si>
  <si>
    <t>Iron (Fe) current</t>
  </si>
  <si>
    <t>There is no iron reduction current as data (.txt file) showed 0 A/m^2 local current density for all spatial coordinates.</t>
  </si>
  <si>
    <t>Total Zn reduction current</t>
  </si>
  <si>
    <t>Notes</t>
  </si>
  <si>
    <t>Body Cylinder</t>
  </si>
  <si>
    <t xml:space="preserve">Sum of all currents at body cylinder, head underside and head cylinder </t>
  </si>
  <si>
    <t>No current was recorded at reduction from data files provided by COMSOL</t>
  </si>
  <si>
    <t>Metal</t>
  </si>
  <si>
    <t>Nail Part</t>
  </si>
  <si>
    <t>Net Average Current Density</t>
  </si>
  <si>
    <t>Surface Area</t>
  </si>
  <si>
    <t>Current</t>
  </si>
  <si>
    <t>NAIL CURRENTS PER SECTION</t>
  </si>
  <si>
    <t>Zinc (Zn)</t>
  </si>
  <si>
    <t>Iron (Fe)</t>
  </si>
  <si>
    <t>Cone Tip</t>
  </si>
  <si>
    <t xml:space="preserve">Hello, this Excel document is where I have imported all the necessary data from COMSOL and completed the necessary tasks as provided in the handbook. The appendix is arranged so that my solutions match to the specific exercise number, which is seen on the spreadsheet tabs below. Its best if this document was downloaded to find the formulas used to find some of the presented values on the template. Thank you!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</si>
</sst>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00000E+00"/>
    <numFmt numFmtId="166" formatCode="0.000E+00"/>
    <numFmt numFmtId="167" formatCode="0.0000000"/>
    <numFmt numFmtId="168" formatCode="0.000000000"/>
  </numFmts>
  <fonts count="9" x14ac:knownFonts="1">
    <font>
      <sz val="11"/>
      <color theme="1"/>
      <name val="Calibri"/>
      <family val="2"/>
      <scheme val="minor"/>
    </font>
    <font>
      <b/>
      <sz val="11"/>
      <color theme="1"/>
      <name val="Calibri"/>
      <family val="2"/>
      <scheme val="minor"/>
    </font>
    <font>
      <sz val="11"/>
      <color theme="1"/>
      <name val="Calibri"/>
      <family val="2"/>
    </font>
    <font>
      <b/>
      <sz val="12"/>
      <color theme="1"/>
      <name val="Calibri"/>
      <family val="2"/>
      <scheme val="minor"/>
    </font>
    <font>
      <b/>
      <u/>
      <sz val="11"/>
      <color theme="1"/>
      <name val="Calibri"/>
      <family val="2"/>
      <scheme val="minor"/>
    </font>
    <font>
      <sz val="10"/>
      <color theme="1"/>
      <name val="Calibri"/>
      <family val="2"/>
      <scheme val="minor"/>
    </font>
    <font>
      <b/>
      <sz val="9"/>
      <color theme="1"/>
      <name val="Calibri"/>
      <family val="2"/>
      <scheme val="minor"/>
    </font>
    <font>
      <b/>
      <sz val="10"/>
      <color theme="1"/>
      <name val="Calibri"/>
      <family val="2"/>
      <scheme val="minor"/>
    </font>
    <font>
      <b/>
      <sz val="14"/>
      <color theme="1"/>
      <name val="Calibri"/>
      <family val="2"/>
      <scheme val="minor"/>
    </font>
  </fonts>
  <fills count="10">
    <fill>
      <patternFill patternType="none"/>
    </fill>
    <fill>
      <patternFill patternType="gray125"/>
    </fill>
    <fill>
      <patternFill patternType="solid">
        <fgColor theme="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FF0000"/>
        <bgColor indexed="6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s>
  <cellStyleXfs count="1">
    <xf numFmtId="0" fontId="0" fillId="0" borderId="0"/>
  </cellStyleXfs>
  <cellXfs count="64">
    <xf numFmtId="0" fontId="0" fillId="0" borderId="0" xfId="0"/>
    <xf numFmtId="164" fontId="0" fillId="0" borderId="0" xfId="0" applyNumberFormat="1"/>
    <xf numFmtId="0" fontId="2" fillId="0" borderId="0" xfId="0" applyFont="1"/>
    <xf numFmtId="2" fontId="0" fillId="0" borderId="0" xfId="0" applyNumberFormat="1"/>
    <xf numFmtId="2" fontId="1" fillId="3" borderId="0" xfId="0" applyNumberFormat="1" applyFont="1" applyFill="1"/>
    <xf numFmtId="0" fontId="1" fillId="3" borderId="0" xfId="0" applyFont="1" applyFill="1"/>
    <xf numFmtId="0" fontId="1" fillId="2" borderId="0" xfId="0" applyFont="1" applyFill="1"/>
    <xf numFmtId="0" fontId="0" fillId="0" borderId="0" xfId="0" applyAlignment="1">
      <alignment vertical="top" wrapText="1"/>
    </xf>
    <xf numFmtId="0" fontId="0" fillId="0" borderId="0" xfId="0" applyAlignment="1">
      <alignment horizontal="center"/>
    </xf>
    <xf numFmtId="0" fontId="0" fillId="0" borderId="0" xfId="0" applyAlignment="1">
      <alignment vertical="top"/>
    </xf>
    <xf numFmtId="165" fontId="0" fillId="0" borderId="0" xfId="0" applyNumberFormat="1"/>
    <xf numFmtId="11" fontId="0" fillId="0" borderId="0" xfId="0" applyNumberFormat="1"/>
    <xf numFmtId="0" fontId="1" fillId="4" borderId="0" xfId="0" applyFont="1" applyFill="1"/>
    <xf numFmtId="166" fontId="0" fillId="0" borderId="0" xfId="0" applyNumberFormat="1"/>
    <xf numFmtId="166" fontId="1" fillId="4" borderId="0" xfId="0" applyNumberFormat="1" applyFont="1" applyFill="1"/>
    <xf numFmtId="166" fontId="0" fillId="0" borderId="0" xfId="0" applyNumberFormat="1" applyAlignment="1">
      <alignment vertical="top"/>
    </xf>
    <xf numFmtId="0" fontId="1" fillId="0" borderId="0" xfId="0" applyFont="1" applyAlignment="1">
      <alignment vertical="top" wrapText="1"/>
    </xf>
    <xf numFmtId="0" fontId="1" fillId="0" borderId="0" xfId="0" applyFont="1" applyAlignment="1">
      <alignment vertical="top"/>
    </xf>
    <xf numFmtId="167" fontId="0" fillId="0" borderId="0" xfId="0" applyNumberFormat="1"/>
    <xf numFmtId="168" fontId="0" fillId="0" borderId="0" xfId="0" applyNumberFormat="1"/>
    <xf numFmtId="0" fontId="1" fillId="0" borderId="0" xfId="0" applyFont="1"/>
    <xf numFmtId="0" fontId="1" fillId="0" borderId="1" xfId="0" applyFont="1" applyBorder="1"/>
    <xf numFmtId="2" fontId="6" fillId="2" borderId="2" xfId="0" applyNumberFormat="1" applyFont="1" applyFill="1" applyBorder="1" applyAlignment="1">
      <alignment horizontal="center" vertical="center"/>
    </xf>
    <xf numFmtId="0" fontId="0" fillId="0" borderId="4" xfId="0" applyBorder="1"/>
    <xf numFmtId="0" fontId="1" fillId="2" borderId="2" xfId="0" applyFont="1" applyFill="1" applyBorder="1" applyAlignment="1">
      <alignment horizontal="center" vertical="center"/>
    </xf>
    <xf numFmtId="0" fontId="1" fillId="2" borderId="1" xfId="0" applyFont="1" applyFill="1" applyBorder="1" applyAlignment="1">
      <alignment horizontal="center" vertical="center"/>
    </xf>
    <xf numFmtId="0" fontId="0" fillId="0" borderId="0" xfId="0" applyAlignment="1">
      <alignment vertical="center" textRotation="90"/>
    </xf>
    <xf numFmtId="0" fontId="1" fillId="6" borderId="0" xfId="0" applyFont="1" applyFill="1"/>
    <xf numFmtId="166" fontId="1" fillId="0" borderId="0" xfId="0" applyNumberFormat="1" applyFont="1"/>
    <xf numFmtId="0" fontId="1" fillId="2" borderId="1" xfId="0" applyFont="1" applyFill="1" applyBorder="1"/>
    <xf numFmtId="0" fontId="1" fillId="0" borderId="0" xfId="0" applyFont="1" applyAlignment="1">
      <alignment horizontal="center" vertical="center"/>
    </xf>
    <xf numFmtId="0" fontId="1" fillId="0" borderId="0" xfId="0" applyFont="1" applyAlignment="1">
      <alignment horizontal="center"/>
    </xf>
    <xf numFmtId="0" fontId="1" fillId="2" borderId="0" xfId="0" applyFont="1" applyFill="1" applyAlignment="1">
      <alignment horizontal="center"/>
    </xf>
    <xf numFmtId="0" fontId="0" fillId="0" borderId="0" xfId="0" applyAlignment="1">
      <alignment horizontal="left" vertical="top" wrapText="1"/>
    </xf>
    <xf numFmtId="2" fontId="1" fillId="2" borderId="0" xfId="0" applyNumberFormat="1" applyFont="1" applyFill="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1" fillId="5" borderId="0" xfId="0" applyFont="1" applyFill="1" applyAlignment="1">
      <alignment horizontal="center"/>
    </xf>
    <xf numFmtId="0" fontId="5" fillId="0" borderId="0" xfId="0" applyFont="1" applyAlignment="1">
      <alignment horizontal="center" vertical="top" wrapText="1"/>
    </xf>
    <xf numFmtId="0" fontId="0" fillId="0" borderId="0" xfId="0" applyAlignment="1">
      <alignment horizontal="center" vertical="top" wrapText="1"/>
    </xf>
    <xf numFmtId="0" fontId="7" fillId="0" borderId="0" xfId="0" applyFont="1" applyAlignment="1">
      <alignment horizontal="left" vertical="top" wrapText="1"/>
    </xf>
    <xf numFmtId="0" fontId="0" fillId="0" borderId="0" xfId="0" applyAlignment="1">
      <alignment horizontal="center" vertical="center"/>
    </xf>
    <xf numFmtId="0" fontId="1" fillId="0" borderId="0" xfId="0" applyFont="1" applyAlignment="1">
      <alignment horizontal="left" vertical="top" wrapText="1"/>
    </xf>
    <xf numFmtId="0" fontId="1" fillId="0" borderId="0" xfId="0" applyFont="1" applyAlignment="1">
      <alignment horizontal="left" vertical="top"/>
    </xf>
    <xf numFmtId="2" fontId="1" fillId="2" borderId="1" xfId="0" applyNumberFormat="1" applyFont="1" applyFill="1" applyBorder="1" applyAlignment="1">
      <alignment horizontal="center"/>
    </xf>
    <xf numFmtId="0" fontId="1" fillId="2" borderId="4" xfId="0" applyFont="1" applyFill="1" applyBorder="1" applyAlignment="1">
      <alignment horizontal="center" vertical="center"/>
    </xf>
    <xf numFmtId="0" fontId="1" fillId="2" borderId="3" xfId="0" applyFont="1" applyFill="1" applyBorder="1" applyAlignment="1">
      <alignment horizontal="center" vertical="center"/>
    </xf>
    <xf numFmtId="2" fontId="0" fillId="0" borderId="0" xfId="0" applyNumberFormat="1" applyAlignment="1">
      <alignment horizontal="center"/>
    </xf>
    <xf numFmtId="0" fontId="1" fillId="3" borderId="0" xfId="0" applyFont="1" applyFill="1" applyAlignment="1">
      <alignment horizontal="center" vertical="top"/>
    </xf>
    <xf numFmtId="0" fontId="3" fillId="7" borderId="0" xfId="0" applyFont="1" applyFill="1" applyAlignment="1">
      <alignment horizontal="center"/>
    </xf>
    <xf numFmtId="0" fontId="1" fillId="5" borderId="1" xfId="0" applyFont="1" applyFill="1" applyBorder="1" applyAlignment="1">
      <alignment horizontal="center"/>
    </xf>
    <xf numFmtId="0" fontId="1" fillId="2" borderId="1" xfId="0" applyFont="1" applyFill="1" applyBorder="1" applyAlignment="1">
      <alignment horizontal="center"/>
    </xf>
    <xf numFmtId="0" fontId="3" fillId="6" borderId="0" xfId="0" applyFont="1" applyFill="1" applyAlignment="1">
      <alignment horizontal="center"/>
    </xf>
    <xf numFmtId="166" fontId="0" fillId="0" borderId="0" xfId="0" applyNumberFormat="1" applyAlignment="1">
      <alignment horizontal="center"/>
    </xf>
    <xf numFmtId="0" fontId="3" fillId="9" borderId="0" xfId="0" applyFont="1" applyFill="1" applyAlignment="1">
      <alignment horizontal="center"/>
    </xf>
    <xf numFmtId="0" fontId="0" fillId="0" borderId="0" xfId="0" applyAlignment="1">
      <alignment horizontal="center"/>
    </xf>
    <xf numFmtId="0" fontId="1" fillId="0" borderId="5" xfId="0" applyFont="1" applyBorder="1" applyAlignment="1">
      <alignment horizontal="center" vertical="center"/>
    </xf>
    <xf numFmtId="0" fontId="1" fillId="0" borderId="0" xfId="0" applyFont="1" applyAlignment="1">
      <alignment horizontal="center" vertical="center"/>
    </xf>
    <xf numFmtId="0" fontId="8" fillId="6" borderId="0" xfId="0" applyFont="1" applyFill="1" applyAlignment="1">
      <alignment horizontal="center" vertical="center"/>
    </xf>
    <xf numFmtId="0" fontId="3" fillId="8" borderId="0" xfId="0" applyFont="1" applyFill="1" applyAlignment="1">
      <alignment horizontal="center"/>
    </xf>
    <xf numFmtId="0" fontId="1" fillId="2" borderId="0" xfId="0" applyFont="1" applyFill="1" applyAlignment="1">
      <alignment horizontal="center" vertical="center"/>
    </xf>
    <xf numFmtId="0" fontId="1" fillId="6" borderId="0" xfId="0" applyFont="1" applyFill="1" applyAlignment="1">
      <alignment horizontal="center"/>
    </xf>
    <xf numFmtId="0" fontId="1" fillId="6" borderId="0" xfId="0" applyFont="1" applyFill="1" applyAlignment="1">
      <alignment horizontal="center" vertical="center"/>
    </xf>
    <xf numFmtId="0" fontId="1" fillId="7"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90134911480014"/>
          <c:y val="2.7777777777777776E-2"/>
          <c:w val="0.81346718602849799"/>
          <c:h val="0.81046990648263895"/>
        </c:manualLayout>
      </c:layout>
      <c:scatterChart>
        <c:scatterStyle val="smoothMarker"/>
        <c:varyColors val="0"/>
        <c:ser>
          <c:idx val="0"/>
          <c:order val="0"/>
          <c:tx>
            <c:v>y = sin(x)</c:v>
          </c:tx>
          <c:spPr>
            <a:ln w="19050" cap="rnd">
              <a:solidFill>
                <a:schemeClr val="accent1"/>
              </a:solidFill>
              <a:round/>
            </a:ln>
            <a:effectLst/>
          </c:spPr>
          <c:marker>
            <c:symbol val="none"/>
          </c:marker>
          <c:xVal>
            <c:numRef>
              <c:f>'1.4.1'!$B$3:$B$203</c:f>
              <c:numCache>
                <c:formatCode>General</c:formatCode>
                <c:ptCount val="201"/>
                <c:pt idx="0">
                  <c:v>0</c:v>
                </c:pt>
                <c:pt idx="1">
                  <c:v>1.5707963267948967E-2</c:v>
                </c:pt>
                <c:pt idx="2">
                  <c:v>3.1415926535897934E-2</c:v>
                </c:pt>
                <c:pt idx="3">
                  <c:v>4.7123889803846894E-2</c:v>
                </c:pt>
                <c:pt idx="4">
                  <c:v>6.2831853071795868E-2</c:v>
                </c:pt>
                <c:pt idx="5">
                  <c:v>7.8539816339744828E-2</c:v>
                </c:pt>
                <c:pt idx="6">
                  <c:v>9.4247779607693788E-2</c:v>
                </c:pt>
                <c:pt idx="7">
                  <c:v>0.10995574287564278</c:v>
                </c:pt>
                <c:pt idx="8">
                  <c:v>0.12566370614359174</c:v>
                </c:pt>
                <c:pt idx="9">
                  <c:v>0.1413716694115407</c:v>
                </c:pt>
                <c:pt idx="10">
                  <c:v>0.15707963267948966</c:v>
                </c:pt>
                <c:pt idx="11">
                  <c:v>0.17278759594743862</c:v>
                </c:pt>
                <c:pt idx="12">
                  <c:v>0.18849555921538758</c:v>
                </c:pt>
                <c:pt idx="13">
                  <c:v>0.20420352248333656</c:v>
                </c:pt>
                <c:pt idx="14">
                  <c:v>0.21991148575128555</c:v>
                </c:pt>
                <c:pt idx="15">
                  <c:v>0.23561944901923448</c:v>
                </c:pt>
                <c:pt idx="16">
                  <c:v>0.25132741228718347</c:v>
                </c:pt>
                <c:pt idx="17">
                  <c:v>0.26703537555513246</c:v>
                </c:pt>
                <c:pt idx="18">
                  <c:v>0.28274333882308139</c:v>
                </c:pt>
                <c:pt idx="19">
                  <c:v>0.29845130209103032</c:v>
                </c:pt>
                <c:pt idx="20">
                  <c:v>0.31415926535897931</c:v>
                </c:pt>
                <c:pt idx="21">
                  <c:v>0.32986722862692824</c:v>
                </c:pt>
                <c:pt idx="22">
                  <c:v>0.34557519189487723</c:v>
                </c:pt>
                <c:pt idx="23">
                  <c:v>0.36128315516282622</c:v>
                </c:pt>
                <c:pt idx="24">
                  <c:v>0.37699111843077515</c:v>
                </c:pt>
                <c:pt idx="25">
                  <c:v>0.39269908169872414</c:v>
                </c:pt>
                <c:pt idx="26">
                  <c:v>0.40840704496667313</c:v>
                </c:pt>
                <c:pt idx="27">
                  <c:v>0.42411500823462212</c:v>
                </c:pt>
                <c:pt idx="28">
                  <c:v>0.4398229715025711</c:v>
                </c:pt>
                <c:pt idx="29">
                  <c:v>0.45553093477051998</c:v>
                </c:pt>
                <c:pt idx="30">
                  <c:v>0.47123889803846897</c:v>
                </c:pt>
                <c:pt idx="31">
                  <c:v>0.48694686130641796</c:v>
                </c:pt>
                <c:pt idx="32">
                  <c:v>0.50265482457436694</c:v>
                </c:pt>
                <c:pt idx="33">
                  <c:v>0.51836278784231593</c:v>
                </c:pt>
                <c:pt idx="34">
                  <c:v>0.53407075111026492</c:v>
                </c:pt>
                <c:pt idx="35">
                  <c:v>0.5497787143782138</c:v>
                </c:pt>
                <c:pt idx="36">
                  <c:v>0.56548667764616278</c:v>
                </c:pt>
                <c:pt idx="37">
                  <c:v>0.58119464091411177</c:v>
                </c:pt>
                <c:pt idx="38">
                  <c:v>0.59690260418206065</c:v>
                </c:pt>
                <c:pt idx="39">
                  <c:v>0.61261056745000964</c:v>
                </c:pt>
                <c:pt idx="40">
                  <c:v>0.62831853071795862</c:v>
                </c:pt>
                <c:pt idx="41">
                  <c:v>0.6440264939859075</c:v>
                </c:pt>
                <c:pt idx="42">
                  <c:v>0.65973445725385649</c:v>
                </c:pt>
                <c:pt idx="43">
                  <c:v>0.67544242052180548</c:v>
                </c:pt>
                <c:pt idx="44">
                  <c:v>0.69115038378975446</c:v>
                </c:pt>
                <c:pt idx="45">
                  <c:v>0.70685834705770345</c:v>
                </c:pt>
                <c:pt idx="46">
                  <c:v>0.72256631032565244</c:v>
                </c:pt>
                <c:pt idx="47">
                  <c:v>0.73827427359360132</c:v>
                </c:pt>
                <c:pt idx="48">
                  <c:v>0.7539822368615503</c:v>
                </c:pt>
                <c:pt idx="49">
                  <c:v>0.76969020012949929</c:v>
                </c:pt>
                <c:pt idx="50">
                  <c:v>0.78539816339744828</c:v>
                </c:pt>
                <c:pt idx="51">
                  <c:v>0.80110612666539727</c:v>
                </c:pt>
                <c:pt idx="52">
                  <c:v>0.81681408993334625</c:v>
                </c:pt>
                <c:pt idx="53">
                  <c:v>0.83252205320129524</c:v>
                </c:pt>
                <c:pt idx="54">
                  <c:v>0.84823001646924423</c:v>
                </c:pt>
                <c:pt idx="55">
                  <c:v>0.86393797973719322</c:v>
                </c:pt>
                <c:pt idx="56">
                  <c:v>0.87964594300514221</c:v>
                </c:pt>
                <c:pt idx="57">
                  <c:v>0.89535390627309097</c:v>
                </c:pt>
                <c:pt idx="58">
                  <c:v>0.91106186954103996</c:v>
                </c:pt>
                <c:pt idx="59">
                  <c:v>0.92676983280898895</c:v>
                </c:pt>
                <c:pt idx="60">
                  <c:v>0.94247779607693793</c:v>
                </c:pt>
                <c:pt idx="61">
                  <c:v>0.95818575934488692</c:v>
                </c:pt>
                <c:pt idx="62">
                  <c:v>0.97389372261283591</c:v>
                </c:pt>
                <c:pt idx="63">
                  <c:v>0.98960168588078479</c:v>
                </c:pt>
                <c:pt idx="64">
                  <c:v>1.0053096491487339</c:v>
                </c:pt>
                <c:pt idx="65">
                  <c:v>1.0210176124166828</c:v>
                </c:pt>
                <c:pt idx="66">
                  <c:v>1.0367255756846319</c:v>
                </c:pt>
                <c:pt idx="67">
                  <c:v>1.0524335389525807</c:v>
                </c:pt>
                <c:pt idx="68">
                  <c:v>1.0681415022205298</c:v>
                </c:pt>
                <c:pt idx="69">
                  <c:v>1.0838494654884785</c:v>
                </c:pt>
                <c:pt idx="70">
                  <c:v>1.0995574287564276</c:v>
                </c:pt>
                <c:pt idx="71">
                  <c:v>1.1152653920243765</c:v>
                </c:pt>
                <c:pt idx="72">
                  <c:v>1.1309733552923256</c:v>
                </c:pt>
                <c:pt idx="73">
                  <c:v>1.1466813185602744</c:v>
                </c:pt>
                <c:pt idx="74">
                  <c:v>1.1623892818282235</c:v>
                </c:pt>
                <c:pt idx="75">
                  <c:v>1.1780972450961724</c:v>
                </c:pt>
                <c:pt idx="76">
                  <c:v>1.1938052083641213</c:v>
                </c:pt>
                <c:pt idx="77">
                  <c:v>1.2095131716320704</c:v>
                </c:pt>
                <c:pt idx="78">
                  <c:v>1.2252211349000193</c:v>
                </c:pt>
                <c:pt idx="79">
                  <c:v>1.2409290981679684</c:v>
                </c:pt>
                <c:pt idx="80">
                  <c:v>1.2566370614359172</c:v>
                </c:pt>
                <c:pt idx="81">
                  <c:v>1.2723450247038663</c:v>
                </c:pt>
                <c:pt idx="82">
                  <c:v>1.288052987971815</c:v>
                </c:pt>
                <c:pt idx="83">
                  <c:v>1.3037609512397641</c:v>
                </c:pt>
                <c:pt idx="84">
                  <c:v>1.319468914507713</c:v>
                </c:pt>
                <c:pt idx="85">
                  <c:v>1.3351768777756621</c:v>
                </c:pt>
                <c:pt idx="86">
                  <c:v>1.350884841043611</c:v>
                </c:pt>
                <c:pt idx="87">
                  <c:v>1.36659280431156</c:v>
                </c:pt>
                <c:pt idx="88">
                  <c:v>1.3823007675795089</c:v>
                </c:pt>
                <c:pt idx="89">
                  <c:v>1.398008730847458</c:v>
                </c:pt>
                <c:pt idx="90">
                  <c:v>1.4137166941154069</c:v>
                </c:pt>
                <c:pt idx="91">
                  <c:v>1.429424657383356</c:v>
                </c:pt>
                <c:pt idx="92">
                  <c:v>1.4451326206513049</c:v>
                </c:pt>
                <c:pt idx="93">
                  <c:v>1.460840583919254</c:v>
                </c:pt>
                <c:pt idx="94">
                  <c:v>1.4765485471872026</c:v>
                </c:pt>
                <c:pt idx="95">
                  <c:v>1.4922565104551517</c:v>
                </c:pt>
                <c:pt idx="96">
                  <c:v>1.5079644737231006</c:v>
                </c:pt>
                <c:pt idx="97">
                  <c:v>1.5236724369910497</c:v>
                </c:pt>
                <c:pt idx="98">
                  <c:v>1.5393804002589986</c:v>
                </c:pt>
                <c:pt idx="99">
                  <c:v>1.5550883635269477</c:v>
                </c:pt>
                <c:pt idx="100">
                  <c:v>1.5707963267948966</c:v>
                </c:pt>
                <c:pt idx="101">
                  <c:v>1.5865042900628454</c:v>
                </c:pt>
                <c:pt idx="102">
                  <c:v>1.6022122533307945</c:v>
                </c:pt>
                <c:pt idx="103">
                  <c:v>1.6179202165987434</c:v>
                </c:pt>
                <c:pt idx="104">
                  <c:v>1.6336281798666925</c:v>
                </c:pt>
                <c:pt idx="105">
                  <c:v>1.6493361431346414</c:v>
                </c:pt>
                <c:pt idx="106">
                  <c:v>1.6650441064025905</c:v>
                </c:pt>
                <c:pt idx="107">
                  <c:v>1.6807520696705394</c:v>
                </c:pt>
                <c:pt idx="108">
                  <c:v>1.6964600329384885</c:v>
                </c:pt>
                <c:pt idx="109">
                  <c:v>1.7121679962064373</c:v>
                </c:pt>
                <c:pt idx="110">
                  <c:v>1.7278759594743864</c:v>
                </c:pt>
                <c:pt idx="111">
                  <c:v>1.7435839227423353</c:v>
                </c:pt>
                <c:pt idx="112">
                  <c:v>1.7592918860102844</c:v>
                </c:pt>
                <c:pt idx="113">
                  <c:v>1.7749998492782328</c:v>
                </c:pt>
                <c:pt idx="114">
                  <c:v>1.7907078125461819</c:v>
                </c:pt>
                <c:pt idx="115">
                  <c:v>1.8064157758141308</c:v>
                </c:pt>
                <c:pt idx="116">
                  <c:v>1.8221237390820799</c:v>
                </c:pt>
                <c:pt idx="117">
                  <c:v>1.8378317023500288</c:v>
                </c:pt>
                <c:pt idx="118">
                  <c:v>1.8535396656179779</c:v>
                </c:pt>
                <c:pt idx="119">
                  <c:v>1.8692476288859268</c:v>
                </c:pt>
                <c:pt idx="120">
                  <c:v>1.8849555921538759</c:v>
                </c:pt>
                <c:pt idx="121">
                  <c:v>1.9006635554218247</c:v>
                </c:pt>
                <c:pt idx="122">
                  <c:v>1.9163715186897738</c:v>
                </c:pt>
                <c:pt idx="123">
                  <c:v>1.9320794819577227</c:v>
                </c:pt>
                <c:pt idx="124">
                  <c:v>1.9477874452256718</c:v>
                </c:pt>
                <c:pt idx="125">
                  <c:v>1.9634954084936207</c:v>
                </c:pt>
                <c:pt idx="126">
                  <c:v>1.9792033717615696</c:v>
                </c:pt>
                <c:pt idx="127">
                  <c:v>1.9949113350295187</c:v>
                </c:pt>
                <c:pt idx="128">
                  <c:v>2.0106192982974678</c:v>
                </c:pt>
                <c:pt idx="129">
                  <c:v>2.0263272615654166</c:v>
                </c:pt>
                <c:pt idx="130">
                  <c:v>2.0420352248333655</c:v>
                </c:pt>
                <c:pt idx="131">
                  <c:v>2.0577431881013144</c:v>
                </c:pt>
                <c:pt idx="132">
                  <c:v>2.0734511513692637</c:v>
                </c:pt>
                <c:pt idx="133">
                  <c:v>2.0891591146372126</c:v>
                </c:pt>
                <c:pt idx="134">
                  <c:v>2.1048670779051615</c:v>
                </c:pt>
                <c:pt idx="135">
                  <c:v>2.1205750411731104</c:v>
                </c:pt>
                <c:pt idx="136">
                  <c:v>2.1362830044410597</c:v>
                </c:pt>
                <c:pt idx="137">
                  <c:v>2.1519909677090086</c:v>
                </c:pt>
                <c:pt idx="138">
                  <c:v>2.167698930976957</c:v>
                </c:pt>
                <c:pt idx="139">
                  <c:v>2.1834068942449059</c:v>
                </c:pt>
                <c:pt idx="140">
                  <c:v>2.1991148575128552</c:v>
                </c:pt>
                <c:pt idx="141">
                  <c:v>2.2148228207808041</c:v>
                </c:pt>
                <c:pt idx="142">
                  <c:v>2.2305307840487529</c:v>
                </c:pt>
                <c:pt idx="143">
                  <c:v>2.2462387473167018</c:v>
                </c:pt>
                <c:pt idx="144">
                  <c:v>2.2619467105846511</c:v>
                </c:pt>
                <c:pt idx="145">
                  <c:v>2.2776546738526</c:v>
                </c:pt>
                <c:pt idx="146">
                  <c:v>2.2933626371205489</c:v>
                </c:pt>
                <c:pt idx="147">
                  <c:v>2.3090706003884978</c:v>
                </c:pt>
                <c:pt idx="148">
                  <c:v>2.3247785636564471</c:v>
                </c:pt>
                <c:pt idx="149">
                  <c:v>2.340486526924396</c:v>
                </c:pt>
                <c:pt idx="150">
                  <c:v>2.3561944901923448</c:v>
                </c:pt>
                <c:pt idx="151">
                  <c:v>2.3719024534602937</c:v>
                </c:pt>
                <c:pt idx="152">
                  <c:v>2.3876104167282426</c:v>
                </c:pt>
                <c:pt idx="153">
                  <c:v>2.4033183799961919</c:v>
                </c:pt>
                <c:pt idx="154">
                  <c:v>2.4190263432641408</c:v>
                </c:pt>
                <c:pt idx="155">
                  <c:v>2.4347343065320897</c:v>
                </c:pt>
                <c:pt idx="156">
                  <c:v>2.4504422698000385</c:v>
                </c:pt>
                <c:pt idx="157">
                  <c:v>2.4661502330679879</c:v>
                </c:pt>
                <c:pt idx="158">
                  <c:v>2.4818581963359367</c:v>
                </c:pt>
                <c:pt idx="159">
                  <c:v>2.4975661596038856</c:v>
                </c:pt>
                <c:pt idx="160">
                  <c:v>2.5132741228718345</c:v>
                </c:pt>
                <c:pt idx="161">
                  <c:v>2.5289820861397838</c:v>
                </c:pt>
                <c:pt idx="162">
                  <c:v>2.5446900494077327</c:v>
                </c:pt>
                <c:pt idx="163">
                  <c:v>2.5603980126756811</c:v>
                </c:pt>
                <c:pt idx="164">
                  <c:v>2.57610597594363</c:v>
                </c:pt>
                <c:pt idx="165">
                  <c:v>2.5918139392115793</c:v>
                </c:pt>
                <c:pt idx="166">
                  <c:v>2.6075219024795282</c:v>
                </c:pt>
                <c:pt idx="167">
                  <c:v>2.6232298657474771</c:v>
                </c:pt>
                <c:pt idx="168">
                  <c:v>2.638937829015426</c:v>
                </c:pt>
                <c:pt idx="169">
                  <c:v>2.6546457922833753</c:v>
                </c:pt>
                <c:pt idx="170">
                  <c:v>2.6703537555513241</c:v>
                </c:pt>
                <c:pt idx="171">
                  <c:v>2.686061718819273</c:v>
                </c:pt>
                <c:pt idx="172">
                  <c:v>2.7017696820872219</c:v>
                </c:pt>
                <c:pt idx="173">
                  <c:v>2.7174776453551712</c:v>
                </c:pt>
                <c:pt idx="174">
                  <c:v>2.7331856086231201</c:v>
                </c:pt>
                <c:pt idx="175">
                  <c:v>2.748893571891069</c:v>
                </c:pt>
                <c:pt idx="176">
                  <c:v>2.7646015351590179</c:v>
                </c:pt>
                <c:pt idx="177">
                  <c:v>2.7803094984269667</c:v>
                </c:pt>
                <c:pt idx="178">
                  <c:v>2.7960174616949161</c:v>
                </c:pt>
                <c:pt idx="179">
                  <c:v>2.8117254249628649</c:v>
                </c:pt>
                <c:pt idx="180">
                  <c:v>2.8274333882308138</c:v>
                </c:pt>
                <c:pt idx="181">
                  <c:v>2.8431413514987627</c:v>
                </c:pt>
                <c:pt idx="182">
                  <c:v>2.858849314766712</c:v>
                </c:pt>
                <c:pt idx="183">
                  <c:v>2.8745572780346609</c:v>
                </c:pt>
                <c:pt idx="184">
                  <c:v>2.8902652413026098</c:v>
                </c:pt>
                <c:pt idx="185">
                  <c:v>2.9059732045705586</c:v>
                </c:pt>
                <c:pt idx="186">
                  <c:v>2.921681167838508</c:v>
                </c:pt>
                <c:pt idx="187">
                  <c:v>2.9373891311064568</c:v>
                </c:pt>
                <c:pt idx="188">
                  <c:v>2.9530970943744053</c:v>
                </c:pt>
                <c:pt idx="189">
                  <c:v>2.9688050576423541</c:v>
                </c:pt>
                <c:pt idx="190">
                  <c:v>2.9845130209103035</c:v>
                </c:pt>
                <c:pt idx="191">
                  <c:v>3.0002209841782523</c:v>
                </c:pt>
                <c:pt idx="192">
                  <c:v>3.0159289474462012</c:v>
                </c:pt>
                <c:pt idx="193">
                  <c:v>3.0316369107141501</c:v>
                </c:pt>
                <c:pt idx="194">
                  <c:v>3.0473448739820994</c:v>
                </c:pt>
                <c:pt idx="195">
                  <c:v>3.0630528372500483</c:v>
                </c:pt>
                <c:pt idx="196">
                  <c:v>3.0787608005179972</c:v>
                </c:pt>
                <c:pt idx="197">
                  <c:v>3.094468763785946</c:v>
                </c:pt>
                <c:pt idx="198">
                  <c:v>3.1101767270538954</c:v>
                </c:pt>
                <c:pt idx="199">
                  <c:v>3.1258846903218442</c:v>
                </c:pt>
                <c:pt idx="200">
                  <c:v>3.1415926535897931</c:v>
                </c:pt>
              </c:numCache>
            </c:numRef>
          </c:xVal>
          <c:yVal>
            <c:numRef>
              <c:f>'1.4.1'!$C$3:$C$203</c:f>
              <c:numCache>
                <c:formatCode>General</c:formatCode>
                <c:ptCount val="201"/>
                <c:pt idx="0">
                  <c:v>0</c:v>
                </c:pt>
                <c:pt idx="1">
                  <c:v>1.5707317311820675E-2</c:v>
                </c:pt>
                <c:pt idx="2">
                  <c:v>3.1410759078128292E-2</c:v>
                </c:pt>
                <c:pt idx="3">
                  <c:v>4.7106450709642658E-2</c:v>
                </c:pt>
                <c:pt idx="4">
                  <c:v>6.2790519529313374E-2</c:v>
                </c:pt>
                <c:pt idx="5">
                  <c:v>7.8459095727844944E-2</c:v>
                </c:pt>
                <c:pt idx="6">
                  <c:v>9.4108313318514311E-2</c:v>
                </c:pt>
                <c:pt idx="7">
                  <c:v>0.10973431109104528</c:v>
                </c:pt>
                <c:pt idx="8">
                  <c:v>0.12533323356430426</c:v>
                </c:pt>
                <c:pt idx="9">
                  <c:v>0.14090123193758267</c:v>
                </c:pt>
                <c:pt idx="10">
                  <c:v>0.15643446504023087</c:v>
                </c:pt>
                <c:pt idx="11">
                  <c:v>0.17192910027940952</c:v>
                </c:pt>
                <c:pt idx="12">
                  <c:v>0.1873813145857246</c:v>
                </c:pt>
                <c:pt idx="13">
                  <c:v>0.20278729535651249</c:v>
                </c:pt>
                <c:pt idx="14">
                  <c:v>0.21814324139654256</c:v>
                </c:pt>
                <c:pt idx="15">
                  <c:v>0.23344536385590539</c:v>
                </c:pt>
                <c:pt idx="16">
                  <c:v>0.24868988716485479</c:v>
                </c:pt>
                <c:pt idx="17">
                  <c:v>0.26387304996537292</c:v>
                </c:pt>
                <c:pt idx="18">
                  <c:v>0.27899110603922928</c:v>
                </c:pt>
                <c:pt idx="19">
                  <c:v>0.29404032523230395</c:v>
                </c:pt>
                <c:pt idx="20">
                  <c:v>0.3090169943749474</c:v>
                </c:pt>
                <c:pt idx="21">
                  <c:v>0.3239174181981494</c:v>
                </c:pt>
                <c:pt idx="22">
                  <c:v>0.33873792024529137</c:v>
                </c:pt>
                <c:pt idx="23">
                  <c:v>0.35347484377925714</c:v>
                </c:pt>
                <c:pt idx="24">
                  <c:v>0.36812455268467792</c:v>
                </c:pt>
                <c:pt idx="25">
                  <c:v>0.38268343236508978</c:v>
                </c:pt>
                <c:pt idx="26">
                  <c:v>0.39714789063478062</c:v>
                </c:pt>
                <c:pt idx="27">
                  <c:v>0.41151435860510882</c:v>
                </c:pt>
                <c:pt idx="28">
                  <c:v>0.42577929156507272</c:v>
                </c:pt>
                <c:pt idx="29">
                  <c:v>0.43993916985591508</c:v>
                </c:pt>
                <c:pt idx="30">
                  <c:v>0.45399049973954675</c:v>
                </c:pt>
                <c:pt idx="31">
                  <c:v>0.4679298142605734</c:v>
                </c:pt>
                <c:pt idx="32">
                  <c:v>0.48175367410171532</c:v>
                </c:pt>
                <c:pt idx="33">
                  <c:v>0.4954586684324076</c:v>
                </c:pt>
                <c:pt idx="34">
                  <c:v>0.50904141575037132</c:v>
                </c:pt>
                <c:pt idx="35">
                  <c:v>0.5224985647159488</c:v>
                </c:pt>
                <c:pt idx="36">
                  <c:v>0.53582679497899666</c:v>
                </c:pt>
                <c:pt idx="37">
                  <c:v>0.5490228179981318</c:v>
                </c:pt>
                <c:pt idx="38">
                  <c:v>0.56208337785213058</c:v>
                </c:pt>
                <c:pt idx="39">
                  <c:v>0.57500525204327857</c:v>
                </c:pt>
                <c:pt idx="40">
                  <c:v>0.58778525229247314</c:v>
                </c:pt>
                <c:pt idx="41">
                  <c:v>0.60042022532588391</c:v>
                </c:pt>
                <c:pt idx="42">
                  <c:v>0.61290705365297637</c:v>
                </c:pt>
                <c:pt idx="43">
                  <c:v>0.62524265633570508</c:v>
                </c:pt>
                <c:pt idx="44">
                  <c:v>0.63742398974868963</c:v>
                </c:pt>
                <c:pt idx="45">
                  <c:v>0.64944804833018366</c:v>
                </c:pt>
                <c:pt idx="46">
                  <c:v>0.66131186532365183</c:v>
                </c:pt>
                <c:pt idx="47">
                  <c:v>0.67301251350977331</c:v>
                </c:pt>
                <c:pt idx="48">
                  <c:v>0.68454710592868862</c:v>
                </c:pt>
                <c:pt idx="49">
                  <c:v>0.69591279659231431</c:v>
                </c:pt>
                <c:pt idx="50">
                  <c:v>0.70710678118654746</c:v>
                </c:pt>
                <c:pt idx="51">
                  <c:v>0.71812629776318881</c:v>
                </c:pt>
                <c:pt idx="52">
                  <c:v>0.72896862742141155</c:v>
                </c:pt>
                <c:pt idx="53">
                  <c:v>0.73963109497860968</c:v>
                </c:pt>
                <c:pt idx="54">
                  <c:v>0.75011106963045959</c:v>
                </c:pt>
                <c:pt idx="55">
                  <c:v>0.76040596560003104</c:v>
                </c:pt>
                <c:pt idx="56">
                  <c:v>0.77051324277578925</c:v>
                </c:pt>
                <c:pt idx="57">
                  <c:v>0.78043040733832969</c:v>
                </c:pt>
                <c:pt idx="58">
                  <c:v>0.7901550123756903</c:v>
                </c:pt>
                <c:pt idx="59">
                  <c:v>0.79968465848709047</c:v>
                </c:pt>
                <c:pt idx="60">
                  <c:v>0.80901699437494745</c:v>
                </c:pt>
                <c:pt idx="61">
                  <c:v>0.8181497174250234</c:v>
                </c:pt>
                <c:pt idx="62">
                  <c:v>0.82708057427456183</c:v>
                </c:pt>
                <c:pt idx="63">
                  <c:v>0.83580736136827016</c:v>
                </c:pt>
                <c:pt idx="64">
                  <c:v>0.84432792550201508</c:v>
                </c:pt>
                <c:pt idx="65">
                  <c:v>0.85264016435409218</c:v>
                </c:pt>
                <c:pt idx="66">
                  <c:v>0.86074202700394364</c:v>
                </c:pt>
                <c:pt idx="67">
                  <c:v>0.8686315144381912</c:v>
                </c:pt>
                <c:pt idx="68">
                  <c:v>0.87630668004386369</c:v>
                </c:pt>
                <c:pt idx="69">
                  <c:v>0.88376563008869335</c:v>
                </c:pt>
                <c:pt idx="70">
                  <c:v>0.89100652418836779</c:v>
                </c:pt>
                <c:pt idx="71">
                  <c:v>0.89802757576061554</c:v>
                </c:pt>
                <c:pt idx="72">
                  <c:v>0.90482705246601958</c:v>
                </c:pt>
                <c:pt idx="73">
                  <c:v>0.91140327663544518</c:v>
                </c:pt>
                <c:pt idx="74">
                  <c:v>0.91775462568398114</c:v>
                </c:pt>
                <c:pt idx="75">
                  <c:v>0.92387953251128674</c:v>
                </c:pt>
                <c:pt idx="76">
                  <c:v>0.92977648588825135</c:v>
                </c:pt>
                <c:pt idx="77">
                  <c:v>0.93544403082986738</c:v>
                </c:pt>
                <c:pt idx="78">
                  <c:v>0.94088076895422545</c:v>
                </c:pt>
                <c:pt idx="79">
                  <c:v>0.9460853588275453</c:v>
                </c:pt>
                <c:pt idx="80">
                  <c:v>0.95105651629515353</c:v>
                </c:pt>
                <c:pt idx="81">
                  <c:v>0.95579301479833012</c:v>
                </c:pt>
                <c:pt idx="82">
                  <c:v>0.96029368567694295</c:v>
                </c:pt>
                <c:pt idx="83">
                  <c:v>0.96455741845779808</c:v>
                </c:pt>
                <c:pt idx="84">
                  <c:v>0.96858316112863108</c:v>
                </c:pt>
                <c:pt idx="85">
                  <c:v>0.97236992039767656</c:v>
                </c:pt>
                <c:pt idx="86">
                  <c:v>0.97591676193874732</c:v>
                </c:pt>
                <c:pt idx="87">
                  <c:v>0.97922281062176575</c:v>
                </c:pt>
                <c:pt idx="88">
                  <c:v>0.98228725072868861</c:v>
                </c:pt>
                <c:pt idx="89">
                  <c:v>0.98510932615477398</c:v>
                </c:pt>
                <c:pt idx="90">
                  <c:v>0.98768834059513777</c:v>
                </c:pt>
                <c:pt idx="91">
                  <c:v>0.99002365771655754</c:v>
                </c:pt>
                <c:pt idx="92">
                  <c:v>0.99211470131447788</c:v>
                </c:pt>
                <c:pt idx="93">
                  <c:v>0.99396095545517971</c:v>
                </c:pt>
                <c:pt idx="94">
                  <c:v>0.99556196460308</c:v>
                </c:pt>
                <c:pt idx="95">
                  <c:v>0.99691733373312796</c:v>
                </c:pt>
                <c:pt idx="96">
                  <c:v>0.99802672842827156</c:v>
                </c:pt>
                <c:pt idx="97">
                  <c:v>0.99888987496197001</c:v>
                </c:pt>
                <c:pt idx="98">
                  <c:v>0.9995065603657316</c:v>
                </c:pt>
                <c:pt idx="99">
                  <c:v>0.99987663248166059</c:v>
                </c:pt>
                <c:pt idx="100">
                  <c:v>1</c:v>
                </c:pt>
                <c:pt idx="101">
                  <c:v>0.99987663248166059</c:v>
                </c:pt>
                <c:pt idx="102">
                  <c:v>0.9995065603657316</c:v>
                </c:pt>
                <c:pt idx="103">
                  <c:v>0.99888987496197001</c:v>
                </c:pt>
                <c:pt idx="104">
                  <c:v>0.99802672842827156</c:v>
                </c:pt>
                <c:pt idx="105">
                  <c:v>0.99691733373312796</c:v>
                </c:pt>
                <c:pt idx="106">
                  <c:v>0.99556196460308</c:v>
                </c:pt>
                <c:pt idx="107">
                  <c:v>0.99396095545517971</c:v>
                </c:pt>
                <c:pt idx="108">
                  <c:v>0.99211470131447776</c:v>
                </c:pt>
                <c:pt idx="109">
                  <c:v>0.99002365771655754</c:v>
                </c:pt>
                <c:pt idx="110">
                  <c:v>0.98768834059513766</c:v>
                </c:pt>
                <c:pt idx="111">
                  <c:v>0.98510932615477387</c:v>
                </c:pt>
                <c:pt idx="112">
                  <c:v>0.98228725072868861</c:v>
                </c:pt>
                <c:pt idx="113">
                  <c:v>0.97922281062176586</c:v>
                </c:pt>
                <c:pt idx="114">
                  <c:v>0.97591676193874743</c:v>
                </c:pt>
                <c:pt idx="115">
                  <c:v>0.97236992039767667</c:v>
                </c:pt>
                <c:pt idx="116">
                  <c:v>0.96858316112863119</c:v>
                </c:pt>
                <c:pt idx="117">
                  <c:v>0.96455741845779819</c:v>
                </c:pt>
                <c:pt idx="118">
                  <c:v>0.96029368567694307</c:v>
                </c:pt>
                <c:pt idx="119">
                  <c:v>0.95579301479833023</c:v>
                </c:pt>
                <c:pt idx="120">
                  <c:v>0.95105651629515364</c:v>
                </c:pt>
                <c:pt idx="121">
                  <c:v>0.94608535882754541</c:v>
                </c:pt>
                <c:pt idx="122">
                  <c:v>0.94088076895422545</c:v>
                </c:pt>
                <c:pt idx="123">
                  <c:v>0.93544403082986738</c:v>
                </c:pt>
                <c:pt idx="124">
                  <c:v>0.92977648588825135</c:v>
                </c:pt>
                <c:pt idx="125">
                  <c:v>0.92387953251128674</c:v>
                </c:pt>
                <c:pt idx="126">
                  <c:v>0.91775462568398125</c:v>
                </c:pt>
                <c:pt idx="127">
                  <c:v>0.91140327663544529</c:v>
                </c:pt>
                <c:pt idx="128">
                  <c:v>0.90482705246601947</c:v>
                </c:pt>
                <c:pt idx="129">
                  <c:v>0.89802757576061565</c:v>
                </c:pt>
                <c:pt idx="130">
                  <c:v>0.8910065241883679</c:v>
                </c:pt>
                <c:pt idx="131">
                  <c:v>0.88376563008869347</c:v>
                </c:pt>
                <c:pt idx="132">
                  <c:v>0.87630668004386347</c:v>
                </c:pt>
                <c:pt idx="133">
                  <c:v>0.8686315144381912</c:v>
                </c:pt>
                <c:pt idx="134">
                  <c:v>0.86074202700394364</c:v>
                </c:pt>
                <c:pt idx="135">
                  <c:v>0.85264016435409229</c:v>
                </c:pt>
                <c:pt idx="136">
                  <c:v>0.84432792550201496</c:v>
                </c:pt>
                <c:pt idx="137">
                  <c:v>0.83580736136827016</c:v>
                </c:pt>
                <c:pt idx="138">
                  <c:v>0.82708057427456205</c:v>
                </c:pt>
                <c:pt idx="139">
                  <c:v>0.81814971742502374</c:v>
                </c:pt>
                <c:pt idx="140">
                  <c:v>0.80901699437494745</c:v>
                </c:pt>
                <c:pt idx="141">
                  <c:v>0.79968465848709069</c:v>
                </c:pt>
                <c:pt idx="142">
                  <c:v>0.79015501237569052</c:v>
                </c:pt>
                <c:pt idx="143">
                  <c:v>0.78043040733832991</c:v>
                </c:pt>
                <c:pt idx="144">
                  <c:v>0.77051324277578925</c:v>
                </c:pt>
                <c:pt idx="145">
                  <c:v>0.76040596560003104</c:v>
                </c:pt>
                <c:pt idx="146">
                  <c:v>0.7501110696304597</c:v>
                </c:pt>
                <c:pt idx="147">
                  <c:v>0.7396310949786099</c:v>
                </c:pt>
                <c:pt idx="148">
                  <c:v>0.72896862742141144</c:v>
                </c:pt>
                <c:pt idx="149">
                  <c:v>0.71812629776318881</c:v>
                </c:pt>
                <c:pt idx="150">
                  <c:v>0.70710678118654757</c:v>
                </c:pt>
                <c:pt idx="151">
                  <c:v>0.69591279659231442</c:v>
                </c:pt>
                <c:pt idx="152">
                  <c:v>0.68454710592868884</c:v>
                </c:pt>
                <c:pt idx="153">
                  <c:v>0.67301251350977331</c:v>
                </c:pt>
                <c:pt idx="154">
                  <c:v>0.66131186532365183</c:v>
                </c:pt>
                <c:pt idx="155">
                  <c:v>0.64944804833018377</c:v>
                </c:pt>
                <c:pt idx="156">
                  <c:v>0.63742398974868986</c:v>
                </c:pt>
                <c:pt idx="157">
                  <c:v>0.62524265633570508</c:v>
                </c:pt>
                <c:pt idx="158">
                  <c:v>0.61290705365297637</c:v>
                </c:pt>
                <c:pt idx="159">
                  <c:v>0.60042022532588402</c:v>
                </c:pt>
                <c:pt idx="160">
                  <c:v>0.58778525229247325</c:v>
                </c:pt>
                <c:pt idx="161">
                  <c:v>0.57500525204327835</c:v>
                </c:pt>
                <c:pt idx="162">
                  <c:v>0.56208337785213047</c:v>
                </c:pt>
                <c:pt idx="163">
                  <c:v>0.54902281799813202</c:v>
                </c:pt>
                <c:pt idx="164">
                  <c:v>0.53582679497899699</c:v>
                </c:pt>
                <c:pt idx="165">
                  <c:v>0.52249856471594891</c:v>
                </c:pt>
                <c:pt idx="166">
                  <c:v>0.50904141575037143</c:v>
                </c:pt>
                <c:pt idx="167">
                  <c:v>0.49545866843240777</c:v>
                </c:pt>
                <c:pt idx="168">
                  <c:v>0.4817536741017156</c:v>
                </c:pt>
                <c:pt idx="169">
                  <c:v>0.4679298142605734</c:v>
                </c:pt>
                <c:pt idx="170">
                  <c:v>0.45399049973954686</c:v>
                </c:pt>
                <c:pt idx="171">
                  <c:v>0.4399391698559153</c:v>
                </c:pt>
                <c:pt idx="172">
                  <c:v>0.42577929156507288</c:v>
                </c:pt>
                <c:pt idx="173">
                  <c:v>0.41151435860510871</c:v>
                </c:pt>
                <c:pt idx="174">
                  <c:v>0.39714789063478062</c:v>
                </c:pt>
                <c:pt idx="175">
                  <c:v>0.38268343236508989</c:v>
                </c:pt>
                <c:pt idx="176">
                  <c:v>0.36812455268467814</c:v>
                </c:pt>
                <c:pt idx="177">
                  <c:v>0.35347484377925742</c:v>
                </c:pt>
                <c:pt idx="178">
                  <c:v>0.33873792024529131</c:v>
                </c:pt>
                <c:pt idx="179">
                  <c:v>0.32391741819814945</c:v>
                </c:pt>
                <c:pt idx="180">
                  <c:v>0.30901699437494751</c:v>
                </c:pt>
                <c:pt idx="181">
                  <c:v>0.29404032523230417</c:v>
                </c:pt>
                <c:pt idx="182">
                  <c:v>0.27899110603922911</c:v>
                </c:pt>
                <c:pt idx="183">
                  <c:v>0.26387304996537281</c:v>
                </c:pt>
                <c:pt idx="184">
                  <c:v>0.24868988716485482</c:v>
                </c:pt>
                <c:pt idx="185">
                  <c:v>0.23344536385590553</c:v>
                </c:pt>
                <c:pt idx="186">
                  <c:v>0.21814324139654231</c:v>
                </c:pt>
                <c:pt idx="187">
                  <c:v>0.20278729535651233</c:v>
                </c:pt>
                <c:pt idx="188">
                  <c:v>0.18738131458572502</c:v>
                </c:pt>
                <c:pt idx="189">
                  <c:v>0.17192910027941002</c:v>
                </c:pt>
                <c:pt idx="190">
                  <c:v>0.15643446504023098</c:v>
                </c:pt>
                <c:pt idx="191">
                  <c:v>0.14090123193758286</c:v>
                </c:pt>
                <c:pt idx="192">
                  <c:v>0.12533323356430454</c:v>
                </c:pt>
                <c:pt idx="193">
                  <c:v>0.10973431109104564</c:v>
                </c:pt>
                <c:pt idx="194">
                  <c:v>9.4108313318514353E-2</c:v>
                </c:pt>
                <c:pt idx="195">
                  <c:v>7.8459095727845068E-2</c:v>
                </c:pt>
                <c:pt idx="196">
                  <c:v>6.2790519529313582E-2</c:v>
                </c:pt>
                <c:pt idx="197">
                  <c:v>4.7106450709642957E-2</c:v>
                </c:pt>
                <c:pt idx="198">
                  <c:v>3.1410759078128236E-2</c:v>
                </c:pt>
                <c:pt idx="199">
                  <c:v>1.570731731182071E-2</c:v>
                </c:pt>
                <c:pt idx="200">
                  <c:v>1.22514845490862E-16</c:v>
                </c:pt>
              </c:numCache>
            </c:numRef>
          </c:yVal>
          <c:smooth val="1"/>
          <c:extLst>
            <c:ext xmlns:c16="http://schemas.microsoft.com/office/drawing/2014/chart" uri="{C3380CC4-5D6E-409C-BE32-E72D297353CC}">
              <c16:uniqueId val="{00000000-7E6A-443D-993B-4BCFCD328BF8}"/>
            </c:ext>
          </c:extLst>
        </c:ser>
        <c:ser>
          <c:idx val="3"/>
          <c:order val="3"/>
          <c:tx>
            <c:v>a = π/4</c:v>
          </c:tx>
          <c:spPr>
            <a:ln w="19050" cap="rnd">
              <a:solidFill>
                <a:schemeClr val="accent4"/>
              </a:solidFill>
              <a:round/>
            </a:ln>
            <a:effectLst/>
          </c:spPr>
          <c:marker>
            <c:symbol val="square"/>
            <c:size val="4"/>
            <c:spPr>
              <a:solidFill>
                <a:schemeClr val="accent4"/>
              </a:solidFill>
              <a:ln w="9525">
                <a:solidFill>
                  <a:schemeClr val="accent4"/>
                </a:solidFill>
              </a:ln>
              <a:effectLst/>
            </c:spPr>
          </c:marker>
          <c:xVal>
            <c:numRef>
              <c:f>'1.4.1'!$F$16:$F$20</c:f>
              <c:numCache>
                <c:formatCode>General</c:formatCode>
                <c:ptCount val="5"/>
                <c:pt idx="0">
                  <c:v>0</c:v>
                </c:pt>
                <c:pt idx="1">
                  <c:v>0.78539816339744828</c:v>
                </c:pt>
                <c:pt idx="2">
                  <c:v>1.5707963267948966</c:v>
                </c:pt>
                <c:pt idx="3">
                  <c:v>2.3561944901923448</c:v>
                </c:pt>
                <c:pt idx="4">
                  <c:v>3.1415926535897931</c:v>
                </c:pt>
              </c:numCache>
            </c:numRef>
          </c:xVal>
          <c:yVal>
            <c:numRef>
              <c:f>'1.4.1'!$G$16:$G$20</c:f>
              <c:numCache>
                <c:formatCode>General</c:formatCode>
                <c:ptCount val="5"/>
                <c:pt idx="0">
                  <c:v>0</c:v>
                </c:pt>
                <c:pt idx="1">
                  <c:v>0.70710678118654746</c:v>
                </c:pt>
                <c:pt idx="2">
                  <c:v>1</c:v>
                </c:pt>
                <c:pt idx="3">
                  <c:v>0.70710678118654757</c:v>
                </c:pt>
                <c:pt idx="4">
                  <c:v>1.22514845490862E-16</c:v>
                </c:pt>
              </c:numCache>
            </c:numRef>
          </c:yVal>
          <c:smooth val="0"/>
          <c:extLst>
            <c:ext xmlns:c16="http://schemas.microsoft.com/office/drawing/2014/chart" uri="{C3380CC4-5D6E-409C-BE32-E72D297353CC}">
              <c16:uniqueId val="{00000004-7E6A-443D-993B-4BCFCD328BF8}"/>
            </c:ext>
          </c:extLst>
        </c:ser>
        <c:ser>
          <c:idx val="4"/>
          <c:order val="4"/>
          <c:tx>
            <c:v>Largest Error</c:v>
          </c:tx>
          <c:spPr>
            <a:ln w="19050" cap="rnd">
              <a:noFill/>
              <a:round/>
            </a:ln>
            <a:effectLst/>
          </c:spPr>
          <c:marker>
            <c:symbol val="triangle"/>
            <c:size val="4"/>
            <c:spPr>
              <a:solidFill>
                <a:schemeClr val="accent5"/>
              </a:solidFill>
              <a:ln w="38100">
                <a:solidFill>
                  <a:srgbClr val="FF0000"/>
                </a:solidFill>
              </a:ln>
              <a:effectLst/>
            </c:spPr>
          </c:marker>
          <c:dPt>
            <c:idx val="1"/>
            <c:marker>
              <c:symbol val="square"/>
              <c:size val="4"/>
              <c:spPr>
                <a:solidFill>
                  <a:schemeClr val="accent6"/>
                </a:solidFill>
                <a:ln w="38100">
                  <a:solidFill>
                    <a:schemeClr val="accent6"/>
                  </a:solidFill>
                </a:ln>
                <a:effectLst/>
              </c:spPr>
            </c:marker>
            <c:bubble3D val="0"/>
            <c:extLst>
              <c:ext xmlns:c16="http://schemas.microsoft.com/office/drawing/2014/chart" uri="{C3380CC4-5D6E-409C-BE32-E72D297353CC}">
                <c16:uniqueId val="{00000000-35A3-4B8D-820E-F46EDE19E08C}"/>
              </c:ext>
            </c:extLst>
          </c:dPt>
          <c:xVal>
            <c:numRef>
              <c:f>'1.4.1'!$I$16:$I$17</c:f>
              <c:numCache>
                <c:formatCode>General</c:formatCode>
                <c:ptCount val="2"/>
                <c:pt idx="0">
                  <c:v>0.39269908169872414</c:v>
                </c:pt>
                <c:pt idx="1">
                  <c:v>1.1780972450961724</c:v>
                </c:pt>
              </c:numCache>
            </c:numRef>
          </c:xVal>
          <c:yVal>
            <c:numRef>
              <c:f>'1.4.1'!$J$16:$J$17</c:f>
              <c:numCache>
                <c:formatCode>General</c:formatCode>
                <c:ptCount val="2"/>
                <c:pt idx="0">
                  <c:v>0.35355339059327373</c:v>
                </c:pt>
                <c:pt idx="1">
                  <c:v>0.85355339059327373</c:v>
                </c:pt>
              </c:numCache>
            </c:numRef>
          </c:yVal>
          <c:smooth val="1"/>
          <c:extLst>
            <c:ext xmlns:c16="http://schemas.microsoft.com/office/drawing/2014/chart" uri="{C3380CC4-5D6E-409C-BE32-E72D297353CC}">
              <c16:uniqueId val="{00000006-7E6A-443D-993B-4BCFCD328BF8}"/>
            </c:ext>
          </c:extLst>
        </c:ser>
        <c:dLbls>
          <c:showLegendKey val="0"/>
          <c:showVal val="0"/>
          <c:showCatName val="0"/>
          <c:showSerName val="0"/>
          <c:showPercent val="0"/>
          <c:showBubbleSize val="0"/>
        </c:dLbls>
        <c:axId val="374146255"/>
        <c:axId val="880699231"/>
        <c:extLst>
          <c:ext xmlns:c15="http://schemas.microsoft.com/office/drawing/2012/chart" uri="{02D57815-91ED-43cb-92C2-25804820EDAC}">
            <c15:filteredScatterSeries>
              <c15:ser>
                <c:idx val="1"/>
                <c:order val="1"/>
                <c:tx>
                  <c:v>a = π/2</c:v>
                </c:tx>
                <c:spPr>
                  <a:ln w="19050" cap="rnd">
                    <a:solidFill>
                      <a:schemeClr val="accent2"/>
                    </a:solidFill>
                    <a:round/>
                  </a:ln>
                  <a:effectLst/>
                </c:spPr>
                <c:marker>
                  <c:symbol val="none"/>
                </c:marker>
                <c:xVal>
                  <c:numRef>
                    <c:extLst>
                      <c:ext uri="{02D57815-91ED-43cb-92C2-25804820EDAC}">
                        <c15:formulaRef>
                          <c15:sqref>'1.4.1'!$F$3:$F$5</c15:sqref>
                        </c15:formulaRef>
                      </c:ext>
                    </c:extLst>
                    <c:numCache>
                      <c:formatCode>General</c:formatCode>
                      <c:ptCount val="3"/>
                      <c:pt idx="0">
                        <c:v>0</c:v>
                      </c:pt>
                      <c:pt idx="1">
                        <c:v>1.5707963267948966</c:v>
                      </c:pt>
                      <c:pt idx="2">
                        <c:v>3.1415926535897931</c:v>
                      </c:pt>
                    </c:numCache>
                  </c:numRef>
                </c:xVal>
                <c:yVal>
                  <c:numRef>
                    <c:extLst>
                      <c:ext uri="{02D57815-91ED-43cb-92C2-25804820EDAC}">
                        <c15:formulaRef>
                          <c15:sqref>'1.4.1'!$G$3:$G$5</c15:sqref>
                        </c15:formulaRef>
                      </c:ext>
                    </c:extLst>
                    <c:numCache>
                      <c:formatCode>General</c:formatCode>
                      <c:ptCount val="3"/>
                      <c:pt idx="0">
                        <c:v>0</c:v>
                      </c:pt>
                      <c:pt idx="1">
                        <c:v>1</c:v>
                      </c:pt>
                      <c:pt idx="2">
                        <c:v>1.22514845490862E-16</c:v>
                      </c:pt>
                    </c:numCache>
                  </c:numRef>
                </c:yVal>
                <c:smooth val="0"/>
                <c:extLst>
                  <c:ext xmlns:c16="http://schemas.microsoft.com/office/drawing/2014/chart" uri="{C3380CC4-5D6E-409C-BE32-E72D297353CC}">
                    <c16:uniqueId val="{00000002-7E6A-443D-993B-4BCFCD328BF8}"/>
                  </c:ext>
                </c:extLst>
              </c15:ser>
            </c15:filteredScatterSeries>
            <c15:filteredScatterSeries>
              <c15:ser>
                <c:idx val="2"/>
                <c:order val="2"/>
                <c:tx>
                  <c:v>a = π/3</c:v>
                </c:tx>
                <c:spPr>
                  <a:ln w="19050" cap="rnd">
                    <a:solidFill>
                      <a:schemeClr val="accent3"/>
                    </a:solidFill>
                    <a:round/>
                  </a:ln>
                  <a:effectLst/>
                </c:spPr>
                <c:marker>
                  <c:symbol val="none"/>
                </c:marker>
                <c:xVal>
                  <c:numRef>
                    <c:extLst xmlns:c15="http://schemas.microsoft.com/office/drawing/2012/chart">
                      <c:ext xmlns:c15="http://schemas.microsoft.com/office/drawing/2012/chart" uri="{02D57815-91ED-43cb-92C2-25804820EDAC}">
                        <c15:formulaRef>
                          <c15:sqref>'1.4.1'!$F$9:$F$12</c15:sqref>
                        </c15:formulaRef>
                      </c:ext>
                    </c:extLst>
                    <c:numCache>
                      <c:formatCode>General</c:formatCode>
                      <c:ptCount val="4"/>
                      <c:pt idx="0">
                        <c:v>0</c:v>
                      </c:pt>
                      <c:pt idx="1">
                        <c:v>1.0471975511965976</c:v>
                      </c:pt>
                      <c:pt idx="2">
                        <c:v>2.0943951023931953</c:v>
                      </c:pt>
                      <c:pt idx="3">
                        <c:v>3.1415926535897931</c:v>
                      </c:pt>
                    </c:numCache>
                  </c:numRef>
                </c:xVal>
                <c:yVal>
                  <c:numRef>
                    <c:extLst xmlns:c15="http://schemas.microsoft.com/office/drawing/2012/chart">
                      <c:ext xmlns:c15="http://schemas.microsoft.com/office/drawing/2012/chart" uri="{02D57815-91ED-43cb-92C2-25804820EDAC}">
                        <c15:formulaRef>
                          <c15:sqref>'1.4.1'!$G$9:$G$12</c15:sqref>
                        </c15:formulaRef>
                      </c:ext>
                    </c:extLst>
                    <c:numCache>
                      <c:formatCode>General</c:formatCode>
                      <c:ptCount val="4"/>
                      <c:pt idx="0">
                        <c:v>0</c:v>
                      </c:pt>
                      <c:pt idx="1">
                        <c:v>0.8660254037844386</c:v>
                      </c:pt>
                      <c:pt idx="2">
                        <c:v>0.86602540378443871</c:v>
                      </c:pt>
                      <c:pt idx="3">
                        <c:v>1.22514845490862E-16</c:v>
                      </c:pt>
                    </c:numCache>
                  </c:numRef>
                </c:yVal>
                <c:smooth val="0"/>
                <c:extLst xmlns:c15="http://schemas.microsoft.com/office/drawing/2012/chart">
                  <c:ext xmlns:c16="http://schemas.microsoft.com/office/drawing/2014/chart" uri="{C3380CC4-5D6E-409C-BE32-E72D297353CC}">
                    <c16:uniqueId val="{00000003-7E6A-443D-993B-4BCFCD328BF8}"/>
                  </c:ext>
                </c:extLst>
              </c15:ser>
            </c15:filteredScatterSeries>
          </c:ext>
        </c:extLst>
      </c:scatterChart>
      <c:valAx>
        <c:axId val="374146255"/>
        <c:scaling>
          <c:orientation val="minMax"/>
          <c:max val="3.1419999999999999"/>
          <c:min val="0"/>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x</a:t>
                </a:r>
                <a:r>
                  <a:rPr lang="en-GB" b="1" baseline="0"/>
                  <a:t> (Radians)</a:t>
                </a:r>
                <a:endParaRPr lang="en-GB"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in"/>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699231"/>
        <c:crosses val="autoZero"/>
        <c:crossBetween val="midCat"/>
      </c:valAx>
      <c:valAx>
        <c:axId val="880699231"/>
        <c:scaling>
          <c:orientation val="minMax"/>
          <c:max val="1.1000000000000001"/>
          <c:min val="0"/>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y</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in"/>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146255"/>
        <c:crosses val="autoZero"/>
        <c:crossBetween val="midCat"/>
      </c:valAx>
      <c:spPr>
        <a:noFill/>
        <a:ln w="12700">
          <a:solidFill>
            <a:sysClr val="windowText" lastClr="000000"/>
          </a:solidFill>
        </a:ln>
        <a:effectLst/>
      </c:spPr>
    </c:plotArea>
    <c:legend>
      <c:legendPos val="r"/>
      <c:legendEntry>
        <c:idx val="2"/>
        <c:delete val="1"/>
      </c:legendEntry>
      <c:layout>
        <c:manualLayout>
          <c:xMode val="edge"/>
          <c:yMode val="edge"/>
          <c:x val="0.72664320622342593"/>
          <c:y val="4.5096674699623265E-2"/>
          <c:w val="0.19303124529815938"/>
          <c:h val="0.14666159774218077"/>
        </c:manualLayout>
      </c:layout>
      <c:overlay val="0"/>
      <c:spPr>
        <a:noFill/>
        <a:ln w="6350">
          <a:solidFill>
            <a:schemeClr val="tx1"/>
          </a:solidFill>
        </a:ln>
        <a:effectLst/>
      </c:spPr>
      <c:txPr>
        <a:bodyPr rot="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42338145231846"/>
          <c:y val="5.0925925925925923E-2"/>
          <c:w val="0.84254396325459302"/>
          <c:h val="0.82220691163604553"/>
        </c:manualLayout>
      </c:layout>
      <c:scatterChart>
        <c:scatterStyle val="lineMarker"/>
        <c:varyColors val="0"/>
        <c:ser>
          <c:idx val="2"/>
          <c:order val="2"/>
          <c:tx>
            <c:strRef>
              <c:f>'3.5.2 '!$D$4:$D$5</c:f>
              <c:strCache>
                <c:ptCount val="2"/>
                <c:pt idx="0">
                  <c:v>Displacement relative to z axis (nm)</c:v>
                </c:pt>
                <c:pt idx="1">
                  <c:v>Normal</c:v>
                </c:pt>
              </c:strCache>
            </c:strRef>
          </c:tx>
          <c:spPr>
            <a:ln w="19050" cap="rnd">
              <a:noFill/>
              <a:round/>
            </a:ln>
            <a:effectLst/>
          </c:spPr>
          <c:marker>
            <c:symbol val="circle"/>
            <c:size val="3"/>
            <c:spPr>
              <a:solidFill>
                <a:schemeClr val="accent5"/>
              </a:solidFill>
              <a:ln w="12700">
                <a:solidFill>
                  <a:schemeClr val="accent5"/>
                </a:solidFill>
              </a:ln>
              <a:effectLst/>
            </c:spPr>
          </c:marker>
          <c:trendline>
            <c:spPr>
              <a:ln w="12700" cap="rnd">
                <a:solidFill>
                  <a:srgbClr val="FF0000"/>
                </a:solidFill>
                <a:prstDash val="solid"/>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'3.5.2 '!$A$6:$A$11</c:f>
              <c:numCache>
                <c:formatCode>General</c:formatCode>
                <c:ptCount val="6"/>
                <c:pt idx="0">
                  <c:v>0</c:v>
                </c:pt>
                <c:pt idx="1">
                  <c:v>4</c:v>
                </c:pt>
                <c:pt idx="2">
                  <c:v>8</c:v>
                </c:pt>
                <c:pt idx="3">
                  <c:v>12</c:v>
                </c:pt>
                <c:pt idx="4">
                  <c:v>16</c:v>
                </c:pt>
                <c:pt idx="5">
                  <c:v>20</c:v>
                </c:pt>
              </c:numCache>
            </c:numRef>
          </c:xVal>
          <c:yVal>
            <c:numRef>
              <c:f>'3.5.2 '!$D$6:$D$11</c:f>
              <c:numCache>
                <c:formatCode>0.00</c:formatCode>
                <c:ptCount val="6"/>
                <c:pt idx="0">
                  <c:v>0</c:v>
                </c:pt>
                <c:pt idx="1">
                  <c:v>16.5936457161174</c:v>
                </c:pt>
                <c:pt idx="2">
                  <c:v>33.187291432234801</c:v>
                </c:pt>
                <c:pt idx="3">
                  <c:v>49.780937148352102</c:v>
                </c:pt>
                <c:pt idx="4">
                  <c:v>66.374582864469602</c:v>
                </c:pt>
                <c:pt idx="5">
                  <c:v>82.968228580587009</c:v>
                </c:pt>
              </c:numCache>
            </c:numRef>
          </c:yVal>
          <c:smooth val="0"/>
          <c:extLst>
            <c:ext xmlns:c16="http://schemas.microsoft.com/office/drawing/2014/chart" uri="{C3380CC4-5D6E-409C-BE32-E72D297353CC}">
              <c16:uniqueId val="{00000001-954A-4963-B011-6A4007A52351}"/>
            </c:ext>
          </c:extLst>
        </c:ser>
        <c:dLbls>
          <c:showLegendKey val="0"/>
          <c:showVal val="0"/>
          <c:showCatName val="0"/>
          <c:showSerName val="0"/>
          <c:showPercent val="0"/>
          <c:showBubbleSize val="0"/>
        </c:dLbls>
        <c:axId val="481513792"/>
        <c:axId val="481496992"/>
        <c:extLst>
          <c:ext xmlns:c15="http://schemas.microsoft.com/office/drawing/2012/chart" uri="{02D57815-91ED-43cb-92C2-25804820EDAC}">
            <c15:filteredScatterSeries>
              <c15:ser>
                <c:idx val="0"/>
                <c:order val="0"/>
                <c:tx>
                  <c:strRef>
                    <c:extLst>
                      <c:ext uri="{02D57815-91ED-43cb-92C2-25804820EDAC}">
                        <c15:formulaRef>
                          <c15:sqref>'3.5.2 '!$B$4:$B$5</c15:sqref>
                        </c15:formulaRef>
                      </c:ext>
                    </c:extLst>
                    <c:strCache>
                      <c:ptCount val="2"/>
                      <c:pt idx="0">
                        <c:v>Displacement relative to z axis (nm)</c:v>
                      </c:pt>
                      <c:pt idx="1">
                        <c:v>Extremely fine</c:v>
                      </c:pt>
                    </c:strCache>
                  </c:strRef>
                </c:tx>
                <c:spPr>
                  <a:ln w="19050" cap="rnd">
                    <a:no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'3.5.2 '!$A$6:$A$11</c15:sqref>
                        </c15:formulaRef>
                      </c:ext>
                    </c:extLst>
                    <c:numCache>
                      <c:formatCode>General</c:formatCode>
                      <c:ptCount val="6"/>
                      <c:pt idx="0">
                        <c:v>0</c:v>
                      </c:pt>
                      <c:pt idx="1">
                        <c:v>4</c:v>
                      </c:pt>
                      <c:pt idx="2">
                        <c:v>8</c:v>
                      </c:pt>
                      <c:pt idx="3">
                        <c:v>12</c:v>
                      </c:pt>
                      <c:pt idx="4">
                        <c:v>16</c:v>
                      </c:pt>
                      <c:pt idx="5">
                        <c:v>20</c:v>
                      </c:pt>
                    </c:numCache>
                  </c:numRef>
                </c:xVal>
                <c:yVal>
                  <c:numRef>
                    <c:extLst>
                      <c:ext uri="{02D57815-91ED-43cb-92C2-25804820EDAC}">
                        <c15:formulaRef>
                          <c15:sqref>'3.5.2 '!$B$6:$B$11</c15:sqref>
                        </c15:formulaRef>
                      </c:ext>
                    </c:extLst>
                    <c:numCache>
                      <c:formatCode>0.00</c:formatCode>
                      <c:ptCount val="6"/>
                      <c:pt idx="0">
                        <c:v>0</c:v>
                      </c:pt>
                      <c:pt idx="1">
                        <c:v>16.565775849439198</c:v>
                      </c:pt>
                      <c:pt idx="2">
                        <c:v>33.131551698878397</c:v>
                      </c:pt>
                      <c:pt idx="3">
                        <c:v>49.6973275483181</c:v>
                      </c:pt>
                      <c:pt idx="4">
                        <c:v>66.263103397756794</c:v>
                      </c:pt>
                      <c:pt idx="5">
                        <c:v>82.828879247196298</c:v>
                      </c:pt>
                    </c:numCache>
                  </c:numRef>
                </c:yVal>
                <c:smooth val="0"/>
                <c:extLst>
                  <c:ext xmlns:c16="http://schemas.microsoft.com/office/drawing/2014/chart" uri="{C3380CC4-5D6E-409C-BE32-E72D297353CC}">
                    <c16:uniqueId val="{00000002-954A-4963-B011-6A4007A52351}"/>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'3.5.2 '!$C$4:$C$5</c15:sqref>
                        </c15:formulaRef>
                      </c:ext>
                    </c:extLst>
                    <c:strCache>
                      <c:ptCount val="2"/>
                      <c:pt idx="0">
                        <c:v>Displacement relative to z axis (nm)</c:v>
                      </c:pt>
                      <c:pt idx="1">
                        <c:v>Finer</c:v>
                      </c:pt>
                    </c:strCache>
                  </c:strRef>
                </c:tx>
                <c:spPr>
                  <a:ln w="19050" cap="rnd">
                    <a:noFill/>
                    <a:round/>
                  </a:ln>
                  <a:effectLst/>
                </c:spPr>
                <c:marker>
                  <c:symbol val="circle"/>
                  <c:size val="5"/>
                  <c:spPr>
                    <a:solidFill>
                      <a:schemeClr val="accent2"/>
                    </a:solidFill>
                    <a:ln w="9525">
                      <a:solidFill>
                        <a:schemeClr val="accent2"/>
                      </a:solidFill>
                    </a:ln>
                    <a:effectLst/>
                  </c:spPr>
                </c:marker>
                <c:xVal>
                  <c:numRef>
                    <c:extLst xmlns:c15="http://schemas.microsoft.com/office/drawing/2012/chart">
                      <c:ext xmlns:c15="http://schemas.microsoft.com/office/drawing/2012/chart" uri="{02D57815-91ED-43cb-92C2-25804820EDAC}">
                        <c15:formulaRef>
                          <c15:sqref>'3.5.2 '!$A$6:$A$11</c15:sqref>
                        </c15:formulaRef>
                      </c:ext>
                    </c:extLst>
                    <c:numCache>
                      <c:formatCode>General</c:formatCode>
                      <c:ptCount val="6"/>
                      <c:pt idx="0">
                        <c:v>0</c:v>
                      </c:pt>
                      <c:pt idx="1">
                        <c:v>4</c:v>
                      </c:pt>
                      <c:pt idx="2">
                        <c:v>8</c:v>
                      </c:pt>
                      <c:pt idx="3">
                        <c:v>12</c:v>
                      </c:pt>
                      <c:pt idx="4">
                        <c:v>16</c:v>
                      </c:pt>
                      <c:pt idx="5">
                        <c:v>20</c:v>
                      </c:pt>
                    </c:numCache>
                  </c:numRef>
                </c:xVal>
                <c:yVal>
                  <c:numRef>
                    <c:extLst xmlns:c15="http://schemas.microsoft.com/office/drawing/2012/chart">
                      <c:ext xmlns:c15="http://schemas.microsoft.com/office/drawing/2012/chart" uri="{02D57815-91ED-43cb-92C2-25804820EDAC}">
                        <c15:formulaRef>
                          <c15:sqref>'3.5.2 '!$C$6:$C$11</c15:sqref>
                        </c15:formulaRef>
                      </c:ext>
                    </c:extLst>
                    <c:numCache>
                      <c:formatCode>0.00</c:formatCode>
                      <c:ptCount val="6"/>
                      <c:pt idx="0">
                        <c:v>0</c:v>
                      </c:pt>
                      <c:pt idx="1">
                        <c:v>16.580485891199199</c:v>
                      </c:pt>
                      <c:pt idx="2">
                        <c:v>33.160971782398505</c:v>
                      </c:pt>
                      <c:pt idx="3">
                        <c:v>49.741457673597701</c:v>
                      </c:pt>
                      <c:pt idx="4">
                        <c:v>66.321943564797095</c:v>
                      </c:pt>
                      <c:pt idx="5">
                        <c:v>82.902429455996597</c:v>
                      </c:pt>
                    </c:numCache>
                  </c:numRef>
                </c:yVal>
                <c:smooth val="0"/>
                <c:extLst xmlns:c15="http://schemas.microsoft.com/office/drawing/2012/chart">
                  <c:ext xmlns:c16="http://schemas.microsoft.com/office/drawing/2014/chart" uri="{C3380CC4-5D6E-409C-BE32-E72D297353CC}">
                    <c16:uniqueId val="{00000003-954A-4963-B011-6A4007A52351}"/>
                  </c:ext>
                </c:extLst>
              </c15:ser>
            </c15:filteredScatterSeries>
          </c:ext>
        </c:extLst>
      </c:scatterChart>
      <c:valAx>
        <c:axId val="481513792"/>
        <c:scaling>
          <c:orientation val="minMax"/>
          <c:max val="24"/>
          <c:min val="0"/>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Applied Voltage (V)</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in"/>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496992"/>
        <c:crosses val="autoZero"/>
        <c:crossBetween val="midCat"/>
        <c:majorUnit val="4"/>
      </c:valAx>
      <c:valAx>
        <c:axId val="481496992"/>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Displacement</a:t>
                </a:r>
                <a:r>
                  <a:rPr lang="en-GB" b="1" baseline="0"/>
                  <a:t> at tip (nm)</a:t>
                </a:r>
                <a:endParaRPr lang="en-GB"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in"/>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513792"/>
        <c:crosses val="autoZero"/>
        <c:crossBetween val="midCat"/>
      </c:valAx>
      <c:spPr>
        <a:noFill/>
        <a:ln w="12700">
          <a:solidFill>
            <a:sysClr val="windowText" lastClr="00000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90134911480014"/>
          <c:y val="2.7777777777777776E-2"/>
          <c:w val="0.81346718602849799"/>
          <c:h val="0.81046990648263895"/>
        </c:manualLayout>
      </c:layout>
      <c:scatterChart>
        <c:scatterStyle val="smoothMarker"/>
        <c:varyColors val="0"/>
        <c:ser>
          <c:idx val="0"/>
          <c:order val="0"/>
          <c:tx>
            <c:v>y = sin(x)</c:v>
          </c:tx>
          <c:spPr>
            <a:ln w="19050" cap="rnd">
              <a:solidFill>
                <a:schemeClr val="accent1"/>
              </a:solidFill>
              <a:round/>
            </a:ln>
            <a:effectLst/>
          </c:spPr>
          <c:marker>
            <c:symbol val="none"/>
          </c:marker>
          <c:xVal>
            <c:numRef>
              <c:f>'1.4.1'!$B$3:$B$203</c:f>
              <c:numCache>
                <c:formatCode>General</c:formatCode>
                <c:ptCount val="201"/>
                <c:pt idx="0">
                  <c:v>0</c:v>
                </c:pt>
                <c:pt idx="1">
                  <c:v>1.5707963267948967E-2</c:v>
                </c:pt>
                <c:pt idx="2">
                  <c:v>3.1415926535897934E-2</c:v>
                </c:pt>
                <c:pt idx="3">
                  <c:v>4.7123889803846894E-2</c:v>
                </c:pt>
                <c:pt idx="4">
                  <c:v>6.2831853071795868E-2</c:v>
                </c:pt>
                <c:pt idx="5">
                  <c:v>7.8539816339744828E-2</c:v>
                </c:pt>
                <c:pt idx="6">
                  <c:v>9.4247779607693788E-2</c:v>
                </c:pt>
                <c:pt idx="7">
                  <c:v>0.10995574287564278</c:v>
                </c:pt>
                <c:pt idx="8">
                  <c:v>0.12566370614359174</c:v>
                </c:pt>
                <c:pt idx="9">
                  <c:v>0.1413716694115407</c:v>
                </c:pt>
                <c:pt idx="10">
                  <c:v>0.15707963267948966</c:v>
                </c:pt>
                <c:pt idx="11">
                  <c:v>0.17278759594743862</c:v>
                </c:pt>
                <c:pt idx="12">
                  <c:v>0.18849555921538758</c:v>
                </c:pt>
                <c:pt idx="13">
                  <c:v>0.20420352248333656</c:v>
                </c:pt>
                <c:pt idx="14">
                  <c:v>0.21991148575128555</c:v>
                </c:pt>
                <c:pt idx="15">
                  <c:v>0.23561944901923448</c:v>
                </c:pt>
                <c:pt idx="16">
                  <c:v>0.25132741228718347</c:v>
                </c:pt>
                <c:pt idx="17">
                  <c:v>0.26703537555513246</c:v>
                </c:pt>
                <c:pt idx="18">
                  <c:v>0.28274333882308139</c:v>
                </c:pt>
                <c:pt idx="19">
                  <c:v>0.29845130209103032</c:v>
                </c:pt>
                <c:pt idx="20">
                  <c:v>0.31415926535897931</c:v>
                </c:pt>
                <c:pt idx="21">
                  <c:v>0.32986722862692824</c:v>
                </c:pt>
                <c:pt idx="22">
                  <c:v>0.34557519189487723</c:v>
                </c:pt>
                <c:pt idx="23">
                  <c:v>0.36128315516282622</c:v>
                </c:pt>
                <c:pt idx="24">
                  <c:v>0.37699111843077515</c:v>
                </c:pt>
                <c:pt idx="25">
                  <c:v>0.39269908169872414</c:v>
                </c:pt>
                <c:pt idx="26">
                  <c:v>0.40840704496667313</c:v>
                </c:pt>
                <c:pt idx="27">
                  <c:v>0.42411500823462212</c:v>
                </c:pt>
                <c:pt idx="28">
                  <c:v>0.4398229715025711</c:v>
                </c:pt>
                <c:pt idx="29">
                  <c:v>0.45553093477051998</c:v>
                </c:pt>
                <c:pt idx="30">
                  <c:v>0.47123889803846897</c:v>
                </c:pt>
                <c:pt idx="31">
                  <c:v>0.48694686130641796</c:v>
                </c:pt>
                <c:pt idx="32">
                  <c:v>0.50265482457436694</c:v>
                </c:pt>
                <c:pt idx="33">
                  <c:v>0.51836278784231593</c:v>
                </c:pt>
                <c:pt idx="34">
                  <c:v>0.53407075111026492</c:v>
                </c:pt>
                <c:pt idx="35">
                  <c:v>0.5497787143782138</c:v>
                </c:pt>
                <c:pt idx="36">
                  <c:v>0.56548667764616278</c:v>
                </c:pt>
                <c:pt idx="37">
                  <c:v>0.58119464091411177</c:v>
                </c:pt>
                <c:pt idx="38">
                  <c:v>0.59690260418206065</c:v>
                </c:pt>
                <c:pt idx="39">
                  <c:v>0.61261056745000964</c:v>
                </c:pt>
                <c:pt idx="40">
                  <c:v>0.62831853071795862</c:v>
                </c:pt>
                <c:pt idx="41">
                  <c:v>0.6440264939859075</c:v>
                </c:pt>
                <c:pt idx="42">
                  <c:v>0.65973445725385649</c:v>
                </c:pt>
                <c:pt idx="43">
                  <c:v>0.67544242052180548</c:v>
                </c:pt>
                <c:pt idx="44">
                  <c:v>0.69115038378975446</c:v>
                </c:pt>
                <c:pt idx="45">
                  <c:v>0.70685834705770345</c:v>
                </c:pt>
                <c:pt idx="46">
                  <c:v>0.72256631032565244</c:v>
                </c:pt>
                <c:pt idx="47">
                  <c:v>0.73827427359360132</c:v>
                </c:pt>
                <c:pt idx="48">
                  <c:v>0.7539822368615503</c:v>
                </c:pt>
                <c:pt idx="49">
                  <c:v>0.76969020012949929</c:v>
                </c:pt>
                <c:pt idx="50">
                  <c:v>0.78539816339744828</c:v>
                </c:pt>
                <c:pt idx="51">
                  <c:v>0.80110612666539727</c:v>
                </c:pt>
                <c:pt idx="52">
                  <c:v>0.81681408993334625</c:v>
                </c:pt>
                <c:pt idx="53">
                  <c:v>0.83252205320129524</c:v>
                </c:pt>
                <c:pt idx="54">
                  <c:v>0.84823001646924423</c:v>
                </c:pt>
                <c:pt idx="55">
                  <c:v>0.86393797973719322</c:v>
                </c:pt>
                <c:pt idx="56">
                  <c:v>0.87964594300514221</c:v>
                </c:pt>
                <c:pt idx="57">
                  <c:v>0.89535390627309097</c:v>
                </c:pt>
                <c:pt idx="58">
                  <c:v>0.91106186954103996</c:v>
                </c:pt>
                <c:pt idx="59">
                  <c:v>0.92676983280898895</c:v>
                </c:pt>
                <c:pt idx="60">
                  <c:v>0.94247779607693793</c:v>
                </c:pt>
                <c:pt idx="61">
                  <c:v>0.95818575934488692</c:v>
                </c:pt>
                <c:pt idx="62">
                  <c:v>0.97389372261283591</c:v>
                </c:pt>
                <c:pt idx="63">
                  <c:v>0.98960168588078479</c:v>
                </c:pt>
                <c:pt idx="64">
                  <c:v>1.0053096491487339</c:v>
                </c:pt>
                <c:pt idx="65">
                  <c:v>1.0210176124166828</c:v>
                </c:pt>
                <c:pt idx="66">
                  <c:v>1.0367255756846319</c:v>
                </c:pt>
                <c:pt idx="67">
                  <c:v>1.0524335389525807</c:v>
                </c:pt>
                <c:pt idx="68">
                  <c:v>1.0681415022205298</c:v>
                </c:pt>
                <c:pt idx="69">
                  <c:v>1.0838494654884785</c:v>
                </c:pt>
                <c:pt idx="70">
                  <c:v>1.0995574287564276</c:v>
                </c:pt>
                <c:pt idx="71">
                  <c:v>1.1152653920243765</c:v>
                </c:pt>
                <c:pt idx="72">
                  <c:v>1.1309733552923256</c:v>
                </c:pt>
                <c:pt idx="73">
                  <c:v>1.1466813185602744</c:v>
                </c:pt>
                <c:pt idx="74">
                  <c:v>1.1623892818282235</c:v>
                </c:pt>
                <c:pt idx="75">
                  <c:v>1.1780972450961724</c:v>
                </c:pt>
                <c:pt idx="76">
                  <c:v>1.1938052083641213</c:v>
                </c:pt>
                <c:pt idx="77">
                  <c:v>1.2095131716320704</c:v>
                </c:pt>
                <c:pt idx="78">
                  <c:v>1.2252211349000193</c:v>
                </c:pt>
                <c:pt idx="79">
                  <c:v>1.2409290981679684</c:v>
                </c:pt>
                <c:pt idx="80">
                  <c:v>1.2566370614359172</c:v>
                </c:pt>
                <c:pt idx="81">
                  <c:v>1.2723450247038663</c:v>
                </c:pt>
                <c:pt idx="82">
                  <c:v>1.288052987971815</c:v>
                </c:pt>
                <c:pt idx="83">
                  <c:v>1.3037609512397641</c:v>
                </c:pt>
                <c:pt idx="84">
                  <c:v>1.319468914507713</c:v>
                </c:pt>
                <c:pt idx="85">
                  <c:v>1.3351768777756621</c:v>
                </c:pt>
                <c:pt idx="86">
                  <c:v>1.350884841043611</c:v>
                </c:pt>
                <c:pt idx="87">
                  <c:v>1.36659280431156</c:v>
                </c:pt>
                <c:pt idx="88">
                  <c:v>1.3823007675795089</c:v>
                </c:pt>
                <c:pt idx="89">
                  <c:v>1.398008730847458</c:v>
                </c:pt>
                <c:pt idx="90">
                  <c:v>1.4137166941154069</c:v>
                </c:pt>
                <c:pt idx="91">
                  <c:v>1.429424657383356</c:v>
                </c:pt>
                <c:pt idx="92">
                  <c:v>1.4451326206513049</c:v>
                </c:pt>
                <c:pt idx="93">
                  <c:v>1.460840583919254</c:v>
                </c:pt>
                <c:pt idx="94">
                  <c:v>1.4765485471872026</c:v>
                </c:pt>
                <c:pt idx="95">
                  <c:v>1.4922565104551517</c:v>
                </c:pt>
                <c:pt idx="96">
                  <c:v>1.5079644737231006</c:v>
                </c:pt>
                <c:pt idx="97">
                  <c:v>1.5236724369910497</c:v>
                </c:pt>
                <c:pt idx="98">
                  <c:v>1.5393804002589986</c:v>
                </c:pt>
                <c:pt idx="99">
                  <c:v>1.5550883635269477</c:v>
                </c:pt>
                <c:pt idx="100">
                  <c:v>1.5707963267948966</c:v>
                </c:pt>
                <c:pt idx="101">
                  <c:v>1.5865042900628454</c:v>
                </c:pt>
                <c:pt idx="102">
                  <c:v>1.6022122533307945</c:v>
                </c:pt>
                <c:pt idx="103">
                  <c:v>1.6179202165987434</c:v>
                </c:pt>
                <c:pt idx="104">
                  <c:v>1.6336281798666925</c:v>
                </c:pt>
                <c:pt idx="105">
                  <c:v>1.6493361431346414</c:v>
                </c:pt>
                <c:pt idx="106">
                  <c:v>1.6650441064025905</c:v>
                </c:pt>
                <c:pt idx="107">
                  <c:v>1.6807520696705394</c:v>
                </c:pt>
                <c:pt idx="108">
                  <c:v>1.6964600329384885</c:v>
                </c:pt>
                <c:pt idx="109">
                  <c:v>1.7121679962064373</c:v>
                </c:pt>
                <c:pt idx="110">
                  <c:v>1.7278759594743864</c:v>
                </c:pt>
                <c:pt idx="111">
                  <c:v>1.7435839227423353</c:v>
                </c:pt>
                <c:pt idx="112">
                  <c:v>1.7592918860102844</c:v>
                </c:pt>
                <c:pt idx="113">
                  <c:v>1.7749998492782328</c:v>
                </c:pt>
                <c:pt idx="114">
                  <c:v>1.7907078125461819</c:v>
                </c:pt>
                <c:pt idx="115">
                  <c:v>1.8064157758141308</c:v>
                </c:pt>
                <c:pt idx="116">
                  <c:v>1.8221237390820799</c:v>
                </c:pt>
                <c:pt idx="117">
                  <c:v>1.8378317023500288</c:v>
                </c:pt>
                <c:pt idx="118">
                  <c:v>1.8535396656179779</c:v>
                </c:pt>
                <c:pt idx="119">
                  <c:v>1.8692476288859268</c:v>
                </c:pt>
                <c:pt idx="120">
                  <c:v>1.8849555921538759</c:v>
                </c:pt>
                <c:pt idx="121">
                  <c:v>1.9006635554218247</c:v>
                </c:pt>
                <c:pt idx="122">
                  <c:v>1.9163715186897738</c:v>
                </c:pt>
                <c:pt idx="123">
                  <c:v>1.9320794819577227</c:v>
                </c:pt>
                <c:pt idx="124">
                  <c:v>1.9477874452256718</c:v>
                </c:pt>
                <c:pt idx="125">
                  <c:v>1.9634954084936207</c:v>
                </c:pt>
                <c:pt idx="126">
                  <c:v>1.9792033717615696</c:v>
                </c:pt>
                <c:pt idx="127">
                  <c:v>1.9949113350295187</c:v>
                </c:pt>
                <c:pt idx="128">
                  <c:v>2.0106192982974678</c:v>
                </c:pt>
                <c:pt idx="129">
                  <c:v>2.0263272615654166</c:v>
                </c:pt>
                <c:pt idx="130">
                  <c:v>2.0420352248333655</c:v>
                </c:pt>
                <c:pt idx="131">
                  <c:v>2.0577431881013144</c:v>
                </c:pt>
                <c:pt idx="132">
                  <c:v>2.0734511513692637</c:v>
                </c:pt>
                <c:pt idx="133">
                  <c:v>2.0891591146372126</c:v>
                </c:pt>
                <c:pt idx="134">
                  <c:v>2.1048670779051615</c:v>
                </c:pt>
                <c:pt idx="135">
                  <c:v>2.1205750411731104</c:v>
                </c:pt>
                <c:pt idx="136">
                  <c:v>2.1362830044410597</c:v>
                </c:pt>
                <c:pt idx="137">
                  <c:v>2.1519909677090086</c:v>
                </c:pt>
                <c:pt idx="138">
                  <c:v>2.167698930976957</c:v>
                </c:pt>
                <c:pt idx="139">
                  <c:v>2.1834068942449059</c:v>
                </c:pt>
                <c:pt idx="140">
                  <c:v>2.1991148575128552</c:v>
                </c:pt>
                <c:pt idx="141">
                  <c:v>2.2148228207808041</c:v>
                </c:pt>
                <c:pt idx="142">
                  <c:v>2.2305307840487529</c:v>
                </c:pt>
                <c:pt idx="143">
                  <c:v>2.2462387473167018</c:v>
                </c:pt>
                <c:pt idx="144">
                  <c:v>2.2619467105846511</c:v>
                </c:pt>
                <c:pt idx="145">
                  <c:v>2.2776546738526</c:v>
                </c:pt>
                <c:pt idx="146">
                  <c:v>2.2933626371205489</c:v>
                </c:pt>
                <c:pt idx="147">
                  <c:v>2.3090706003884978</c:v>
                </c:pt>
                <c:pt idx="148">
                  <c:v>2.3247785636564471</c:v>
                </c:pt>
                <c:pt idx="149">
                  <c:v>2.340486526924396</c:v>
                </c:pt>
                <c:pt idx="150">
                  <c:v>2.3561944901923448</c:v>
                </c:pt>
                <c:pt idx="151">
                  <c:v>2.3719024534602937</c:v>
                </c:pt>
                <c:pt idx="152">
                  <c:v>2.3876104167282426</c:v>
                </c:pt>
                <c:pt idx="153">
                  <c:v>2.4033183799961919</c:v>
                </c:pt>
                <c:pt idx="154">
                  <c:v>2.4190263432641408</c:v>
                </c:pt>
                <c:pt idx="155">
                  <c:v>2.4347343065320897</c:v>
                </c:pt>
                <c:pt idx="156">
                  <c:v>2.4504422698000385</c:v>
                </c:pt>
                <c:pt idx="157">
                  <c:v>2.4661502330679879</c:v>
                </c:pt>
                <c:pt idx="158">
                  <c:v>2.4818581963359367</c:v>
                </c:pt>
                <c:pt idx="159">
                  <c:v>2.4975661596038856</c:v>
                </c:pt>
                <c:pt idx="160">
                  <c:v>2.5132741228718345</c:v>
                </c:pt>
                <c:pt idx="161">
                  <c:v>2.5289820861397838</c:v>
                </c:pt>
                <c:pt idx="162">
                  <c:v>2.5446900494077327</c:v>
                </c:pt>
                <c:pt idx="163">
                  <c:v>2.5603980126756811</c:v>
                </c:pt>
                <c:pt idx="164">
                  <c:v>2.57610597594363</c:v>
                </c:pt>
                <c:pt idx="165">
                  <c:v>2.5918139392115793</c:v>
                </c:pt>
                <c:pt idx="166">
                  <c:v>2.6075219024795282</c:v>
                </c:pt>
                <c:pt idx="167">
                  <c:v>2.6232298657474771</c:v>
                </c:pt>
                <c:pt idx="168">
                  <c:v>2.638937829015426</c:v>
                </c:pt>
                <c:pt idx="169">
                  <c:v>2.6546457922833753</c:v>
                </c:pt>
                <c:pt idx="170">
                  <c:v>2.6703537555513241</c:v>
                </c:pt>
                <c:pt idx="171">
                  <c:v>2.686061718819273</c:v>
                </c:pt>
                <c:pt idx="172">
                  <c:v>2.7017696820872219</c:v>
                </c:pt>
                <c:pt idx="173">
                  <c:v>2.7174776453551712</c:v>
                </c:pt>
                <c:pt idx="174">
                  <c:v>2.7331856086231201</c:v>
                </c:pt>
                <c:pt idx="175">
                  <c:v>2.748893571891069</c:v>
                </c:pt>
                <c:pt idx="176">
                  <c:v>2.7646015351590179</c:v>
                </c:pt>
                <c:pt idx="177">
                  <c:v>2.7803094984269667</c:v>
                </c:pt>
                <c:pt idx="178">
                  <c:v>2.7960174616949161</c:v>
                </c:pt>
                <c:pt idx="179">
                  <c:v>2.8117254249628649</c:v>
                </c:pt>
                <c:pt idx="180">
                  <c:v>2.8274333882308138</c:v>
                </c:pt>
                <c:pt idx="181">
                  <c:v>2.8431413514987627</c:v>
                </c:pt>
                <c:pt idx="182">
                  <c:v>2.858849314766712</c:v>
                </c:pt>
                <c:pt idx="183">
                  <c:v>2.8745572780346609</c:v>
                </c:pt>
                <c:pt idx="184">
                  <c:v>2.8902652413026098</c:v>
                </c:pt>
                <c:pt idx="185">
                  <c:v>2.9059732045705586</c:v>
                </c:pt>
                <c:pt idx="186">
                  <c:v>2.921681167838508</c:v>
                </c:pt>
                <c:pt idx="187">
                  <c:v>2.9373891311064568</c:v>
                </c:pt>
                <c:pt idx="188">
                  <c:v>2.9530970943744053</c:v>
                </c:pt>
                <c:pt idx="189">
                  <c:v>2.9688050576423541</c:v>
                </c:pt>
                <c:pt idx="190">
                  <c:v>2.9845130209103035</c:v>
                </c:pt>
                <c:pt idx="191">
                  <c:v>3.0002209841782523</c:v>
                </c:pt>
                <c:pt idx="192">
                  <c:v>3.0159289474462012</c:v>
                </c:pt>
                <c:pt idx="193">
                  <c:v>3.0316369107141501</c:v>
                </c:pt>
                <c:pt idx="194">
                  <c:v>3.0473448739820994</c:v>
                </c:pt>
                <c:pt idx="195">
                  <c:v>3.0630528372500483</c:v>
                </c:pt>
                <c:pt idx="196">
                  <c:v>3.0787608005179972</c:v>
                </c:pt>
                <c:pt idx="197">
                  <c:v>3.094468763785946</c:v>
                </c:pt>
                <c:pt idx="198">
                  <c:v>3.1101767270538954</c:v>
                </c:pt>
                <c:pt idx="199">
                  <c:v>3.1258846903218442</c:v>
                </c:pt>
                <c:pt idx="200">
                  <c:v>3.1415926535897931</c:v>
                </c:pt>
              </c:numCache>
            </c:numRef>
          </c:xVal>
          <c:yVal>
            <c:numRef>
              <c:f>'1.4.1'!$C$3:$C$203</c:f>
              <c:numCache>
                <c:formatCode>General</c:formatCode>
                <c:ptCount val="201"/>
                <c:pt idx="0">
                  <c:v>0</c:v>
                </c:pt>
                <c:pt idx="1">
                  <c:v>1.5707317311820675E-2</c:v>
                </c:pt>
                <c:pt idx="2">
                  <c:v>3.1410759078128292E-2</c:v>
                </c:pt>
                <c:pt idx="3">
                  <c:v>4.7106450709642658E-2</c:v>
                </c:pt>
                <c:pt idx="4">
                  <c:v>6.2790519529313374E-2</c:v>
                </c:pt>
                <c:pt idx="5">
                  <c:v>7.8459095727844944E-2</c:v>
                </c:pt>
                <c:pt idx="6">
                  <c:v>9.4108313318514311E-2</c:v>
                </c:pt>
                <c:pt idx="7">
                  <c:v>0.10973431109104528</c:v>
                </c:pt>
                <c:pt idx="8">
                  <c:v>0.12533323356430426</c:v>
                </c:pt>
                <c:pt idx="9">
                  <c:v>0.14090123193758267</c:v>
                </c:pt>
                <c:pt idx="10">
                  <c:v>0.15643446504023087</c:v>
                </c:pt>
                <c:pt idx="11">
                  <c:v>0.17192910027940952</c:v>
                </c:pt>
                <c:pt idx="12">
                  <c:v>0.1873813145857246</c:v>
                </c:pt>
                <c:pt idx="13">
                  <c:v>0.20278729535651249</c:v>
                </c:pt>
                <c:pt idx="14">
                  <c:v>0.21814324139654256</c:v>
                </c:pt>
                <c:pt idx="15">
                  <c:v>0.23344536385590539</c:v>
                </c:pt>
                <c:pt idx="16">
                  <c:v>0.24868988716485479</c:v>
                </c:pt>
                <c:pt idx="17">
                  <c:v>0.26387304996537292</c:v>
                </c:pt>
                <c:pt idx="18">
                  <c:v>0.27899110603922928</c:v>
                </c:pt>
                <c:pt idx="19">
                  <c:v>0.29404032523230395</c:v>
                </c:pt>
                <c:pt idx="20">
                  <c:v>0.3090169943749474</c:v>
                </c:pt>
                <c:pt idx="21">
                  <c:v>0.3239174181981494</c:v>
                </c:pt>
                <c:pt idx="22">
                  <c:v>0.33873792024529137</c:v>
                </c:pt>
                <c:pt idx="23">
                  <c:v>0.35347484377925714</c:v>
                </c:pt>
                <c:pt idx="24">
                  <c:v>0.36812455268467792</c:v>
                </c:pt>
                <c:pt idx="25">
                  <c:v>0.38268343236508978</c:v>
                </c:pt>
                <c:pt idx="26">
                  <c:v>0.39714789063478062</c:v>
                </c:pt>
                <c:pt idx="27">
                  <c:v>0.41151435860510882</c:v>
                </c:pt>
                <c:pt idx="28">
                  <c:v>0.42577929156507272</c:v>
                </c:pt>
                <c:pt idx="29">
                  <c:v>0.43993916985591508</c:v>
                </c:pt>
                <c:pt idx="30">
                  <c:v>0.45399049973954675</c:v>
                </c:pt>
                <c:pt idx="31">
                  <c:v>0.4679298142605734</c:v>
                </c:pt>
                <c:pt idx="32">
                  <c:v>0.48175367410171532</c:v>
                </c:pt>
                <c:pt idx="33">
                  <c:v>0.4954586684324076</c:v>
                </c:pt>
                <c:pt idx="34">
                  <c:v>0.50904141575037132</c:v>
                </c:pt>
                <c:pt idx="35">
                  <c:v>0.5224985647159488</c:v>
                </c:pt>
                <c:pt idx="36">
                  <c:v>0.53582679497899666</c:v>
                </c:pt>
                <c:pt idx="37">
                  <c:v>0.5490228179981318</c:v>
                </c:pt>
                <c:pt idx="38">
                  <c:v>0.56208337785213058</c:v>
                </c:pt>
                <c:pt idx="39">
                  <c:v>0.57500525204327857</c:v>
                </c:pt>
                <c:pt idx="40">
                  <c:v>0.58778525229247314</c:v>
                </c:pt>
                <c:pt idx="41">
                  <c:v>0.60042022532588391</c:v>
                </c:pt>
                <c:pt idx="42">
                  <c:v>0.61290705365297637</c:v>
                </c:pt>
                <c:pt idx="43">
                  <c:v>0.62524265633570508</c:v>
                </c:pt>
                <c:pt idx="44">
                  <c:v>0.63742398974868963</c:v>
                </c:pt>
                <c:pt idx="45">
                  <c:v>0.64944804833018366</c:v>
                </c:pt>
                <c:pt idx="46">
                  <c:v>0.66131186532365183</c:v>
                </c:pt>
                <c:pt idx="47">
                  <c:v>0.67301251350977331</c:v>
                </c:pt>
                <c:pt idx="48">
                  <c:v>0.68454710592868862</c:v>
                </c:pt>
                <c:pt idx="49">
                  <c:v>0.69591279659231431</c:v>
                </c:pt>
                <c:pt idx="50">
                  <c:v>0.70710678118654746</c:v>
                </c:pt>
                <c:pt idx="51">
                  <c:v>0.71812629776318881</c:v>
                </c:pt>
                <c:pt idx="52">
                  <c:v>0.72896862742141155</c:v>
                </c:pt>
                <c:pt idx="53">
                  <c:v>0.73963109497860968</c:v>
                </c:pt>
                <c:pt idx="54">
                  <c:v>0.75011106963045959</c:v>
                </c:pt>
                <c:pt idx="55">
                  <c:v>0.76040596560003104</c:v>
                </c:pt>
                <c:pt idx="56">
                  <c:v>0.77051324277578925</c:v>
                </c:pt>
                <c:pt idx="57">
                  <c:v>0.78043040733832969</c:v>
                </c:pt>
                <c:pt idx="58">
                  <c:v>0.7901550123756903</c:v>
                </c:pt>
                <c:pt idx="59">
                  <c:v>0.79968465848709047</c:v>
                </c:pt>
                <c:pt idx="60">
                  <c:v>0.80901699437494745</c:v>
                </c:pt>
                <c:pt idx="61">
                  <c:v>0.8181497174250234</c:v>
                </c:pt>
                <c:pt idx="62">
                  <c:v>0.82708057427456183</c:v>
                </c:pt>
                <c:pt idx="63">
                  <c:v>0.83580736136827016</c:v>
                </c:pt>
                <c:pt idx="64">
                  <c:v>0.84432792550201508</c:v>
                </c:pt>
                <c:pt idx="65">
                  <c:v>0.85264016435409218</c:v>
                </c:pt>
                <c:pt idx="66">
                  <c:v>0.86074202700394364</c:v>
                </c:pt>
                <c:pt idx="67">
                  <c:v>0.8686315144381912</c:v>
                </c:pt>
                <c:pt idx="68">
                  <c:v>0.87630668004386369</c:v>
                </c:pt>
                <c:pt idx="69">
                  <c:v>0.88376563008869335</c:v>
                </c:pt>
                <c:pt idx="70">
                  <c:v>0.89100652418836779</c:v>
                </c:pt>
                <c:pt idx="71">
                  <c:v>0.89802757576061554</c:v>
                </c:pt>
                <c:pt idx="72">
                  <c:v>0.90482705246601958</c:v>
                </c:pt>
                <c:pt idx="73">
                  <c:v>0.91140327663544518</c:v>
                </c:pt>
                <c:pt idx="74">
                  <c:v>0.91775462568398114</c:v>
                </c:pt>
                <c:pt idx="75">
                  <c:v>0.92387953251128674</c:v>
                </c:pt>
                <c:pt idx="76">
                  <c:v>0.92977648588825135</c:v>
                </c:pt>
                <c:pt idx="77">
                  <c:v>0.93544403082986738</c:v>
                </c:pt>
                <c:pt idx="78">
                  <c:v>0.94088076895422545</c:v>
                </c:pt>
                <c:pt idx="79">
                  <c:v>0.9460853588275453</c:v>
                </c:pt>
                <c:pt idx="80">
                  <c:v>0.95105651629515353</c:v>
                </c:pt>
                <c:pt idx="81">
                  <c:v>0.95579301479833012</c:v>
                </c:pt>
                <c:pt idx="82">
                  <c:v>0.96029368567694295</c:v>
                </c:pt>
                <c:pt idx="83">
                  <c:v>0.96455741845779808</c:v>
                </c:pt>
                <c:pt idx="84">
                  <c:v>0.96858316112863108</c:v>
                </c:pt>
                <c:pt idx="85">
                  <c:v>0.97236992039767656</c:v>
                </c:pt>
                <c:pt idx="86">
                  <c:v>0.97591676193874732</c:v>
                </c:pt>
                <c:pt idx="87">
                  <c:v>0.97922281062176575</c:v>
                </c:pt>
                <c:pt idx="88">
                  <c:v>0.98228725072868861</c:v>
                </c:pt>
                <c:pt idx="89">
                  <c:v>0.98510932615477398</c:v>
                </c:pt>
                <c:pt idx="90">
                  <c:v>0.98768834059513777</c:v>
                </c:pt>
                <c:pt idx="91">
                  <c:v>0.99002365771655754</c:v>
                </c:pt>
                <c:pt idx="92">
                  <c:v>0.99211470131447788</c:v>
                </c:pt>
                <c:pt idx="93">
                  <c:v>0.99396095545517971</c:v>
                </c:pt>
                <c:pt idx="94">
                  <c:v>0.99556196460308</c:v>
                </c:pt>
                <c:pt idx="95">
                  <c:v>0.99691733373312796</c:v>
                </c:pt>
                <c:pt idx="96">
                  <c:v>0.99802672842827156</c:v>
                </c:pt>
                <c:pt idx="97">
                  <c:v>0.99888987496197001</c:v>
                </c:pt>
                <c:pt idx="98">
                  <c:v>0.9995065603657316</c:v>
                </c:pt>
                <c:pt idx="99">
                  <c:v>0.99987663248166059</c:v>
                </c:pt>
                <c:pt idx="100">
                  <c:v>1</c:v>
                </c:pt>
                <c:pt idx="101">
                  <c:v>0.99987663248166059</c:v>
                </c:pt>
                <c:pt idx="102">
                  <c:v>0.9995065603657316</c:v>
                </c:pt>
                <c:pt idx="103">
                  <c:v>0.99888987496197001</c:v>
                </c:pt>
                <c:pt idx="104">
                  <c:v>0.99802672842827156</c:v>
                </c:pt>
                <c:pt idx="105">
                  <c:v>0.99691733373312796</c:v>
                </c:pt>
                <c:pt idx="106">
                  <c:v>0.99556196460308</c:v>
                </c:pt>
                <c:pt idx="107">
                  <c:v>0.99396095545517971</c:v>
                </c:pt>
                <c:pt idx="108">
                  <c:v>0.99211470131447776</c:v>
                </c:pt>
                <c:pt idx="109">
                  <c:v>0.99002365771655754</c:v>
                </c:pt>
                <c:pt idx="110">
                  <c:v>0.98768834059513766</c:v>
                </c:pt>
                <c:pt idx="111">
                  <c:v>0.98510932615477387</c:v>
                </c:pt>
                <c:pt idx="112">
                  <c:v>0.98228725072868861</c:v>
                </c:pt>
                <c:pt idx="113">
                  <c:v>0.97922281062176586</c:v>
                </c:pt>
                <c:pt idx="114">
                  <c:v>0.97591676193874743</c:v>
                </c:pt>
                <c:pt idx="115">
                  <c:v>0.97236992039767667</c:v>
                </c:pt>
                <c:pt idx="116">
                  <c:v>0.96858316112863119</c:v>
                </c:pt>
                <c:pt idx="117">
                  <c:v>0.96455741845779819</c:v>
                </c:pt>
                <c:pt idx="118">
                  <c:v>0.96029368567694307</c:v>
                </c:pt>
                <c:pt idx="119">
                  <c:v>0.95579301479833023</c:v>
                </c:pt>
                <c:pt idx="120">
                  <c:v>0.95105651629515364</c:v>
                </c:pt>
                <c:pt idx="121">
                  <c:v>0.94608535882754541</c:v>
                </c:pt>
                <c:pt idx="122">
                  <c:v>0.94088076895422545</c:v>
                </c:pt>
                <c:pt idx="123">
                  <c:v>0.93544403082986738</c:v>
                </c:pt>
                <c:pt idx="124">
                  <c:v>0.92977648588825135</c:v>
                </c:pt>
                <c:pt idx="125">
                  <c:v>0.92387953251128674</c:v>
                </c:pt>
                <c:pt idx="126">
                  <c:v>0.91775462568398125</c:v>
                </c:pt>
                <c:pt idx="127">
                  <c:v>0.91140327663544529</c:v>
                </c:pt>
                <c:pt idx="128">
                  <c:v>0.90482705246601947</c:v>
                </c:pt>
                <c:pt idx="129">
                  <c:v>0.89802757576061565</c:v>
                </c:pt>
                <c:pt idx="130">
                  <c:v>0.8910065241883679</c:v>
                </c:pt>
                <c:pt idx="131">
                  <c:v>0.88376563008869347</c:v>
                </c:pt>
                <c:pt idx="132">
                  <c:v>0.87630668004386347</c:v>
                </c:pt>
                <c:pt idx="133">
                  <c:v>0.8686315144381912</c:v>
                </c:pt>
                <c:pt idx="134">
                  <c:v>0.86074202700394364</c:v>
                </c:pt>
                <c:pt idx="135">
                  <c:v>0.85264016435409229</c:v>
                </c:pt>
                <c:pt idx="136">
                  <c:v>0.84432792550201496</c:v>
                </c:pt>
                <c:pt idx="137">
                  <c:v>0.83580736136827016</c:v>
                </c:pt>
                <c:pt idx="138">
                  <c:v>0.82708057427456205</c:v>
                </c:pt>
                <c:pt idx="139">
                  <c:v>0.81814971742502374</c:v>
                </c:pt>
                <c:pt idx="140">
                  <c:v>0.80901699437494745</c:v>
                </c:pt>
                <c:pt idx="141">
                  <c:v>0.79968465848709069</c:v>
                </c:pt>
                <c:pt idx="142">
                  <c:v>0.79015501237569052</c:v>
                </c:pt>
                <c:pt idx="143">
                  <c:v>0.78043040733832991</c:v>
                </c:pt>
                <c:pt idx="144">
                  <c:v>0.77051324277578925</c:v>
                </c:pt>
                <c:pt idx="145">
                  <c:v>0.76040596560003104</c:v>
                </c:pt>
                <c:pt idx="146">
                  <c:v>0.7501110696304597</c:v>
                </c:pt>
                <c:pt idx="147">
                  <c:v>0.7396310949786099</c:v>
                </c:pt>
                <c:pt idx="148">
                  <c:v>0.72896862742141144</c:v>
                </c:pt>
                <c:pt idx="149">
                  <c:v>0.71812629776318881</c:v>
                </c:pt>
                <c:pt idx="150">
                  <c:v>0.70710678118654757</c:v>
                </c:pt>
                <c:pt idx="151">
                  <c:v>0.69591279659231442</c:v>
                </c:pt>
                <c:pt idx="152">
                  <c:v>0.68454710592868884</c:v>
                </c:pt>
                <c:pt idx="153">
                  <c:v>0.67301251350977331</c:v>
                </c:pt>
                <c:pt idx="154">
                  <c:v>0.66131186532365183</c:v>
                </c:pt>
                <c:pt idx="155">
                  <c:v>0.64944804833018377</c:v>
                </c:pt>
                <c:pt idx="156">
                  <c:v>0.63742398974868986</c:v>
                </c:pt>
                <c:pt idx="157">
                  <c:v>0.62524265633570508</c:v>
                </c:pt>
                <c:pt idx="158">
                  <c:v>0.61290705365297637</c:v>
                </c:pt>
                <c:pt idx="159">
                  <c:v>0.60042022532588402</c:v>
                </c:pt>
                <c:pt idx="160">
                  <c:v>0.58778525229247325</c:v>
                </c:pt>
                <c:pt idx="161">
                  <c:v>0.57500525204327835</c:v>
                </c:pt>
                <c:pt idx="162">
                  <c:v>0.56208337785213047</c:v>
                </c:pt>
                <c:pt idx="163">
                  <c:v>0.54902281799813202</c:v>
                </c:pt>
                <c:pt idx="164">
                  <c:v>0.53582679497899699</c:v>
                </c:pt>
                <c:pt idx="165">
                  <c:v>0.52249856471594891</c:v>
                </c:pt>
                <c:pt idx="166">
                  <c:v>0.50904141575037143</c:v>
                </c:pt>
                <c:pt idx="167">
                  <c:v>0.49545866843240777</c:v>
                </c:pt>
                <c:pt idx="168">
                  <c:v>0.4817536741017156</c:v>
                </c:pt>
                <c:pt idx="169">
                  <c:v>0.4679298142605734</c:v>
                </c:pt>
                <c:pt idx="170">
                  <c:v>0.45399049973954686</c:v>
                </c:pt>
                <c:pt idx="171">
                  <c:v>0.4399391698559153</c:v>
                </c:pt>
                <c:pt idx="172">
                  <c:v>0.42577929156507288</c:v>
                </c:pt>
                <c:pt idx="173">
                  <c:v>0.41151435860510871</c:v>
                </c:pt>
                <c:pt idx="174">
                  <c:v>0.39714789063478062</c:v>
                </c:pt>
                <c:pt idx="175">
                  <c:v>0.38268343236508989</c:v>
                </c:pt>
                <c:pt idx="176">
                  <c:v>0.36812455268467814</c:v>
                </c:pt>
                <c:pt idx="177">
                  <c:v>0.35347484377925742</c:v>
                </c:pt>
                <c:pt idx="178">
                  <c:v>0.33873792024529131</c:v>
                </c:pt>
                <c:pt idx="179">
                  <c:v>0.32391741819814945</c:v>
                </c:pt>
                <c:pt idx="180">
                  <c:v>0.30901699437494751</c:v>
                </c:pt>
                <c:pt idx="181">
                  <c:v>0.29404032523230417</c:v>
                </c:pt>
                <c:pt idx="182">
                  <c:v>0.27899110603922911</c:v>
                </c:pt>
                <c:pt idx="183">
                  <c:v>0.26387304996537281</c:v>
                </c:pt>
                <c:pt idx="184">
                  <c:v>0.24868988716485482</c:v>
                </c:pt>
                <c:pt idx="185">
                  <c:v>0.23344536385590553</c:v>
                </c:pt>
                <c:pt idx="186">
                  <c:v>0.21814324139654231</c:v>
                </c:pt>
                <c:pt idx="187">
                  <c:v>0.20278729535651233</c:v>
                </c:pt>
                <c:pt idx="188">
                  <c:v>0.18738131458572502</c:v>
                </c:pt>
                <c:pt idx="189">
                  <c:v>0.17192910027941002</c:v>
                </c:pt>
                <c:pt idx="190">
                  <c:v>0.15643446504023098</c:v>
                </c:pt>
                <c:pt idx="191">
                  <c:v>0.14090123193758286</c:v>
                </c:pt>
                <c:pt idx="192">
                  <c:v>0.12533323356430454</c:v>
                </c:pt>
                <c:pt idx="193">
                  <c:v>0.10973431109104564</c:v>
                </c:pt>
                <c:pt idx="194">
                  <c:v>9.4108313318514353E-2</c:v>
                </c:pt>
                <c:pt idx="195">
                  <c:v>7.8459095727845068E-2</c:v>
                </c:pt>
                <c:pt idx="196">
                  <c:v>6.2790519529313582E-2</c:v>
                </c:pt>
                <c:pt idx="197">
                  <c:v>4.7106450709642957E-2</c:v>
                </c:pt>
                <c:pt idx="198">
                  <c:v>3.1410759078128236E-2</c:v>
                </c:pt>
                <c:pt idx="199">
                  <c:v>1.570731731182071E-2</c:v>
                </c:pt>
                <c:pt idx="200">
                  <c:v>1.22514845490862E-16</c:v>
                </c:pt>
              </c:numCache>
            </c:numRef>
          </c:yVal>
          <c:smooth val="1"/>
          <c:extLst>
            <c:ext xmlns:c16="http://schemas.microsoft.com/office/drawing/2014/chart" uri="{C3380CC4-5D6E-409C-BE32-E72D297353CC}">
              <c16:uniqueId val="{00000000-2357-4930-8951-6EC7830D4C47}"/>
            </c:ext>
          </c:extLst>
        </c:ser>
        <c:ser>
          <c:idx val="1"/>
          <c:order val="1"/>
          <c:tx>
            <c:v>a = π/2</c:v>
          </c:tx>
          <c:spPr>
            <a:ln w="19050" cap="rnd">
              <a:solidFill>
                <a:schemeClr val="accent2"/>
              </a:solidFill>
              <a:round/>
            </a:ln>
            <a:effectLst/>
          </c:spPr>
          <c:marker>
            <c:symbol val="square"/>
            <c:size val="4"/>
            <c:spPr>
              <a:solidFill>
                <a:schemeClr val="accent2"/>
              </a:solidFill>
              <a:ln w="9525">
                <a:solidFill>
                  <a:schemeClr val="accent2"/>
                </a:solidFill>
              </a:ln>
              <a:effectLst/>
            </c:spPr>
          </c:marker>
          <c:xVal>
            <c:numRef>
              <c:f>'1.4.1'!$F$3:$F$5</c:f>
              <c:numCache>
                <c:formatCode>General</c:formatCode>
                <c:ptCount val="3"/>
                <c:pt idx="0">
                  <c:v>0</c:v>
                </c:pt>
                <c:pt idx="1">
                  <c:v>1.5707963267948966</c:v>
                </c:pt>
                <c:pt idx="2">
                  <c:v>3.1415926535897931</c:v>
                </c:pt>
              </c:numCache>
              <c:extLst xmlns:c15="http://schemas.microsoft.com/office/drawing/2012/chart"/>
            </c:numRef>
          </c:xVal>
          <c:yVal>
            <c:numRef>
              <c:f>'1.4.1'!$G$3:$G$5</c:f>
              <c:numCache>
                <c:formatCode>General</c:formatCode>
                <c:ptCount val="3"/>
                <c:pt idx="0">
                  <c:v>0</c:v>
                </c:pt>
                <c:pt idx="1">
                  <c:v>1</c:v>
                </c:pt>
                <c:pt idx="2">
                  <c:v>1.22514845490862E-16</c:v>
                </c:pt>
              </c:numCache>
              <c:extLst xmlns:c15="http://schemas.microsoft.com/office/drawing/2012/chart"/>
            </c:numRef>
          </c:yVal>
          <c:smooth val="0"/>
          <c:extLst>
            <c:ext xmlns:c16="http://schemas.microsoft.com/office/drawing/2014/chart" uri="{C3380CC4-5D6E-409C-BE32-E72D297353CC}">
              <c16:uniqueId val="{00000003-2357-4930-8951-6EC7830D4C47}"/>
            </c:ext>
          </c:extLst>
        </c:ser>
        <c:ser>
          <c:idx val="4"/>
          <c:order val="4"/>
          <c:tx>
            <c:v>Largest Error</c:v>
          </c:tx>
          <c:spPr>
            <a:ln w="19050" cap="rnd">
              <a:solidFill>
                <a:schemeClr val="accent5"/>
              </a:solidFill>
              <a:round/>
            </a:ln>
            <a:effectLst/>
          </c:spPr>
          <c:marker>
            <c:symbol val="triangle"/>
            <c:size val="4"/>
            <c:spPr>
              <a:solidFill>
                <a:srgbClr val="FF0000"/>
              </a:solidFill>
              <a:ln w="38100">
                <a:solidFill>
                  <a:srgbClr val="FF0000"/>
                </a:solidFill>
              </a:ln>
              <a:effectLst/>
            </c:spPr>
          </c:marker>
          <c:xVal>
            <c:numRef>
              <c:f>'1.4.1'!$I$3</c:f>
              <c:numCache>
                <c:formatCode>General</c:formatCode>
                <c:ptCount val="1"/>
                <c:pt idx="0">
                  <c:v>0.78539816339744828</c:v>
                </c:pt>
              </c:numCache>
            </c:numRef>
          </c:xVal>
          <c:yVal>
            <c:numRef>
              <c:f>'1.4.1'!$J$3</c:f>
              <c:numCache>
                <c:formatCode>General</c:formatCode>
                <c:ptCount val="1"/>
                <c:pt idx="0">
                  <c:v>0.5</c:v>
                </c:pt>
              </c:numCache>
            </c:numRef>
          </c:yVal>
          <c:smooth val="1"/>
          <c:extLst>
            <c:ext xmlns:c16="http://schemas.microsoft.com/office/drawing/2014/chart" uri="{C3380CC4-5D6E-409C-BE32-E72D297353CC}">
              <c16:uniqueId val="{00000002-2357-4930-8951-6EC7830D4C47}"/>
            </c:ext>
          </c:extLst>
        </c:ser>
        <c:ser>
          <c:idx val="5"/>
          <c:order val="5"/>
          <c:tx>
            <c:v>smallest error</c:v>
          </c:tx>
          <c:spPr>
            <a:ln w="19050" cap="rnd">
              <a:solidFill>
                <a:schemeClr val="accent6">
                  <a:alpha val="19000"/>
                </a:schemeClr>
              </a:solidFill>
              <a:round/>
            </a:ln>
            <a:effectLst/>
          </c:spPr>
          <c:marker>
            <c:symbol val="square"/>
            <c:size val="5"/>
            <c:spPr>
              <a:noFill/>
              <a:ln w="19050">
                <a:solidFill>
                  <a:schemeClr val="accent6"/>
                </a:solidFill>
              </a:ln>
              <a:effectLst/>
            </c:spPr>
          </c:marker>
          <c:xVal>
            <c:numRef>
              <c:f>'1.4.1'!$Q$3</c:f>
              <c:numCache>
                <c:formatCode>General</c:formatCode>
                <c:ptCount val="1"/>
                <c:pt idx="0">
                  <c:v>0.78500000000000003</c:v>
                </c:pt>
              </c:numCache>
            </c:numRef>
          </c:xVal>
          <c:yVal>
            <c:numRef>
              <c:f>'1.4.1'!$J$3</c:f>
              <c:numCache>
                <c:formatCode>General</c:formatCode>
                <c:ptCount val="1"/>
                <c:pt idx="0">
                  <c:v>0.5</c:v>
                </c:pt>
              </c:numCache>
            </c:numRef>
          </c:yVal>
          <c:smooth val="1"/>
          <c:extLst>
            <c:ext xmlns:c16="http://schemas.microsoft.com/office/drawing/2014/chart" uri="{C3380CC4-5D6E-409C-BE32-E72D297353CC}">
              <c16:uniqueId val="{00000002-B116-4DED-825F-CA3A24EE6ADD}"/>
            </c:ext>
          </c:extLst>
        </c:ser>
        <c:dLbls>
          <c:showLegendKey val="0"/>
          <c:showVal val="0"/>
          <c:showCatName val="0"/>
          <c:showSerName val="0"/>
          <c:showPercent val="0"/>
          <c:showBubbleSize val="0"/>
        </c:dLbls>
        <c:axId val="374146255"/>
        <c:axId val="880699231"/>
        <c:extLst>
          <c:ext xmlns:c15="http://schemas.microsoft.com/office/drawing/2012/chart" uri="{02D57815-91ED-43cb-92C2-25804820EDAC}">
            <c15:filteredScatterSeries>
              <c15:ser>
                <c:idx val="2"/>
                <c:order val="2"/>
                <c:tx>
                  <c:v>a = π/3</c:v>
                </c:tx>
                <c:spPr>
                  <a:ln w="19050" cap="rnd">
                    <a:solidFill>
                      <a:schemeClr val="accent3"/>
                    </a:solidFill>
                    <a:round/>
                  </a:ln>
                  <a:effectLst/>
                </c:spPr>
                <c:marker>
                  <c:symbol val="none"/>
                </c:marker>
                <c:xVal>
                  <c:numRef>
                    <c:extLst>
                      <c:ext uri="{02D57815-91ED-43cb-92C2-25804820EDAC}">
                        <c15:formulaRef>
                          <c15:sqref>'1.4.1'!$F$9:$F$12</c15:sqref>
                        </c15:formulaRef>
                      </c:ext>
                    </c:extLst>
                    <c:numCache>
                      <c:formatCode>General</c:formatCode>
                      <c:ptCount val="4"/>
                      <c:pt idx="0">
                        <c:v>0</c:v>
                      </c:pt>
                      <c:pt idx="1">
                        <c:v>1.0471975511965976</c:v>
                      </c:pt>
                      <c:pt idx="2">
                        <c:v>2.0943951023931953</c:v>
                      </c:pt>
                      <c:pt idx="3">
                        <c:v>3.1415926535897931</c:v>
                      </c:pt>
                    </c:numCache>
                  </c:numRef>
                </c:xVal>
                <c:yVal>
                  <c:numRef>
                    <c:extLst>
                      <c:ext uri="{02D57815-91ED-43cb-92C2-25804820EDAC}">
                        <c15:formulaRef>
                          <c15:sqref>'1.4.1'!$G$9:$G$12</c15:sqref>
                        </c15:formulaRef>
                      </c:ext>
                    </c:extLst>
                    <c:numCache>
                      <c:formatCode>General</c:formatCode>
                      <c:ptCount val="4"/>
                      <c:pt idx="0">
                        <c:v>0</c:v>
                      </c:pt>
                      <c:pt idx="1">
                        <c:v>0.8660254037844386</c:v>
                      </c:pt>
                      <c:pt idx="2">
                        <c:v>0.86602540378443871</c:v>
                      </c:pt>
                      <c:pt idx="3">
                        <c:v>1.22514845490862E-16</c:v>
                      </c:pt>
                    </c:numCache>
                  </c:numRef>
                </c:yVal>
                <c:smooth val="0"/>
                <c:extLst>
                  <c:ext xmlns:c16="http://schemas.microsoft.com/office/drawing/2014/chart" uri="{C3380CC4-5D6E-409C-BE32-E72D297353CC}">
                    <c16:uniqueId val="{00000004-2357-4930-8951-6EC7830D4C47}"/>
                  </c:ext>
                </c:extLst>
              </c15:ser>
            </c15:filteredScatterSeries>
            <c15:filteredScatterSeries>
              <c15:ser>
                <c:idx val="3"/>
                <c:order val="3"/>
                <c:tx>
                  <c:v>a = π/4</c:v>
                </c:tx>
                <c:spPr>
                  <a:ln w="19050" cap="rnd">
                    <a:solidFill>
                      <a:schemeClr val="accent4"/>
                    </a:solidFill>
                    <a:round/>
                  </a:ln>
                  <a:effectLst/>
                </c:spPr>
                <c:marker>
                  <c:symbol val="square"/>
                  <c:size val="4"/>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'1.4.1'!$F$16:$F$20</c15:sqref>
                        </c15:formulaRef>
                      </c:ext>
                    </c:extLst>
                    <c:numCache>
                      <c:formatCode>General</c:formatCode>
                      <c:ptCount val="5"/>
                      <c:pt idx="0">
                        <c:v>0</c:v>
                      </c:pt>
                      <c:pt idx="1">
                        <c:v>0.78539816339744828</c:v>
                      </c:pt>
                      <c:pt idx="2">
                        <c:v>1.5707963267948966</c:v>
                      </c:pt>
                      <c:pt idx="3">
                        <c:v>2.3561944901923448</c:v>
                      </c:pt>
                      <c:pt idx="4">
                        <c:v>3.1415926535897931</c:v>
                      </c:pt>
                    </c:numCache>
                  </c:numRef>
                </c:xVal>
                <c:yVal>
                  <c:numRef>
                    <c:extLst xmlns:c15="http://schemas.microsoft.com/office/drawing/2012/chart">
                      <c:ext xmlns:c15="http://schemas.microsoft.com/office/drawing/2012/chart" uri="{02D57815-91ED-43cb-92C2-25804820EDAC}">
                        <c15:formulaRef>
                          <c15:sqref>'1.4.1'!$G$16:$G$20</c15:sqref>
                        </c15:formulaRef>
                      </c:ext>
                    </c:extLst>
                    <c:numCache>
                      <c:formatCode>General</c:formatCode>
                      <c:ptCount val="5"/>
                      <c:pt idx="0">
                        <c:v>0</c:v>
                      </c:pt>
                      <c:pt idx="1">
                        <c:v>0.70710678118654746</c:v>
                      </c:pt>
                      <c:pt idx="2">
                        <c:v>1</c:v>
                      </c:pt>
                      <c:pt idx="3">
                        <c:v>0.70710678118654757</c:v>
                      </c:pt>
                      <c:pt idx="4">
                        <c:v>1.22514845490862E-16</c:v>
                      </c:pt>
                    </c:numCache>
                  </c:numRef>
                </c:yVal>
                <c:smooth val="0"/>
                <c:extLst xmlns:c15="http://schemas.microsoft.com/office/drawing/2012/chart">
                  <c:ext xmlns:c16="http://schemas.microsoft.com/office/drawing/2014/chart" uri="{C3380CC4-5D6E-409C-BE32-E72D297353CC}">
                    <c16:uniqueId val="{00000001-2357-4930-8951-6EC7830D4C47}"/>
                  </c:ext>
                </c:extLst>
              </c15:ser>
            </c15:filteredScatterSeries>
          </c:ext>
        </c:extLst>
      </c:scatterChart>
      <c:valAx>
        <c:axId val="374146255"/>
        <c:scaling>
          <c:orientation val="minMax"/>
          <c:max val="3.1419999999999999"/>
          <c:min val="0"/>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x</a:t>
                </a:r>
                <a:r>
                  <a:rPr lang="en-GB" b="1" baseline="0"/>
                  <a:t> (Radians)</a:t>
                </a:r>
                <a:endParaRPr lang="en-GB"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in"/>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699231"/>
        <c:crosses val="autoZero"/>
        <c:crossBetween val="midCat"/>
      </c:valAx>
      <c:valAx>
        <c:axId val="880699231"/>
        <c:scaling>
          <c:orientation val="minMax"/>
          <c:max val="1.1000000000000001"/>
          <c:min val="0"/>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y</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in"/>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146255"/>
        <c:crosses val="autoZero"/>
        <c:crossBetween val="midCat"/>
      </c:valAx>
      <c:spPr>
        <a:noFill/>
        <a:ln w="12700">
          <a:solidFill>
            <a:sysClr val="windowText" lastClr="000000"/>
          </a:solidFill>
        </a:ln>
        <a:effectLst/>
      </c:spPr>
    </c:plotArea>
    <c:legend>
      <c:legendPos val="r"/>
      <c:legendEntry>
        <c:idx val="2"/>
        <c:delete val="1"/>
      </c:legendEntry>
      <c:legendEntry>
        <c:idx val="3"/>
        <c:delete val="1"/>
      </c:legendEntry>
      <c:layout>
        <c:manualLayout>
          <c:xMode val="edge"/>
          <c:yMode val="edge"/>
          <c:x val="0.72664320622342593"/>
          <c:y val="4.5096674699623265E-2"/>
          <c:w val="0.19810910465048678"/>
          <c:h val="0.15768677405241743"/>
        </c:manualLayout>
      </c:layout>
      <c:overlay val="0"/>
      <c:spPr>
        <a:noFill/>
        <a:ln w="6350">
          <a:solidFill>
            <a:schemeClr val="tx1"/>
          </a:solidFill>
        </a:ln>
        <a:effectLst/>
      </c:spPr>
      <c:txPr>
        <a:bodyPr rot="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993565326726082"/>
          <c:y val="2.7959944188335906E-2"/>
          <c:w val="0.81346718602849799"/>
          <c:h val="0.81046990648263895"/>
        </c:manualLayout>
      </c:layout>
      <c:scatterChart>
        <c:scatterStyle val="smoothMarker"/>
        <c:varyColors val="0"/>
        <c:ser>
          <c:idx val="0"/>
          <c:order val="0"/>
          <c:tx>
            <c:v>y = sin(x)</c:v>
          </c:tx>
          <c:spPr>
            <a:ln w="19050" cap="rnd">
              <a:solidFill>
                <a:schemeClr val="accent1"/>
              </a:solidFill>
              <a:round/>
            </a:ln>
            <a:effectLst/>
          </c:spPr>
          <c:marker>
            <c:symbol val="none"/>
          </c:marker>
          <c:xVal>
            <c:numRef>
              <c:f>'1.4.1'!$B$3:$B$203</c:f>
              <c:numCache>
                <c:formatCode>General</c:formatCode>
                <c:ptCount val="201"/>
                <c:pt idx="0">
                  <c:v>0</c:v>
                </c:pt>
                <c:pt idx="1">
                  <c:v>1.5707963267948967E-2</c:v>
                </c:pt>
                <c:pt idx="2">
                  <c:v>3.1415926535897934E-2</c:v>
                </c:pt>
                <c:pt idx="3">
                  <c:v>4.7123889803846894E-2</c:v>
                </c:pt>
                <c:pt idx="4">
                  <c:v>6.2831853071795868E-2</c:v>
                </c:pt>
                <c:pt idx="5">
                  <c:v>7.8539816339744828E-2</c:v>
                </c:pt>
                <c:pt idx="6">
                  <c:v>9.4247779607693788E-2</c:v>
                </c:pt>
                <c:pt idx="7">
                  <c:v>0.10995574287564278</c:v>
                </c:pt>
                <c:pt idx="8">
                  <c:v>0.12566370614359174</c:v>
                </c:pt>
                <c:pt idx="9">
                  <c:v>0.1413716694115407</c:v>
                </c:pt>
                <c:pt idx="10">
                  <c:v>0.15707963267948966</c:v>
                </c:pt>
                <c:pt idx="11">
                  <c:v>0.17278759594743862</c:v>
                </c:pt>
                <c:pt idx="12">
                  <c:v>0.18849555921538758</c:v>
                </c:pt>
                <c:pt idx="13">
                  <c:v>0.20420352248333656</c:v>
                </c:pt>
                <c:pt idx="14">
                  <c:v>0.21991148575128555</c:v>
                </c:pt>
                <c:pt idx="15">
                  <c:v>0.23561944901923448</c:v>
                </c:pt>
                <c:pt idx="16">
                  <c:v>0.25132741228718347</c:v>
                </c:pt>
                <c:pt idx="17">
                  <c:v>0.26703537555513246</c:v>
                </c:pt>
                <c:pt idx="18">
                  <c:v>0.28274333882308139</c:v>
                </c:pt>
                <c:pt idx="19">
                  <c:v>0.29845130209103032</c:v>
                </c:pt>
                <c:pt idx="20">
                  <c:v>0.31415926535897931</c:v>
                </c:pt>
                <c:pt idx="21">
                  <c:v>0.32986722862692824</c:v>
                </c:pt>
                <c:pt idx="22">
                  <c:v>0.34557519189487723</c:v>
                </c:pt>
                <c:pt idx="23">
                  <c:v>0.36128315516282622</c:v>
                </c:pt>
                <c:pt idx="24">
                  <c:v>0.37699111843077515</c:v>
                </c:pt>
                <c:pt idx="25">
                  <c:v>0.39269908169872414</c:v>
                </c:pt>
                <c:pt idx="26">
                  <c:v>0.40840704496667313</c:v>
                </c:pt>
                <c:pt idx="27">
                  <c:v>0.42411500823462212</c:v>
                </c:pt>
                <c:pt idx="28">
                  <c:v>0.4398229715025711</c:v>
                </c:pt>
                <c:pt idx="29">
                  <c:v>0.45553093477051998</c:v>
                </c:pt>
                <c:pt idx="30">
                  <c:v>0.47123889803846897</c:v>
                </c:pt>
                <c:pt idx="31">
                  <c:v>0.48694686130641796</c:v>
                </c:pt>
                <c:pt idx="32">
                  <c:v>0.50265482457436694</c:v>
                </c:pt>
                <c:pt idx="33">
                  <c:v>0.51836278784231593</c:v>
                </c:pt>
                <c:pt idx="34">
                  <c:v>0.53407075111026492</c:v>
                </c:pt>
                <c:pt idx="35">
                  <c:v>0.5497787143782138</c:v>
                </c:pt>
                <c:pt idx="36">
                  <c:v>0.56548667764616278</c:v>
                </c:pt>
                <c:pt idx="37">
                  <c:v>0.58119464091411177</c:v>
                </c:pt>
                <c:pt idx="38">
                  <c:v>0.59690260418206065</c:v>
                </c:pt>
                <c:pt idx="39">
                  <c:v>0.61261056745000964</c:v>
                </c:pt>
                <c:pt idx="40">
                  <c:v>0.62831853071795862</c:v>
                </c:pt>
                <c:pt idx="41">
                  <c:v>0.6440264939859075</c:v>
                </c:pt>
                <c:pt idx="42">
                  <c:v>0.65973445725385649</c:v>
                </c:pt>
                <c:pt idx="43">
                  <c:v>0.67544242052180548</c:v>
                </c:pt>
                <c:pt idx="44">
                  <c:v>0.69115038378975446</c:v>
                </c:pt>
                <c:pt idx="45">
                  <c:v>0.70685834705770345</c:v>
                </c:pt>
                <c:pt idx="46">
                  <c:v>0.72256631032565244</c:v>
                </c:pt>
                <c:pt idx="47">
                  <c:v>0.73827427359360132</c:v>
                </c:pt>
                <c:pt idx="48">
                  <c:v>0.7539822368615503</c:v>
                </c:pt>
                <c:pt idx="49">
                  <c:v>0.76969020012949929</c:v>
                </c:pt>
                <c:pt idx="50">
                  <c:v>0.78539816339744828</c:v>
                </c:pt>
                <c:pt idx="51">
                  <c:v>0.80110612666539727</c:v>
                </c:pt>
                <c:pt idx="52">
                  <c:v>0.81681408993334625</c:v>
                </c:pt>
                <c:pt idx="53">
                  <c:v>0.83252205320129524</c:v>
                </c:pt>
                <c:pt idx="54">
                  <c:v>0.84823001646924423</c:v>
                </c:pt>
                <c:pt idx="55">
                  <c:v>0.86393797973719322</c:v>
                </c:pt>
                <c:pt idx="56">
                  <c:v>0.87964594300514221</c:v>
                </c:pt>
                <c:pt idx="57">
                  <c:v>0.89535390627309097</c:v>
                </c:pt>
                <c:pt idx="58">
                  <c:v>0.91106186954103996</c:v>
                </c:pt>
                <c:pt idx="59">
                  <c:v>0.92676983280898895</c:v>
                </c:pt>
                <c:pt idx="60">
                  <c:v>0.94247779607693793</c:v>
                </c:pt>
                <c:pt idx="61">
                  <c:v>0.95818575934488692</c:v>
                </c:pt>
                <c:pt idx="62">
                  <c:v>0.97389372261283591</c:v>
                </c:pt>
                <c:pt idx="63">
                  <c:v>0.98960168588078479</c:v>
                </c:pt>
                <c:pt idx="64">
                  <c:v>1.0053096491487339</c:v>
                </c:pt>
                <c:pt idx="65">
                  <c:v>1.0210176124166828</c:v>
                </c:pt>
                <c:pt idx="66">
                  <c:v>1.0367255756846319</c:v>
                </c:pt>
                <c:pt idx="67">
                  <c:v>1.0524335389525807</c:v>
                </c:pt>
                <c:pt idx="68">
                  <c:v>1.0681415022205298</c:v>
                </c:pt>
                <c:pt idx="69">
                  <c:v>1.0838494654884785</c:v>
                </c:pt>
                <c:pt idx="70">
                  <c:v>1.0995574287564276</c:v>
                </c:pt>
                <c:pt idx="71">
                  <c:v>1.1152653920243765</c:v>
                </c:pt>
                <c:pt idx="72">
                  <c:v>1.1309733552923256</c:v>
                </c:pt>
                <c:pt idx="73">
                  <c:v>1.1466813185602744</c:v>
                </c:pt>
                <c:pt idx="74">
                  <c:v>1.1623892818282235</c:v>
                </c:pt>
                <c:pt idx="75">
                  <c:v>1.1780972450961724</c:v>
                </c:pt>
                <c:pt idx="76">
                  <c:v>1.1938052083641213</c:v>
                </c:pt>
                <c:pt idx="77">
                  <c:v>1.2095131716320704</c:v>
                </c:pt>
                <c:pt idx="78">
                  <c:v>1.2252211349000193</c:v>
                </c:pt>
                <c:pt idx="79">
                  <c:v>1.2409290981679684</c:v>
                </c:pt>
                <c:pt idx="80">
                  <c:v>1.2566370614359172</c:v>
                </c:pt>
                <c:pt idx="81">
                  <c:v>1.2723450247038663</c:v>
                </c:pt>
                <c:pt idx="82">
                  <c:v>1.288052987971815</c:v>
                </c:pt>
                <c:pt idx="83">
                  <c:v>1.3037609512397641</c:v>
                </c:pt>
                <c:pt idx="84">
                  <c:v>1.319468914507713</c:v>
                </c:pt>
                <c:pt idx="85">
                  <c:v>1.3351768777756621</c:v>
                </c:pt>
                <c:pt idx="86">
                  <c:v>1.350884841043611</c:v>
                </c:pt>
                <c:pt idx="87">
                  <c:v>1.36659280431156</c:v>
                </c:pt>
                <c:pt idx="88">
                  <c:v>1.3823007675795089</c:v>
                </c:pt>
                <c:pt idx="89">
                  <c:v>1.398008730847458</c:v>
                </c:pt>
                <c:pt idx="90">
                  <c:v>1.4137166941154069</c:v>
                </c:pt>
                <c:pt idx="91">
                  <c:v>1.429424657383356</c:v>
                </c:pt>
                <c:pt idx="92">
                  <c:v>1.4451326206513049</c:v>
                </c:pt>
                <c:pt idx="93">
                  <c:v>1.460840583919254</c:v>
                </c:pt>
                <c:pt idx="94">
                  <c:v>1.4765485471872026</c:v>
                </c:pt>
                <c:pt idx="95">
                  <c:v>1.4922565104551517</c:v>
                </c:pt>
                <c:pt idx="96">
                  <c:v>1.5079644737231006</c:v>
                </c:pt>
                <c:pt idx="97">
                  <c:v>1.5236724369910497</c:v>
                </c:pt>
                <c:pt idx="98">
                  <c:v>1.5393804002589986</c:v>
                </c:pt>
                <c:pt idx="99">
                  <c:v>1.5550883635269477</c:v>
                </c:pt>
                <c:pt idx="100">
                  <c:v>1.5707963267948966</c:v>
                </c:pt>
                <c:pt idx="101">
                  <c:v>1.5865042900628454</c:v>
                </c:pt>
                <c:pt idx="102">
                  <c:v>1.6022122533307945</c:v>
                </c:pt>
                <c:pt idx="103">
                  <c:v>1.6179202165987434</c:v>
                </c:pt>
                <c:pt idx="104">
                  <c:v>1.6336281798666925</c:v>
                </c:pt>
                <c:pt idx="105">
                  <c:v>1.6493361431346414</c:v>
                </c:pt>
                <c:pt idx="106">
                  <c:v>1.6650441064025905</c:v>
                </c:pt>
                <c:pt idx="107">
                  <c:v>1.6807520696705394</c:v>
                </c:pt>
                <c:pt idx="108">
                  <c:v>1.6964600329384885</c:v>
                </c:pt>
                <c:pt idx="109">
                  <c:v>1.7121679962064373</c:v>
                </c:pt>
                <c:pt idx="110">
                  <c:v>1.7278759594743864</c:v>
                </c:pt>
                <c:pt idx="111">
                  <c:v>1.7435839227423353</c:v>
                </c:pt>
                <c:pt idx="112">
                  <c:v>1.7592918860102844</c:v>
                </c:pt>
                <c:pt idx="113">
                  <c:v>1.7749998492782328</c:v>
                </c:pt>
                <c:pt idx="114">
                  <c:v>1.7907078125461819</c:v>
                </c:pt>
                <c:pt idx="115">
                  <c:v>1.8064157758141308</c:v>
                </c:pt>
                <c:pt idx="116">
                  <c:v>1.8221237390820799</c:v>
                </c:pt>
                <c:pt idx="117">
                  <c:v>1.8378317023500288</c:v>
                </c:pt>
                <c:pt idx="118">
                  <c:v>1.8535396656179779</c:v>
                </c:pt>
                <c:pt idx="119">
                  <c:v>1.8692476288859268</c:v>
                </c:pt>
                <c:pt idx="120">
                  <c:v>1.8849555921538759</c:v>
                </c:pt>
                <c:pt idx="121">
                  <c:v>1.9006635554218247</c:v>
                </c:pt>
                <c:pt idx="122">
                  <c:v>1.9163715186897738</c:v>
                </c:pt>
                <c:pt idx="123">
                  <c:v>1.9320794819577227</c:v>
                </c:pt>
                <c:pt idx="124">
                  <c:v>1.9477874452256718</c:v>
                </c:pt>
                <c:pt idx="125">
                  <c:v>1.9634954084936207</c:v>
                </c:pt>
                <c:pt idx="126">
                  <c:v>1.9792033717615696</c:v>
                </c:pt>
                <c:pt idx="127">
                  <c:v>1.9949113350295187</c:v>
                </c:pt>
                <c:pt idx="128">
                  <c:v>2.0106192982974678</c:v>
                </c:pt>
                <c:pt idx="129">
                  <c:v>2.0263272615654166</c:v>
                </c:pt>
                <c:pt idx="130">
                  <c:v>2.0420352248333655</c:v>
                </c:pt>
                <c:pt idx="131">
                  <c:v>2.0577431881013144</c:v>
                </c:pt>
                <c:pt idx="132">
                  <c:v>2.0734511513692637</c:v>
                </c:pt>
                <c:pt idx="133">
                  <c:v>2.0891591146372126</c:v>
                </c:pt>
                <c:pt idx="134">
                  <c:v>2.1048670779051615</c:v>
                </c:pt>
                <c:pt idx="135">
                  <c:v>2.1205750411731104</c:v>
                </c:pt>
                <c:pt idx="136">
                  <c:v>2.1362830044410597</c:v>
                </c:pt>
                <c:pt idx="137">
                  <c:v>2.1519909677090086</c:v>
                </c:pt>
                <c:pt idx="138">
                  <c:v>2.167698930976957</c:v>
                </c:pt>
                <c:pt idx="139">
                  <c:v>2.1834068942449059</c:v>
                </c:pt>
                <c:pt idx="140">
                  <c:v>2.1991148575128552</c:v>
                </c:pt>
                <c:pt idx="141">
                  <c:v>2.2148228207808041</c:v>
                </c:pt>
                <c:pt idx="142">
                  <c:v>2.2305307840487529</c:v>
                </c:pt>
                <c:pt idx="143">
                  <c:v>2.2462387473167018</c:v>
                </c:pt>
                <c:pt idx="144">
                  <c:v>2.2619467105846511</c:v>
                </c:pt>
                <c:pt idx="145">
                  <c:v>2.2776546738526</c:v>
                </c:pt>
                <c:pt idx="146">
                  <c:v>2.2933626371205489</c:v>
                </c:pt>
                <c:pt idx="147">
                  <c:v>2.3090706003884978</c:v>
                </c:pt>
                <c:pt idx="148">
                  <c:v>2.3247785636564471</c:v>
                </c:pt>
                <c:pt idx="149">
                  <c:v>2.340486526924396</c:v>
                </c:pt>
                <c:pt idx="150">
                  <c:v>2.3561944901923448</c:v>
                </c:pt>
                <c:pt idx="151">
                  <c:v>2.3719024534602937</c:v>
                </c:pt>
                <c:pt idx="152">
                  <c:v>2.3876104167282426</c:v>
                </c:pt>
                <c:pt idx="153">
                  <c:v>2.4033183799961919</c:v>
                </c:pt>
                <c:pt idx="154">
                  <c:v>2.4190263432641408</c:v>
                </c:pt>
                <c:pt idx="155">
                  <c:v>2.4347343065320897</c:v>
                </c:pt>
                <c:pt idx="156">
                  <c:v>2.4504422698000385</c:v>
                </c:pt>
                <c:pt idx="157">
                  <c:v>2.4661502330679879</c:v>
                </c:pt>
                <c:pt idx="158">
                  <c:v>2.4818581963359367</c:v>
                </c:pt>
                <c:pt idx="159">
                  <c:v>2.4975661596038856</c:v>
                </c:pt>
                <c:pt idx="160">
                  <c:v>2.5132741228718345</c:v>
                </c:pt>
                <c:pt idx="161">
                  <c:v>2.5289820861397838</c:v>
                </c:pt>
                <c:pt idx="162">
                  <c:v>2.5446900494077327</c:v>
                </c:pt>
                <c:pt idx="163">
                  <c:v>2.5603980126756811</c:v>
                </c:pt>
                <c:pt idx="164">
                  <c:v>2.57610597594363</c:v>
                </c:pt>
                <c:pt idx="165">
                  <c:v>2.5918139392115793</c:v>
                </c:pt>
                <c:pt idx="166">
                  <c:v>2.6075219024795282</c:v>
                </c:pt>
                <c:pt idx="167">
                  <c:v>2.6232298657474771</c:v>
                </c:pt>
                <c:pt idx="168">
                  <c:v>2.638937829015426</c:v>
                </c:pt>
                <c:pt idx="169">
                  <c:v>2.6546457922833753</c:v>
                </c:pt>
                <c:pt idx="170">
                  <c:v>2.6703537555513241</c:v>
                </c:pt>
                <c:pt idx="171">
                  <c:v>2.686061718819273</c:v>
                </c:pt>
                <c:pt idx="172">
                  <c:v>2.7017696820872219</c:v>
                </c:pt>
                <c:pt idx="173">
                  <c:v>2.7174776453551712</c:v>
                </c:pt>
                <c:pt idx="174">
                  <c:v>2.7331856086231201</c:v>
                </c:pt>
                <c:pt idx="175">
                  <c:v>2.748893571891069</c:v>
                </c:pt>
                <c:pt idx="176">
                  <c:v>2.7646015351590179</c:v>
                </c:pt>
                <c:pt idx="177">
                  <c:v>2.7803094984269667</c:v>
                </c:pt>
                <c:pt idx="178">
                  <c:v>2.7960174616949161</c:v>
                </c:pt>
                <c:pt idx="179">
                  <c:v>2.8117254249628649</c:v>
                </c:pt>
                <c:pt idx="180">
                  <c:v>2.8274333882308138</c:v>
                </c:pt>
                <c:pt idx="181">
                  <c:v>2.8431413514987627</c:v>
                </c:pt>
                <c:pt idx="182">
                  <c:v>2.858849314766712</c:v>
                </c:pt>
                <c:pt idx="183">
                  <c:v>2.8745572780346609</c:v>
                </c:pt>
                <c:pt idx="184">
                  <c:v>2.8902652413026098</c:v>
                </c:pt>
                <c:pt idx="185">
                  <c:v>2.9059732045705586</c:v>
                </c:pt>
                <c:pt idx="186">
                  <c:v>2.921681167838508</c:v>
                </c:pt>
                <c:pt idx="187">
                  <c:v>2.9373891311064568</c:v>
                </c:pt>
                <c:pt idx="188">
                  <c:v>2.9530970943744053</c:v>
                </c:pt>
                <c:pt idx="189">
                  <c:v>2.9688050576423541</c:v>
                </c:pt>
                <c:pt idx="190">
                  <c:v>2.9845130209103035</c:v>
                </c:pt>
                <c:pt idx="191">
                  <c:v>3.0002209841782523</c:v>
                </c:pt>
                <c:pt idx="192">
                  <c:v>3.0159289474462012</c:v>
                </c:pt>
                <c:pt idx="193">
                  <c:v>3.0316369107141501</c:v>
                </c:pt>
                <c:pt idx="194">
                  <c:v>3.0473448739820994</c:v>
                </c:pt>
                <c:pt idx="195">
                  <c:v>3.0630528372500483</c:v>
                </c:pt>
                <c:pt idx="196">
                  <c:v>3.0787608005179972</c:v>
                </c:pt>
                <c:pt idx="197">
                  <c:v>3.094468763785946</c:v>
                </c:pt>
                <c:pt idx="198">
                  <c:v>3.1101767270538954</c:v>
                </c:pt>
                <c:pt idx="199">
                  <c:v>3.1258846903218442</c:v>
                </c:pt>
                <c:pt idx="200">
                  <c:v>3.1415926535897931</c:v>
                </c:pt>
              </c:numCache>
            </c:numRef>
          </c:xVal>
          <c:yVal>
            <c:numRef>
              <c:f>'1.4.1'!$C$3:$C$203</c:f>
              <c:numCache>
                <c:formatCode>General</c:formatCode>
                <c:ptCount val="201"/>
                <c:pt idx="0">
                  <c:v>0</c:v>
                </c:pt>
                <c:pt idx="1">
                  <c:v>1.5707317311820675E-2</c:v>
                </c:pt>
                <c:pt idx="2">
                  <c:v>3.1410759078128292E-2</c:v>
                </c:pt>
                <c:pt idx="3">
                  <c:v>4.7106450709642658E-2</c:v>
                </c:pt>
                <c:pt idx="4">
                  <c:v>6.2790519529313374E-2</c:v>
                </c:pt>
                <c:pt idx="5">
                  <c:v>7.8459095727844944E-2</c:v>
                </c:pt>
                <c:pt idx="6">
                  <c:v>9.4108313318514311E-2</c:v>
                </c:pt>
                <c:pt idx="7">
                  <c:v>0.10973431109104528</c:v>
                </c:pt>
                <c:pt idx="8">
                  <c:v>0.12533323356430426</c:v>
                </c:pt>
                <c:pt idx="9">
                  <c:v>0.14090123193758267</c:v>
                </c:pt>
                <c:pt idx="10">
                  <c:v>0.15643446504023087</c:v>
                </c:pt>
                <c:pt idx="11">
                  <c:v>0.17192910027940952</c:v>
                </c:pt>
                <c:pt idx="12">
                  <c:v>0.1873813145857246</c:v>
                </c:pt>
                <c:pt idx="13">
                  <c:v>0.20278729535651249</c:v>
                </c:pt>
                <c:pt idx="14">
                  <c:v>0.21814324139654256</c:v>
                </c:pt>
                <c:pt idx="15">
                  <c:v>0.23344536385590539</c:v>
                </c:pt>
                <c:pt idx="16">
                  <c:v>0.24868988716485479</c:v>
                </c:pt>
                <c:pt idx="17">
                  <c:v>0.26387304996537292</c:v>
                </c:pt>
                <c:pt idx="18">
                  <c:v>0.27899110603922928</c:v>
                </c:pt>
                <c:pt idx="19">
                  <c:v>0.29404032523230395</c:v>
                </c:pt>
                <c:pt idx="20">
                  <c:v>0.3090169943749474</c:v>
                </c:pt>
                <c:pt idx="21">
                  <c:v>0.3239174181981494</c:v>
                </c:pt>
                <c:pt idx="22">
                  <c:v>0.33873792024529137</c:v>
                </c:pt>
                <c:pt idx="23">
                  <c:v>0.35347484377925714</c:v>
                </c:pt>
                <c:pt idx="24">
                  <c:v>0.36812455268467792</c:v>
                </c:pt>
                <c:pt idx="25">
                  <c:v>0.38268343236508978</c:v>
                </c:pt>
                <c:pt idx="26">
                  <c:v>0.39714789063478062</c:v>
                </c:pt>
                <c:pt idx="27">
                  <c:v>0.41151435860510882</c:v>
                </c:pt>
                <c:pt idx="28">
                  <c:v>0.42577929156507272</c:v>
                </c:pt>
                <c:pt idx="29">
                  <c:v>0.43993916985591508</c:v>
                </c:pt>
                <c:pt idx="30">
                  <c:v>0.45399049973954675</c:v>
                </c:pt>
                <c:pt idx="31">
                  <c:v>0.4679298142605734</c:v>
                </c:pt>
                <c:pt idx="32">
                  <c:v>0.48175367410171532</c:v>
                </c:pt>
                <c:pt idx="33">
                  <c:v>0.4954586684324076</c:v>
                </c:pt>
                <c:pt idx="34">
                  <c:v>0.50904141575037132</c:v>
                </c:pt>
                <c:pt idx="35">
                  <c:v>0.5224985647159488</c:v>
                </c:pt>
                <c:pt idx="36">
                  <c:v>0.53582679497899666</c:v>
                </c:pt>
                <c:pt idx="37">
                  <c:v>0.5490228179981318</c:v>
                </c:pt>
                <c:pt idx="38">
                  <c:v>0.56208337785213058</c:v>
                </c:pt>
                <c:pt idx="39">
                  <c:v>0.57500525204327857</c:v>
                </c:pt>
                <c:pt idx="40">
                  <c:v>0.58778525229247314</c:v>
                </c:pt>
                <c:pt idx="41">
                  <c:v>0.60042022532588391</c:v>
                </c:pt>
                <c:pt idx="42">
                  <c:v>0.61290705365297637</c:v>
                </c:pt>
                <c:pt idx="43">
                  <c:v>0.62524265633570508</c:v>
                </c:pt>
                <c:pt idx="44">
                  <c:v>0.63742398974868963</c:v>
                </c:pt>
                <c:pt idx="45">
                  <c:v>0.64944804833018366</c:v>
                </c:pt>
                <c:pt idx="46">
                  <c:v>0.66131186532365183</c:v>
                </c:pt>
                <c:pt idx="47">
                  <c:v>0.67301251350977331</c:v>
                </c:pt>
                <c:pt idx="48">
                  <c:v>0.68454710592868862</c:v>
                </c:pt>
                <c:pt idx="49">
                  <c:v>0.69591279659231431</c:v>
                </c:pt>
                <c:pt idx="50">
                  <c:v>0.70710678118654746</c:v>
                </c:pt>
                <c:pt idx="51">
                  <c:v>0.71812629776318881</c:v>
                </c:pt>
                <c:pt idx="52">
                  <c:v>0.72896862742141155</c:v>
                </c:pt>
                <c:pt idx="53">
                  <c:v>0.73963109497860968</c:v>
                </c:pt>
                <c:pt idx="54">
                  <c:v>0.75011106963045959</c:v>
                </c:pt>
                <c:pt idx="55">
                  <c:v>0.76040596560003104</c:v>
                </c:pt>
                <c:pt idx="56">
                  <c:v>0.77051324277578925</c:v>
                </c:pt>
                <c:pt idx="57">
                  <c:v>0.78043040733832969</c:v>
                </c:pt>
                <c:pt idx="58">
                  <c:v>0.7901550123756903</c:v>
                </c:pt>
                <c:pt idx="59">
                  <c:v>0.79968465848709047</c:v>
                </c:pt>
                <c:pt idx="60">
                  <c:v>0.80901699437494745</c:v>
                </c:pt>
                <c:pt idx="61">
                  <c:v>0.8181497174250234</c:v>
                </c:pt>
                <c:pt idx="62">
                  <c:v>0.82708057427456183</c:v>
                </c:pt>
                <c:pt idx="63">
                  <c:v>0.83580736136827016</c:v>
                </c:pt>
                <c:pt idx="64">
                  <c:v>0.84432792550201508</c:v>
                </c:pt>
                <c:pt idx="65">
                  <c:v>0.85264016435409218</c:v>
                </c:pt>
                <c:pt idx="66">
                  <c:v>0.86074202700394364</c:v>
                </c:pt>
                <c:pt idx="67">
                  <c:v>0.8686315144381912</c:v>
                </c:pt>
                <c:pt idx="68">
                  <c:v>0.87630668004386369</c:v>
                </c:pt>
                <c:pt idx="69">
                  <c:v>0.88376563008869335</c:v>
                </c:pt>
                <c:pt idx="70">
                  <c:v>0.89100652418836779</c:v>
                </c:pt>
                <c:pt idx="71">
                  <c:v>0.89802757576061554</c:v>
                </c:pt>
                <c:pt idx="72">
                  <c:v>0.90482705246601958</c:v>
                </c:pt>
                <c:pt idx="73">
                  <c:v>0.91140327663544518</c:v>
                </c:pt>
                <c:pt idx="74">
                  <c:v>0.91775462568398114</c:v>
                </c:pt>
                <c:pt idx="75">
                  <c:v>0.92387953251128674</c:v>
                </c:pt>
                <c:pt idx="76">
                  <c:v>0.92977648588825135</c:v>
                </c:pt>
                <c:pt idx="77">
                  <c:v>0.93544403082986738</c:v>
                </c:pt>
                <c:pt idx="78">
                  <c:v>0.94088076895422545</c:v>
                </c:pt>
                <c:pt idx="79">
                  <c:v>0.9460853588275453</c:v>
                </c:pt>
                <c:pt idx="80">
                  <c:v>0.95105651629515353</c:v>
                </c:pt>
                <c:pt idx="81">
                  <c:v>0.95579301479833012</c:v>
                </c:pt>
                <c:pt idx="82">
                  <c:v>0.96029368567694295</c:v>
                </c:pt>
                <c:pt idx="83">
                  <c:v>0.96455741845779808</c:v>
                </c:pt>
                <c:pt idx="84">
                  <c:v>0.96858316112863108</c:v>
                </c:pt>
                <c:pt idx="85">
                  <c:v>0.97236992039767656</c:v>
                </c:pt>
                <c:pt idx="86">
                  <c:v>0.97591676193874732</c:v>
                </c:pt>
                <c:pt idx="87">
                  <c:v>0.97922281062176575</c:v>
                </c:pt>
                <c:pt idx="88">
                  <c:v>0.98228725072868861</c:v>
                </c:pt>
                <c:pt idx="89">
                  <c:v>0.98510932615477398</c:v>
                </c:pt>
                <c:pt idx="90">
                  <c:v>0.98768834059513777</c:v>
                </c:pt>
                <c:pt idx="91">
                  <c:v>0.99002365771655754</c:v>
                </c:pt>
                <c:pt idx="92">
                  <c:v>0.99211470131447788</c:v>
                </c:pt>
                <c:pt idx="93">
                  <c:v>0.99396095545517971</c:v>
                </c:pt>
                <c:pt idx="94">
                  <c:v>0.99556196460308</c:v>
                </c:pt>
                <c:pt idx="95">
                  <c:v>0.99691733373312796</c:v>
                </c:pt>
                <c:pt idx="96">
                  <c:v>0.99802672842827156</c:v>
                </c:pt>
                <c:pt idx="97">
                  <c:v>0.99888987496197001</c:v>
                </c:pt>
                <c:pt idx="98">
                  <c:v>0.9995065603657316</c:v>
                </c:pt>
                <c:pt idx="99">
                  <c:v>0.99987663248166059</c:v>
                </c:pt>
                <c:pt idx="100">
                  <c:v>1</c:v>
                </c:pt>
                <c:pt idx="101">
                  <c:v>0.99987663248166059</c:v>
                </c:pt>
                <c:pt idx="102">
                  <c:v>0.9995065603657316</c:v>
                </c:pt>
                <c:pt idx="103">
                  <c:v>0.99888987496197001</c:v>
                </c:pt>
                <c:pt idx="104">
                  <c:v>0.99802672842827156</c:v>
                </c:pt>
                <c:pt idx="105">
                  <c:v>0.99691733373312796</c:v>
                </c:pt>
                <c:pt idx="106">
                  <c:v>0.99556196460308</c:v>
                </c:pt>
                <c:pt idx="107">
                  <c:v>0.99396095545517971</c:v>
                </c:pt>
                <c:pt idx="108">
                  <c:v>0.99211470131447776</c:v>
                </c:pt>
                <c:pt idx="109">
                  <c:v>0.99002365771655754</c:v>
                </c:pt>
                <c:pt idx="110">
                  <c:v>0.98768834059513766</c:v>
                </c:pt>
                <c:pt idx="111">
                  <c:v>0.98510932615477387</c:v>
                </c:pt>
                <c:pt idx="112">
                  <c:v>0.98228725072868861</c:v>
                </c:pt>
                <c:pt idx="113">
                  <c:v>0.97922281062176586</c:v>
                </c:pt>
                <c:pt idx="114">
                  <c:v>0.97591676193874743</c:v>
                </c:pt>
                <c:pt idx="115">
                  <c:v>0.97236992039767667</c:v>
                </c:pt>
                <c:pt idx="116">
                  <c:v>0.96858316112863119</c:v>
                </c:pt>
                <c:pt idx="117">
                  <c:v>0.96455741845779819</c:v>
                </c:pt>
                <c:pt idx="118">
                  <c:v>0.96029368567694307</c:v>
                </c:pt>
                <c:pt idx="119">
                  <c:v>0.95579301479833023</c:v>
                </c:pt>
                <c:pt idx="120">
                  <c:v>0.95105651629515364</c:v>
                </c:pt>
                <c:pt idx="121">
                  <c:v>0.94608535882754541</c:v>
                </c:pt>
                <c:pt idx="122">
                  <c:v>0.94088076895422545</c:v>
                </c:pt>
                <c:pt idx="123">
                  <c:v>0.93544403082986738</c:v>
                </c:pt>
                <c:pt idx="124">
                  <c:v>0.92977648588825135</c:v>
                </c:pt>
                <c:pt idx="125">
                  <c:v>0.92387953251128674</c:v>
                </c:pt>
                <c:pt idx="126">
                  <c:v>0.91775462568398125</c:v>
                </c:pt>
                <c:pt idx="127">
                  <c:v>0.91140327663544529</c:v>
                </c:pt>
                <c:pt idx="128">
                  <c:v>0.90482705246601947</c:v>
                </c:pt>
                <c:pt idx="129">
                  <c:v>0.89802757576061565</c:v>
                </c:pt>
                <c:pt idx="130">
                  <c:v>0.8910065241883679</c:v>
                </c:pt>
                <c:pt idx="131">
                  <c:v>0.88376563008869347</c:v>
                </c:pt>
                <c:pt idx="132">
                  <c:v>0.87630668004386347</c:v>
                </c:pt>
                <c:pt idx="133">
                  <c:v>0.8686315144381912</c:v>
                </c:pt>
                <c:pt idx="134">
                  <c:v>0.86074202700394364</c:v>
                </c:pt>
                <c:pt idx="135">
                  <c:v>0.85264016435409229</c:v>
                </c:pt>
                <c:pt idx="136">
                  <c:v>0.84432792550201496</c:v>
                </c:pt>
                <c:pt idx="137">
                  <c:v>0.83580736136827016</c:v>
                </c:pt>
                <c:pt idx="138">
                  <c:v>0.82708057427456205</c:v>
                </c:pt>
                <c:pt idx="139">
                  <c:v>0.81814971742502374</c:v>
                </c:pt>
                <c:pt idx="140">
                  <c:v>0.80901699437494745</c:v>
                </c:pt>
                <c:pt idx="141">
                  <c:v>0.79968465848709069</c:v>
                </c:pt>
                <c:pt idx="142">
                  <c:v>0.79015501237569052</c:v>
                </c:pt>
                <c:pt idx="143">
                  <c:v>0.78043040733832991</c:v>
                </c:pt>
                <c:pt idx="144">
                  <c:v>0.77051324277578925</c:v>
                </c:pt>
                <c:pt idx="145">
                  <c:v>0.76040596560003104</c:v>
                </c:pt>
                <c:pt idx="146">
                  <c:v>0.7501110696304597</c:v>
                </c:pt>
                <c:pt idx="147">
                  <c:v>0.7396310949786099</c:v>
                </c:pt>
                <c:pt idx="148">
                  <c:v>0.72896862742141144</c:v>
                </c:pt>
                <c:pt idx="149">
                  <c:v>0.71812629776318881</c:v>
                </c:pt>
                <c:pt idx="150">
                  <c:v>0.70710678118654757</c:v>
                </c:pt>
                <c:pt idx="151">
                  <c:v>0.69591279659231442</c:v>
                </c:pt>
                <c:pt idx="152">
                  <c:v>0.68454710592868884</c:v>
                </c:pt>
                <c:pt idx="153">
                  <c:v>0.67301251350977331</c:v>
                </c:pt>
                <c:pt idx="154">
                  <c:v>0.66131186532365183</c:v>
                </c:pt>
                <c:pt idx="155">
                  <c:v>0.64944804833018377</c:v>
                </c:pt>
                <c:pt idx="156">
                  <c:v>0.63742398974868986</c:v>
                </c:pt>
                <c:pt idx="157">
                  <c:v>0.62524265633570508</c:v>
                </c:pt>
                <c:pt idx="158">
                  <c:v>0.61290705365297637</c:v>
                </c:pt>
                <c:pt idx="159">
                  <c:v>0.60042022532588402</c:v>
                </c:pt>
                <c:pt idx="160">
                  <c:v>0.58778525229247325</c:v>
                </c:pt>
                <c:pt idx="161">
                  <c:v>0.57500525204327835</c:v>
                </c:pt>
                <c:pt idx="162">
                  <c:v>0.56208337785213047</c:v>
                </c:pt>
                <c:pt idx="163">
                  <c:v>0.54902281799813202</c:v>
                </c:pt>
                <c:pt idx="164">
                  <c:v>0.53582679497899699</c:v>
                </c:pt>
                <c:pt idx="165">
                  <c:v>0.52249856471594891</c:v>
                </c:pt>
                <c:pt idx="166">
                  <c:v>0.50904141575037143</c:v>
                </c:pt>
                <c:pt idx="167">
                  <c:v>0.49545866843240777</c:v>
                </c:pt>
                <c:pt idx="168">
                  <c:v>0.4817536741017156</c:v>
                </c:pt>
                <c:pt idx="169">
                  <c:v>0.4679298142605734</c:v>
                </c:pt>
                <c:pt idx="170">
                  <c:v>0.45399049973954686</c:v>
                </c:pt>
                <c:pt idx="171">
                  <c:v>0.4399391698559153</c:v>
                </c:pt>
                <c:pt idx="172">
                  <c:v>0.42577929156507288</c:v>
                </c:pt>
                <c:pt idx="173">
                  <c:v>0.41151435860510871</c:v>
                </c:pt>
                <c:pt idx="174">
                  <c:v>0.39714789063478062</c:v>
                </c:pt>
                <c:pt idx="175">
                  <c:v>0.38268343236508989</c:v>
                </c:pt>
                <c:pt idx="176">
                  <c:v>0.36812455268467814</c:v>
                </c:pt>
                <c:pt idx="177">
                  <c:v>0.35347484377925742</c:v>
                </c:pt>
                <c:pt idx="178">
                  <c:v>0.33873792024529131</c:v>
                </c:pt>
                <c:pt idx="179">
                  <c:v>0.32391741819814945</c:v>
                </c:pt>
                <c:pt idx="180">
                  <c:v>0.30901699437494751</c:v>
                </c:pt>
                <c:pt idx="181">
                  <c:v>0.29404032523230417</c:v>
                </c:pt>
                <c:pt idx="182">
                  <c:v>0.27899110603922911</c:v>
                </c:pt>
                <c:pt idx="183">
                  <c:v>0.26387304996537281</c:v>
                </c:pt>
                <c:pt idx="184">
                  <c:v>0.24868988716485482</c:v>
                </c:pt>
                <c:pt idx="185">
                  <c:v>0.23344536385590553</c:v>
                </c:pt>
                <c:pt idx="186">
                  <c:v>0.21814324139654231</c:v>
                </c:pt>
                <c:pt idx="187">
                  <c:v>0.20278729535651233</c:v>
                </c:pt>
                <c:pt idx="188">
                  <c:v>0.18738131458572502</c:v>
                </c:pt>
                <c:pt idx="189">
                  <c:v>0.17192910027941002</c:v>
                </c:pt>
                <c:pt idx="190">
                  <c:v>0.15643446504023098</c:v>
                </c:pt>
                <c:pt idx="191">
                  <c:v>0.14090123193758286</c:v>
                </c:pt>
                <c:pt idx="192">
                  <c:v>0.12533323356430454</c:v>
                </c:pt>
                <c:pt idx="193">
                  <c:v>0.10973431109104564</c:v>
                </c:pt>
                <c:pt idx="194">
                  <c:v>9.4108313318514353E-2</c:v>
                </c:pt>
                <c:pt idx="195">
                  <c:v>7.8459095727845068E-2</c:v>
                </c:pt>
                <c:pt idx="196">
                  <c:v>6.2790519529313582E-2</c:v>
                </c:pt>
                <c:pt idx="197">
                  <c:v>4.7106450709642957E-2</c:v>
                </c:pt>
                <c:pt idx="198">
                  <c:v>3.1410759078128236E-2</c:v>
                </c:pt>
                <c:pt idx="199">
                  <c:v>1.570731731182071E-2</c:v>
                </c:pt>
                <c:pt idx="200">
                  <c:v>1.22514845490862E-16</c:v>
                </c:pt>
              </c:numCache>
            </c:numRef>
          </c:yVal>
          <c:smooth val="1"/>
          <c:extLst>
            <c:ext xmlns:c16="http://schemas.microsoft.com/office/drawing/2014/chart" uri="{C3380CC4-5D6E-409C-BE32-E72D297353CC}">
              <c16:uniqueId val="{00000000-2A56-4468-951A-796045438EBC}"/>
            </c:ext>
          </c:extLst>
        </c:ser>
        <c:ser>
          <c:idx val="2"/>
          <c:order val="2"/>
          <c:tx>
            <c:v>a = π/3</c:v>
          </c:tx>
          <c:spPr>
            <a:ln w="19050" cap="rnd">
              <a:solidFill>
                <a:schemeClr val="accent3"/>
              </a:solidFill>
              <a:round/>
            </a:ln>
            <a:effectLst/>
          </c:spPr>
          <c:marker>
            <c:symbol val="none"/>
          </c:marker>
          <c:xVal>
            <c:numRef>
              <c:f>'1.4.1'!$F$9:$F$12</c:f>
              <c:numCache>
                <c:formatCode>General</c:formatCode>
                <c:ptCount val="4"/>
                <c:pt idx="0">
                  <c:v>0</c:v>
                </c:pt>
                <c:pt idx="1">
                  <c:v>1.0471975511965976</c:v>
                </c:pt>
                <c:pt idx="2">
                  <c:v>2.0943951023931953</c:v>
                </c:pt>
                <c:pt idx="3">
                  <c:v>3.1415926535897931</c:v>
                </c:pt>
              </c:numCache>
              <c:extLst xmlns:c15="http://schemas.microsoft.com/office/drawing/2012/chart"/>
            </c:numRef>
          </c:xVal>
          <c:yVal>
            <c:numRef>
              <c:f>'1.4.1'!$G$9:$G$12</c:f>
              <c:numCache>
                <c:formatCode>General</c:formatCode>
                <c:ptCount val="4"/>
                <c:pt idx="0">
                  <c:v>0</c:v>
                </c:pt>
                <c:pt idx="1">
                  <c:v>0.8660254037844386</c:v>
                </c:pt>
                <c:pt idx="2">
                  <c:v>0.86602540378443871</c:v>
                </c:pt>
                <c:pt idx="3">
                  <c:v>1.22514845490862E-16</c:v>
                </c:pt>
              </c:numCache>
              <c:extLst xmlns:c15="http://schemas.microsoft.com/office/drawing/2012/chart"/>
            </c:numRef>
          </c:yVal>
          <c:smooth val="0"/>
          <c:extLst>
            <c:ext xmlns:c16="http://schemas.microsoft.com/office/drawing/2014/chart" uri="{C3380CC4-5D6E-409C-BE32-E72D297353CC}">
              <c16:uniqueId val="{00000003-2A56-4468-951A-796045438EBC}"/>
            </c:ext>
          </c:extLst>
        </c:ser>
        <c:ser>
          <c:idx val="4"/>
          <c:order val="4"/>
          <c:tx>
            <c:v>Largest Error</c:v>
          </c:tx>
          <c:spPr>
            <a:ln w="19050" cap="rnd">
              <a:noFill/>
              <a:round/>
            </a:ln>
            <a:effectLst/>
          </c:spPr>
          <c:marker>
            <c:symbol val="triangle"/>
            <c:size val="4"/>
            <c:spPr>
              <a:solidFill>
                <a:schemeClr val="accent5"/>
              </a:solidFill>
              <a:ln w="38100">
                <a:solidFill>
                  <a:srgbClr val="FF0000"/>
                </a:solidFill>
              </a:ln>
              <a:effectLst/>
            </c:spPr>
          </c:marker>
          <c:dPt>
            <c:idx val="1"/>
            <c:marker>
              <c:symbol val="square"/>
              <c:size val="4"/>
              <c:spPr>
                <a:solidFill>
                  <a:schemeClr val="accent6"/>
                </a:solidFill>
                <a:ln w="38100">
                  <a:solidFill>
                    <a:srgbClr val="92D050"/>
                  </a:solidFill>
                </a:ln>
                <a:effectLst/>
              </c:spPr>
            </c:marker>
            <c:bubble3D val="0"/>
            <c:extLst>
              <c:ext xmlns:c16="http://schemas.microsoft.com/office/drawing/2014/chart" uri="{C3380CC4-5D6E-409C-BE32-E72D297353CC}">
                <c16:uniqueId val="{00000000-610F-4196-870B-86991089D9E6}"/>
              </c:ext>
            </c:extLst>
          </c:dPt>
          <c:xVal>
            <c:numRef>
              <c:f>'1.4.1'!$I$9:$I$10</c:f>
              <c:numCache>
                <c:formatCode>General</c:formatCode>
                <c:ptCount val="2"/>
                <c:pt idx="0">
                  <c:v>0.52359877559829882</c:v>
                </c:pt>
                <c:pt idx="1">
                  <c:v>1.5707963267948966</c:v>
                </c:pt>
              </c:numCache>
            </c:numRef>
          </c:xVal>
          <c:yVal>
            <c:numRef>
              <c:f>'1.4.1'!$J$9:$J$10</c:f>
              <c:numCache>
                <c:formatCode>General</c:formatCode>
                <c:ptCount val="2"/>
                <c:pt idx="0">
                  <c:v>0.4330127018922193</c:v>
                </c:pt>
                <c:pt idx="1">
                  <c:v>0.8660254037844386</c:v>
                </c:pt>
              </c:numCache>
            </c:numRef>
          </c:yVal>
          <c:smooth val="1"/>
          <c:extLst>
            <c:ext xmlns:c16="http://schemas.microsoft.com/office/drawing/2014/chart" uri="{C3380CC4-5D6E-409C-BE32-E72D297353CC}">
              <c16:uniqueId val="{00000002-2A56-4468-951A-796045438EBC}"/>
            </c:ext>
          </c:extLst>
        </c:ser>
        <c:dLbls>
          <c:showLegendKey val="0"/>
          <c:showVal val="0"/>
          <c:showCatName val="0"/>
          <c:showSerName val="0"/>
          <c:showPercent val="0"/>
          <c:showBubbleSize val="0"/>
        </c:dLbls>
        <c:axId val="374146255"/>
        <c:axId val="880699231"/>
        <c:extLst>
          <c:ext xmlns:c15="http://schemas.microsoft.com/office/drawing/2012/chart" uri="{02D57815-91ED-43cb-92C2-25804820EDAC}">
            <c15:filteredScatterSeries>
              <c15:ser>
                <c:idx val="1"/>
                <c:order val="1"/>
                <c:tx>
                  <c:v>a = π/2</c:v>
                </c:tx>
                <c:spPr>
                  <a:ln w="19050" cap="rnd">
                    <a:solidFill>
                      <a:schemeClr val="accent2"/>
                    </a:solidFill>
                    <a:round/>
                  </a:ln>
                  <a:effectLst/>
                </c:spPr>
                <c:marker>
                  <c:symbol val="square"/>
                  <c:size val="4"/>
                  <c:spPr>
                    <a:solidFill>
                      <a:schemeClr val="accent2"/>
                    </a:solidFill>
                    <a:ln w="9525">
                      <a:solidFill>
                        <a:schemeClr val="accent2"/>
                      </a:solidFill>
                    </a:ln>
                    <a:effectLst/>
                  </c:spPr>
                </c:marker>
                <c:xVal>
                  <c:numRef>
                    <c:extLst>
                      <c:ext uri="{02D57815-91ED-43cb-92C2-25804820EDAC}">
                        <c15:formulaRef>
                          <c15:sqref>'1.4.1'!$F$3:$F$5</c15:sqref>
                        </c15:formulaRef>
                      </c:ext>
                    </c:extLst>
                    <c:numCache>
                      <c:formatCode>General</c:formatCode>
                      <c:ptCount val="3"/>
                      <c:pt idx="0">
                        <c:v>0</c:v>
                      </c:pt>
                      <c:pt idx="1">
                        <c:v>1.5707963267948966</c:v>
                      </c:pt>
                      <c:pt idx="2">
                        <c:v>3.1415926535897931</c:v>
                      </c:pt>
                    </c:numCache>
                  </c:numRef>
                </c:xVal>
                <c:yVal>
                  <c:numRef>
                    <c:extLst>
                      <c:ext uri="{02D57815-91ED-43cb-92C2-25804820EDAC}">
                        <c15:formulaRef>
                          <c15:sqref>'1.4.1'!$G$3:$G$5</c15:sqref>
                        </c15:formulaRef>
                      </c:ext>
                    </c:extLst>
                    <c:numCache>
                      <c:formatCode>General</c:formatCode>
                      <c:ptCount val="3"/>
                      <c:pt idx="0">
                        <c:v>0</c:v>
                      </c:pt>
                      <c:pt idx="1">
                        <c:v>1</c:v>
                      </c:pt>
                      <c:pt idx="2">
                        <c:v>1.22514845490862E-16</c:v>
                      </c:pt>
                    </c:numCache>
                  </c:numRef>
                </c:yVal>
                <c:smooth val="0"/>
                <c:extLst>
                  <c:ext xmlns:c16="http://schemas.microsoft.com/office/drawing/2014/chart" uri="{C3380CC4-5D6E-409C-BE32-E72D297353CC}">
                    <c16:uniqueId val="{00000001-2A56-4468-951A-796045438EBC}"/>
                  </c:ext>
                </c:extLst>
              </c15:ser>
            </c15:filteredScatterSeries>
            <c15:filteredScatterSeries>
              <c15:ser>
                <c:idx val="3"/>
                <c:order val="3"/>
                <c:tx>
                  <c:v>a = π/4</c:v>
                </c:tx>
                <c:spPr>
                  <a:ln w="19050" cap="rnd">
                    <a:solidFill>
                      <a:schemeClr val="accent4"/>
                    </a:solidFill>
                    <a:round/>
                  </a:ln>
                  <a:effectLst/>
                </c:spPr>
                <c:marker>
                  <c:symbol val="square"/>
                  <c:size val="4"/>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'1.4.1'!$F$16:$F$20</c15:sqref>
                        </c15:formulaRef>
                      </c:ext>
                    </c:extLst>
                    <c:numCache>
                      <c:formatCode>General</c:formatCode>
                      <c:ptCount val="5"/>
                      <c:pt idx="0">
                        <c:v>0</c:v>
                      </c:pt>
                      <c:pt idx="1">
                        <c:v>0.78539816339744828</c:v>
                      </c:pt>
                      <c:pt idx="2">
                        <c:v>1.5707963267948966</c:v>
                      </c:pt>
                      <c:pt idx="3">
                        <c:v>2.3561944901923448</c:v>
                      </c:pt>
                      <c:pt idx="4">
                        <c:v>3.1415926535897931</c:v>
                      </c:pt>
                    </c:numCache>
                  </c:numRef>
                </c:xVal>
                <c:yVal>
                  <c:numRef>
                    <c:extLst xmlns:c15="http://schemas.microsoft.com/office/drawing/2012/chart">
                      <c:ext xmlns:c15="http://schemas.microsoft.com/office/drawing/2012/chart" uri="{02D57815-91ED-43cb-92C2-25804820EDAC}">
                        <c15:formulaRef>
                          <c15:sqref>'1.4.1'!$G$16:$G$20</c15:sqref>
                        </c15:formulaRef>
                      </c:ext>
                    </c:extLst>
                    <c:numCache>
                      <c:formatCode>General</c:formatCode>
                      <c:ptCount val="5"/>
                      <c:pt idx="0">
                        <c:v>0</c:v>
                      </c:pt>
                      <c:pt idx="1">
                        <c:v>0.70710678118654746</c:v>
                      </c:pt>
                      <c:pt idx="2">
                        <c:v>1</c:v>
                      </c:pt>
                      <c:pt idx="3">
                        <c:v>0.70710678118654757</c:v>
                      </c:pt>
                      <c:pt idx="4">
                        <c:v>1.22514845490862E-16</c:v>
                      </c:pt>
                    </c:numCache>
                  </c:numRef>
                </c:yVal>
                <c:smooth val="0"/>
                <c:extLst xmlns:c15="http://schemas.microsoft.com/office/drawing/2012/chart">
                  <c:ext xmlns:c16="http://schemas.microsoft.com/office/drawing/2014/chart" uri="{C3380CC4-5D6E-409C-BE32-E72D297353CC}">
                    <c16:uniqueId val="{00000004-2A56-4468-951A-796045438EBC}"/>
                  </c:ext>
                </c:extLst>
              </c15:ser>
            </c15:filteredScatterSeries>
          </c:ext>
        </c:extLst>
      </c:scatterChart>
      <c:valAx>
        <c:axId val="374146255"/>
        <c:scaling>
          <c:orientation val="minMax"/>
          <c:max val="3.1419999999999999"/>
          <c:min val="0"/>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x</a:t>
                </a:r>
                <a:r>
                  <a:rPr lang="en-GB" b="1" baseline="0"/>
                  <a:t> (Radians)</a:t>
                </a:r>
                <a:endParaRPr lang="en-GB"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in"/>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699231"/>
        <c:crosses val="autoZero"/>
        <c:crossBetween val="midCat"/>
      </c:valAx>
      <c:valAx>
        <c:axId val="880699231"/>
        <c:scaling>
          <c:orientation val="minMax"/>
          <c:max val="1.1000000000000001"/>
          <c:min val="0"/>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y</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in"/>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146255"/>
        <c:crosses val="autoZero"/>
        <c:crossBetween val="midCat"/>
      </c:valAx>
      <c:spPr>
        <a:noFill/>
        <a:ln w="12700">
          <a:solidFill>
            <a:sysClr val="windowText" lastClr="000000"/>
          </a:solidFill>
        </a:ln>
        <a:effectLst/>
      </c:spPr>
    </c:plotArea>
    <c:legend>
      <c:legendPos val="r"/>
      <c:legendEntry>
        <c:idx val="2"/>
        <c:delete val="1"/>
      </c:legendEntry>
      <c:layout>
        <c:manualLayout>
          <c:xMode val="edge"/>
          <c:yMode val="edge"/>
          <c:x val="0.72664320622342593"/>
          <c:y val="4.5096674699623265E-2"/>
          <c:w val="0.19303124529815938"/>
          <c:h val="0.14666159774218077"/>
        </c:manualLayout>
      </c:layout>
      <c:overlay val="0"/>
      <c:spPr>
        <a:noFill/>
        <a:ln w="6350">
          <a:solidFill>
            <a:schemeClr val="tx1"/>
          </a:solidFill>
        </a:ln>
        <a:effectLst/>
      </c:spPr>
      <c:txPr>
        <a:bodyPr rot="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COMSOL</a:t>
            </a:r>
          </a:p>
        </c:rich>
      </c:tx>
      <c:layout>
        <c:manualLayout>
          <c:xMode val="edge"/>
          <c:yMode val="edge"/>
          <c:x val="0.42021409770466533"/>
          <c:y val="1.91929660046478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503829511899294"/>
          <c:y val="0.13249607167590485"/>
          <c:w val="0.81433652691563441"/>
          <c:h val="0.78254709549596235"/>
        </c:manualLayout>
      </c:layout>
      <c:scatterChart>
        <c:scatterStyle val="smoothMarker"/>
        <c:varyColors val="0"/>
        <c:ser>
          <c:idx val="0"/>
          <c:order val="0"/>
          <c:tx>
            <c:v>COMSOL</c:v>
          </c:tx>
          <c:spPr>
            <a:ln w="19050" cap="rnd">
              <a:solidFill>
                <a:schemeClr val="accent1"/>
              </a:solidFill>
              <a:round/>
            </a:ln>
            <a:effectLst/>
          </c:spPr>
          <c:marker>
            <c:symbol val="none"/>
          </c:marker>
          <c:xVal>
            <c:numRef>
              <c:f>'2.3.1'!$A$3:$A$503</c:f>
              <c:numCache>
                <c:formatCode>General</c:formatCode>
                <c:ptCount val="501"/>
                <c:pt idx="0">
                  <c:v>0</c:v>
                </c:pt>
                <c:pt idx="1">
                  <c:v>0.08</c:v>
                </c:pt>
                <c:pt idx="2">
                  <c:v>0.16</c:v>
                </c:pt>
                <c:pt idx="3">
                  <c:v>0.24</c:v>
                </c:pt>
                <c:pt idx="4">
                  <c:v>0.32</c:v>
                </c:pt>
                <c:pt idx="5">
                  <c:v>0.4</c:v>
                </c:pt>
                <c:pt idx="6">
                  <c:v>0.48</c:v>
                </c:pt>
                <c:pt idx="7">
                  <c:v>0.56000000000000005</c:v>
                </c:pt>
                <c:pt idx="8">
                  <c:v>0.64</c:v>
                </c:pt>
                <c:pt idx="9">
                  <c:v>0.72</c:v>
                </c:pt>
                <c:pt idx="10">
                  <c:v>0.8</c:v>
                </c:pt>
                <c:pt idx="11">
                  <c:v>0.88</c:v>
                </c:pt>
                <c:pt idx="12">
                  <c:v>0.96</c:v>
                </c:pt>
                <c:pt idx="13">
                  <c:v>1.04</c:v>
                </c:pt>
                <c:pt idx="14">
                  <c:v>1.1200000000000001</c:v>
                </c:pt>
                <c:pt idx="15">
                  <c:v>1.2</c:v>
                </c:pt>
                <c:pt idx="16">
                  <c:v>1.28</c:v>
                </c:pt>
                <c:pt idx="17">
                  <c:v>1.36</c:v>
                </c:pt>
                <c:pt idx="18">
                  <c:v>1.44</c:v>
                </c:pt>
                <c:pt idx="19">
                  <c:v>1.52</c:v>
                </c:pt>
                <c:pt idx="20">
                  <c:v>1.6</c:v>
                </c:pt>
                <c:pt idx="21">
                  <c:v>1.68</c:v>
                </c:pt>
                <c:pt idx="22">
                  <c:v>1.76</c:v>
                </c:pt>
                <c:pt idx="23">
                  <c:v>1.84</c:v>
                </c:pt>
                <c:pt idx="24">
                  <c:v>1.92</c:v>
                </c:pt>
                <c:pt idx="25">
                  <c:v>2</c:v>
                </c:pt>
                <c:pt idx="26">
                  <c:v>2.08</c:v>
                </c:pt>
                <c:pt idx="27">
                  <c:v>2.16</c:v>
                </c:pt>
                <c:pt idx="28">
                  <c:v>2.2400000000000002</c:v>
                </c:pt>
                <c:pt idx="29">
                  <c:v>2.3199999999999998</c:v>
                </c:pt>
                <c:pt idx="30">
                  <c:v>2.4</c:v>
                </c:pt>
                <c:pt idx="31">
                  <c:v>2.48</c:v>
                </c:pt>
                <c:pt idx="32">
                  <c:v>2.56</c:v>
                </c:pt>
                <c:pt idx="33">
                  <c:v>2.64</c:v>
                </c:pt>
                <c:pt idx="34">
                  <c:v>2.72</c:v>
                </c:pt>
                <c:pt idx="35">
                  <c:v>2.8</c:v>
                </c:pt>
                <c:pt idx="36">
                  <c:v>2.88</c:v>
                </c:pt>
                <c:pt idx="37">
                  <c:v>2.96</c:v>
                </c:pt>
                <c:pt idx="38">
                  <c:v>3.04</c:v>
                </c:pt>
                <c:pt idx="39">
                  <c:v>3.12</c:v>
                </c:pt>
                <c:pt idx="40">
                  <c:v>3.2</c:v>
                </c:pt>
                <c:pt idx="41">
                  <c:v>3.28</c:v>
                </c:pt>
                <c:pt idx="42">
                  <c:v>3.36</c:v>
                </c:pt>
                <c:pt idx="43">
                  <c:v>3.44</c:v>
                </c:pt>
                <c:pt idx="44">
                  <c:v>3.52</c:v>
                </c:pt>
                <c:pt idx="45">
                  <c:v>3.6</c:v>
                </c:pt>
                <c:pt idx="46">
                  <c:v>3.68</c:v>
                </c:pt>
                <c:pt idx="47">
                  <c:v>3.76</c:v>
                </c:pt>
                <c:pt idx="48">
                  <c:v>3.84</c:v>
                </c:pt>
                <c:pt idx="49">
                  <c:v>3.92</c:v>
                </c:pt>
                <c:pt idx="50">
                  <c:v>4</c:v>
                </c:pt>
                <c:pt idx="51">
                  <c:v>4.08</c:v>
                </c:pt>
                <c:pt idx="52">
                  <c:v>4.16</c:v>
                </c:pt>
                <c:pt idx="53">
                  <c:v>4.24</c:v>
                </c:pt>
                <c:pt idx="54">
                  <c:v>4.32</c:v>
                </c:pt>
                <c:pt idx="55">
                  <c:v>4.4000000000000004</c:v>
                </c:pt>
                <c:pt idx="56">
                  <c:v>4.4800000000000004</c:v>
                </c:pt>
                <c:pt idx="57">
                  <c:v>4.5599999999999996</c:v>
                </c:pt>
                <c:pt idx="58">
                  <c:v>4.6399999999999997</c:v>
                </c:pt>
                <c:pt idx="59">
                  <c:v>4.72</c:v>
                </c:pt>
                <c:pt idx="60">
                  <c:v>4.8</c:v>
                </c:pt>
                <c:pt idx="61">
                  <c:v>4.88</c:v>
                </c:pt>
                <c:pt idx="62">
                  <c:v>4.96</c:v>
                </c:pt>
                <c:pt idx="63">
                  <c:v>5.04</c:v>
                </c:pt>
                <c:pt idx="64">
                  <c:v>5.12</c:v>
                </c:pt>
                <c:pt idx="65">
                  <c:v>5.2</c:v>
                </c:pt>
                <c:pt idx="66">
                  <c:v>5.28</c:v>
                </c:pt>
                <c:pt idx="67">
                  <c:v>5.36</c:v>
                </c:pt>
                <c:pt idx="68">
                  <c:v>5.44</c:v>
                </c:pt>
                <c:pt idx="69">
                  <c:v>5.52</c:v>
                </c:pt>
                <c:pt idx="70">
                  <c:v>5.6</c:v>
                </c:pt>
                <c:pt idx="71">
                  <c:v>5.68</c:v>
                </c:pt>
                <c:pt idx="72">
                  <c:v>5.76</c:v>
                </c:pt>
                <c:pt idx="73">
                  <c:v>5.84</c:v>
                </c:pt>
                <c:pt idx="74">
                  <c:v>5.92</c:v>
                </c:pt>
                <c:pt idx="75">
                  <c:v>6</c:v>
                </c:pt>
                <c:pt idx="76">
                  <c:v>6.08</c:v>
                </c:pt>
                <c:pt idx="77">
                  <c:v>6.16</c:v>
                </c:pt>
                <c:pt idx="78">
                  <c:v>6.24</c:v>
                </c:pt>
                <c:pt idx="79">
                  <c:v>6.32</c:v>
                </c:pt>
                <c:pt idx="80">
                  <c:v>6.4</c:v>
                </c:pt>
                <c:pt idx="81">
                  <c:v>6.48</c:v>
                </c:pt>
                <c:pt idx="82">
                  <c:v>6.56</c:v>
                </c:pt>
                <c:pt idx="83">
                  <c:v>6.64</c:v>
                </c:pt>
                <c:pt idx="84">
                  <c:v>6.72</c:v>
                </c:pt>
                <c:pt idx="85">
                  <c:v>6.8</c:v>
                </c:pt>
                <c:pt idx="86">
                  <c:v>6.88</c:v>
                </c:pt>
                <c:pt idx="87">
                  <c:v>6.96</c:v>
                </c:pt>
                <c:pt idx="88">
                  <c:v>7.04</c:v>
                </c:pt>
                <c:pt idx="89">
                  <c:v>7.12</c:v>
                </c:pt>
                <c:pt idx="90">
                  <c:v>7.2</c:v>
                </c:pt>
                <c:pt idx="91">
                  <c:v>7.28</c:v>
                </c:pt>
                <c:pt idx="92">
                  <c:v>7.36</c:v>
                </c:pt>
                <c:pt idx="93">
                  <c:v>7.44</c:v>
                </c:pt>
                <c:pt idx="94">
                  <c:v>7.52</c:v>
                </c:pt>
                <c:pt idx="95">
                  <c:v>7.6</c:v>
                </c:pt>
                <c:pt idx="96">
                  <c:v>7.68</c:v>
                </c:pt>
                <c:pt idx="97">
                  <c:v>7.76</c:v>
                </c:pt>
                <c:pt idx="98">
                  <c:v>7.84</c:v>
                </c:pt>
                <c:pt idx="99">
                  <c:v>7.92</c:v>
                </c:pt>
                <c:pt idx="100">
                  <c:v>8</c:v>
                </c:pt>
                <c:pt idx="101">
                  <c:v>8.08</c:v>
                </c:pt>
                <c:pt idx="102">
                  <c:v>8.16</c:v>
                </c:pt>
                <c:pt idx="103">
                  <c:v>8.24</c:v>
                </c:pt>
                <c:pt idx="104">
                  <c:v>8.32</c:v>
                </c:pt>
                <c:pt idx="105">
                  <c:v>8.4</c:v>
                </c:pt>
                <c:pt idx="106">
                  <c:v>8.48</c:v>
                </c:pt>
                <c:pt idx="107">
                  <c:v>8.56</c:v>
                </c:pt>
                <c:pt idx="108">
                  <c:v>8.64</c:v>
                </c:pt>
                <c:pt idx="109">
                  <c:v>8.7200000000000006</c:v>
                </c:pt>
                <c:pt idx="110">
                  <c:v>8.8000000000000007</c:v>
                </c:pt>
                <c:pt idx="111">
                  <c:v>8.8800000000000008</c:v>
                </c:pt>
                <c:pt idx="112">
                  <c:v>8.9600000000000009</c:v>
                </c:pt>
                <c:pt idx="113">
                  <c:v>9.0399999999999991</c:v>
                </c:pt>
                <c:pt idx="114">
                  <c:v>9.1199999999999992</c:v>
                </c:pt>
                <c:pt idx="115">
                  <c:v>9.1999999999999993</c:v>
                </c:pt>
                <c:pt idx="116">
                  <c:v>9.2799999999999994</c:v>
                </c:pt>
                <c:pt idx="117">
                  <c:v>9.36</c:v>
                </c:pt>
                <c:pt idx="118">
                  <c:v>9.44</c:v>
                </c:pt>
                <c:pt idx="119">
                  <c:v>9.52</c:v>
                </c:pt>
                <c:pt idx="120">
                  <c:v>9.6</c:v>
                </c:pt>
                <c:pt idx="121">
                  <c:v>9.68</c:v>
                </c:pt>
                <c:pt idx="122">
                  <c:v>9.76</c:v>
                </c:pt>
                <c:pt idx="123">
                  <c:v>9.84</c:v>
                </c:pt>
                <c:pt idx="124">
                  <c:v>9.92</c:v>
                </c:pt>
                <c:pt idx="125">
                  <c:v>10</c:v>
                </c:pt>
                <c:pt idx="126">
                  <c:v>10.08</c:v>
                </c:pt>
                <c:pt idx="127">
                  <c:v>10.16</c:v>
                </c:pt>
                <c:pt idx="128">
                  <c:v>10.24</c:v>
                </c:pt>
                <c:pt idx="129">
                  <c:v>10.32</c:v>
                </c:pt>
                <c:pt idx="130">
                  <c:v>10.4</c:v>
                </c:pt>
                <c:pt idx="131">
                  <c:v>10.48</c:v>
                </c:pt>
                <c:pt idx="132">
                  <c:v>10.56</c:v>
                </c:pt>
                <c:pt idx="133">
                  <c:v>10.64</c:v>
                </c:pt>
                <c:pt idx="134">
                  <c:v>10.72</c:v>
                </c:pt>
                <c:pt idx="135">
                  <c:v>10.8</c:v>
                </c:pt>
                <c:pt idx="136">
                  <c:v>10.88</c:v>
                </c:pt>
                <c:pt idx="137">
                  <c:v>10.96</c:v>
                </c:pt>
                <c:pt idx="138">
                  <c:v>11.04</c:v>
                </c:pt>
                <c:pt idx="139">
                  <c:v>11.12</c:v>
                </c:pt>
                <c:pt idx="140">
                  <c:v>11.2</c:v>
                </c:pt>
                <c:pt idx="141">
                  <c:v>11.28</c:v>
                </c:pt>
                <c:pt idx="142">
                  <c:v>11.36</c:v>
                </c:pt>
                <c:pt idx="143">
                  <c:v>11.44</c:v>
                </c:pt>
                <c:pt idx="144">
                  <c:v>11.52</c:v>
                </c:pt>
                <c:pt idx="145">
                  <c:v>11.6</c:v>
                </c:pt>
                <c:pt idx="146">
                  <c:v>11.68</c:v>
                </c:pt>
                <c:pt idx="147">
                  <c:v>11.76</c:v>
                </c:pt>
                <c:pt idx="148">
                  <c:v>11.84</c:v>
                </c:pt>
                <c:pt idx="149">
                  <c:v>11.92</c:v>
                </c:pt>
                <c:pt idx="150">
                  <c:v>12</c:v>
                </c:pt>
                <c:pt idx="151">
                  <c:v>12.08</c:v>
                </c:pt>
                <c:pt idx="152">
                  <c:v>12.16</c:v>
                </c:pt>
                <c:pt idx="153">
                  <c:v>12.24</c:v>
                </c:pt>
                <c:pt idx="154">
                  <c:v>12.32</c:v>
                </c:pt>
                <c:pt idx="155">
                  <c:v>12.4</c:v>
                </c:pt>
                <c:pt idx="156">
                  <c:v>12.48</c:v>
                </c:pt>
                <c:pt idx="157">
                  <c:v>12.56</c:v>
                </c:pt>
                <c:pt idx="158">
                  <c:v>12.64</c:v>
                </c:pt>
                <c:pt idx="159">
                  <c:v>12.72</c:v>
                </c:pt>
                <c:pt idx="160">
                  <c:v>12.8</c:v>
                </c:pt>
                <c:pt idx="161">
                  <c:v>12.88</c:v>
                </c:pt>
                <c:pt idx="162">
                  <c:v>12.96</c:v>
                </c:pt>
                <c:pt idx="163">
                  <c:v>13.04</c:v>
                </c:pt>
                <c:pt idx="164">
                  <c:v>13.12</c:v>
                </c:pt>
                <c:pt idx="165">
                  <c:v>13.2</c:v>
                </c:pt>
                <c:pt idx="166">
                  <c:v>13.28</c:v>
                </c:pt>
                <c:pt idx="167">
                  <c:v>13.36</c:v>
                </c:pt>
                <c:pt idx="168">
                  <c:v>13.44</c:v>
                </c:pt>
                <c:pt idx="169">
                  <c:v>13.52</c:v>
                </c:pt>
                <c:pt idx="170">
                  <c:v>13.6</c:v>
                </c:pt>
                <c:pt idx="171">
                  <c:v>13.68</c:v>
                </c:pt>
                <c:pt idx="172">
                  <c:v>13.76</c:v>
                </c:pt>
                <c:pt idx="173">
                  <c:v>13.84</c:v>
                </c:pt>
                <c:pt idx="174">
                  <c:v>13.92</c:v>
                </c:pt>
                <c:pt idx="175">
                  <c:v>14</c:v>
                </c:pt>
                <c:pt idx="176">
                  <c:v>14.08</c:v>
                </c:pt>
                <c:pt idx="177">
                  <c:v>14.16</c:v>
                </c:pt>
                <c:pt idx="178">
                  <c:v>14.24</c:v>
                </c:pt>
                <c:pt idx="179">
                  <c:v>14.32</c:v>
                </c:pt>
                <c:pt idx="180">
                  <c:v>14.4</c:v>
                </c:pt>
                <c:pt idx="181">
                  <c:v>14.48</c:v>
                </c:pt>
                <c:pt idx="182">
                  <c:v>14.56</c:v>
                </c:pt>
                <c:pt idx="183">
                  <c:v>14.64</c:v>
                </c:pt>
                <c:pt idx="184">
                  <c:v>14.72</c:v>
                </c:pt>
                <c:pt idx="185">
                  <c:v>14.8</c:v>
                </c:pt>
                <c:pt idx="186">
                  <c:v>14.88</c:v>
                </c:pt>
                <c:pt idx="187">
                  <c:v>14.96</c:v>
                </c:pt>
                <c:pt idx="188">
                  <c:v>15.04</c:v>
                </c:pt>
                <c:pt idx="189">
                  <c:v>15.12</c:v>
                </c:pt>
                <c:pt idx="190">
                  <c:v>15.2</c:v>
                </c:pt>
                <c:pt idx="191">
                  <c:v>15.28</c:v>
                </c:pt>
                <c:pt idx="192">
                  <c:v>15.36</c:v>
                </c:pt>
                <c:pt idx="193">
                  <c:v>15.44</c:v>
                </c:pt>
                <c:pt idx="194">
                  <c:v>15.52</c:v>
                </c:pt>
                <c:pt idx="195">
                  <c:v>15.6</c:v>
                </c:pt>
                <c:pt idx="196">
                  <c:v>15.68</c:v>
                </c:pt>
                <c:pt idx="197">
                  <c:v>15.76</c:v>
                </c:pt>
                <c:pt idx="198">
                  <c:v>15.84</c:v>
                </c:pt>
                <c:pt idx="199">
                  <c:v>15.92</c:v>
                </c:pt>
                <c:pt idx="200">
                  <c:v>16</c:v>
                </c:pt>
                <c:pt idx="201">
                  <c:v>16.079999999999998</c:v>
                </c:pt>
                <c:pt idx="202">
                  <c:v>16.16</c:v>
                </c:pt>
                <c:pt idx="203">
                  <c:v>16.239999999999998</c:v>
                </c:pt>
                <c:pt idx="204">
                  <c:v>16.32</c:v>
                </c:pt>
                <c:pt idx="205">
                  <c:v>16.399999999999999</c:v>
                </c:pt>
                <c:pt idx="206">
                  <c:v>16.48</c:v>
                </c:pt>
                <c:pt idx="207">
                  <c:v>16.559999999999999</c:v>
                </c:pt>
                <c:pt idx="208">
                  <c:v>16.64</c:v>
                </c:pt>
                <c:pt idx="209">
                  <c:v>16.72</c:v>
                </c:pt>
                <c:pt idx="210">
                  <c:v>16.8</c:v>
                </c:pt>
                <c:pt idx="211">
                  <c:v>16.88</c:v>
                </c:pt>
                <c:pt idx="212">
                  <c:v>16.96</c:v>
                </c:pt>
                <c:pt idx="213">
                  <c:v>17.04</c:v>
                </c:pt>
                <c:pt idx="214">
                  <c:v>17.12</c:v>
                </c:pt>
                <c:pt idx="215">
                  <c:v>17.2</c:v>
                </c:pt>
                <c:pt idx="216">
                  <c:v>17.28</c:v>
                </c:pt>
                <c:pt idx="217">
                  <c:v>17.36</c:v>
                </c:pt>
                <c:pt idx="218">
                  <c:v>17.440000000000001</c:v>
                </c:pt>
                <c:pt idx="219">
                  <c:v>17.52</c:v>
                </c:pt>
                <c:pt idx="220">
                  <c:v>17.600000000000001</c:v>
                </c:pt>
                <c:pt idx="221">
                  <c:v>17.68</c:v>
                </c:pt>
                <c:pt idx="222">
                  <c:v>17.760000000000002</c:v>
                </c:pt>
                <c:pt idx="223">
                  <c:v>17.84</c:v>
                </c:pt>
                <c:pt idx="224">
                  <c:v>17.920000000000002</c:v>
                </c:pt>
                <c:pt idx="225">
                  <c:v>18</c:v>
                </c:pt>
                <c:pt idx="226">
                  <c:v>18.079999999999998</c:v>
                </c:pt>
                <c:pt idx="227">
                  <c:v>18.16</c:v>
                </c:pt>
                <c:pt idx="228">
                  <c:v>18.239999999999998</c:v>
                </c:pt>
                <c:pt idx="229">
                  <c:v>18.32</c:v>
                </c:pt>
                <c:pt idx="230">
                  <c:v>18.399999999999999</c:v>
                </c:pt>
                <c:pt idx="231">
                  <c:v>18.48</c:v>
                </c:pt>
                <c:pt idx="232">
                  <c:v>18.559999999999999</c:v>
                </c:pt>
                <c:pt idx="233">
                  <c:v>18.64</c:v>
                </c:pt>
                <c:pt idx="234">
                  <c:v>18.72</c:v>
                </c:pt>
                <c:pt idx="235">
                  <c:v>18.8</c:v>
                </c:pt>
                <c:pt idx="236">
                  <c:v>18.88</c:v>
                </c:pt>
                <c:pt idx="237">
                  <c:v>18.96</c:v>
                </c:pt>
                <c:pt idx="238">
                  <c:v>19.04</c:v>
                </c:pt>
                <c:pt idx="239">
                  <c:v>19.12</c:v>
                </c:pt>
                <c:pt idx="240">
                  <c:v>19.2</c:v>
                </c:pt>
                <c:pt idx="241">
                  <c:v>19.28</c:v>
                </c:pt>
                <c:pt idx="242">
                  <c:v>19.36</c:v>
                </c:pt>
                <c:pt idx="243">
                  <c:v>19.440000000000001</c:v>
                </c:pt>
                <c:pt idx="244">
                  <c:v>19.52</c:v>
                </c:pt>
                <c:pt idx="245">
                  <c:v>19.600000000000001</c:v>
                </c:pt>
                <c:pt idx="246">
                  <c:v>19.68</c:v>
                </c:pt>
                <c:pt idx="247">
                  <c:v>19.760000000000002</c:v>
                </c:pt>
                <c:pt idx="248">
                  <c:v>19.84</c:v>
                </c:pt>
                <c:pt idx="249">
                  <c:v>19.920000000000002</c:v>
                </c:pt>
                <c:pt idx="250">
                  <c:v>20</c:v>
                </c:pt>
                <c:pt idx="251">
                  <c:v>20.079999999999998</c:v>
                </c:pt>
                <c:pt idx="252">
                  <c:v>20.16</c:v>
                </c:pt>
                <c:pt idx="253">
                  <c:v>20.239999999999998</c:v>
                </c:pt>
                <c:pt idx="254">
                  <c:v>20.32</c:v>
                </c:pt>
                <c:pt idx="255">
                  <c:v>20.399999999999999</c:v>
                </c:pt>
                <c:pt idx="256">
                  <c:v>20.48</c:v>
                </c:pt>
                <c:pt idx="257">
                  <c:v>20.56</c:v>
                </c:pt>
                <c:pt idx="258">
                  <c:v>20.64</c:v>
                </c:pt>
                <c:pt idx="259">
                  <c:v>20.72</c:v>
                </c:pt>
                <c:pt idx="260">
                  <c:v>20.8</c:v>
                </c:pt>
                <c:pt idx="261">
                  <c:v>20.88</c:v>
                </c:pt>
                <c:pt idx="262">
                  <c:v>20.96</c:v>
                </c:pt>
                <c:pt idx="263">
                  <c:v>21.04</c:v>
                </c:pt>
                <c:pt idx="264">
                  <c:v>21.12</c:v>
                </c:pt>
                <c:pt idx="265">
                  <c:v>21.2</c:v>
                </c:pt>
                <c:pt idx="266">
                  <c:v>21.28</c:v>
                </c:pt>
                <c:pt idx="267">
                  <c:v>21.36</c:v>
                </c:pt>
                <c:pt idx="268">
                  <c:v>21.44</c:v>
                </c:pt>
                <c:pt idx="269">
                  <c:v>21.52</c:v>
                </c:pt>
                <c:pt idx="270">
                  <c:v>21.6</c:v>
                </c:pt>
                <c:pt idx="271">
                  <c:v>21.68</c:v>
                </c:pt>
                <c:pt idx="272">
                  <c:v>21.76</c:v>
                </c:pt>
                <c:pt idx="273">
                  <c:v>21.84</c:v>
                </c:pt>
                <c:pt idx="274">
                  <c:v>21.92</c:v>
                </c:pt>
                <c:pt idx="275">
                  <c:v>22</c:v>
                </c:pt>
                <c:pt idx="276">
                  <c:v>22.08</c:v>
                </c:pt>
                <c:pt idx="277">
                  <c:v>22.16</c:v>
                </c:pt>
                <c:pt idx="278">
                  <c:v>22.24</c:v>
                </c:pt>
                <c:pt idx="279">
                  <c:v>22.32</c:v>
                </c:pt>
                <c:pt idx="280">
                  <c:v>22.4</c:v>
                </c:pt>
                <c:pt idx="281">
                  <c:v>22.48</c:v>
                </c:pt>
                <c:pt idx="282">
                  <c:v>22.56</c:v>
                </c:pt>
                <c:pt idx="283">
                  <c:v>22.64</c:v>
                </c:pt>
                <c:pt idx="284">
                  <c:v>22.72</c:v>
                </c:pt>
                <c:pt idx="285">
                  <c:v>22.8</c:v>
                </c:pt>
                <c:pt idx="286">
                  <c:v>22.88</c:v>
                </c:pt>
                <c:pt idx="287">
                  <c:v>22.96</c:v>
                </c:pt>
                <c:pt idx="288">
                  <c:v>23.04</c:v>
                </c:pt>
                <c:pt idx="289">
                  <c:v>23.12</c:v>
                </c:pt>
                <c:pt idx="290">
                  <c:v>23.2</c:v>
                </c:pt>
                <c:pt idx="291">
                  <c:v>23.28</c:v>
                </c:pt>
                <c:pt idx="292">
                  <c:v>23.36</c:v>
                </c:pt>
                <c:pt idx="293">
                  <c:v>23.44</c:v>
                </c:pt>
                <c:pt idx="294">
                  <c:v>23.52</c:v>
                </c:pt>
                <c:pt idx="295">
                  <c:v>23.6</c:v>
                </c:pt>
                <c:pt idx="296">
                  <c:v>23.68</c:v>
                </c:pt>
                <c:pt idx="297">
                  <c:v>23.76</c:v>
                </c:pt>
                <c:pt idx="298">
                  <c:v>23.84</c:v>
                </c:pt>
                <c:pt idx="299">
                  <c:v>23.92</c:v>
                </c:pt>
                <c:pt idx="300">
                  <c:v>24</c:v>
                </c:pt>
                <c:pt idx="301">
                  <c:v>24.08</c:v>
                </c:pt>
                <c:pt idx="302">
                  <c:v>24.16</c:v>
                </c:pt>
                <c:pt idx="303">
                  <c:v>24.24</c:v>
                </c:pt>
                <c:pt idx="304">
                  <c:v>24.32</c:v>
                </c:pt>
                <c:pt idx="305">
                  <c:v>24.4</c:v>
                </c:pt>
                <c:pt idx="306">
                  <c:v>24.48</c:v>
                </c:pt>
                <c:pt idx="307">
                  <c:v>24.56</c:v>
                </c:pt>
                <c:pt idx="308">
                  <c:v>24.64</c:v>
                </c:pt>
                <c:pt idx="309">
                  <c:v>24.72</c:v>
                </c:pt>
                <c:pt idx="310">
                  <c:v>24.8</c:v>
                </c:pt>
                <c:pt idx="311">
                  <c:v>24.88</c:v>
                </c:pt>
                <c:pt idx="312">
                  <c:v>24.96</c:v>
                </c:pt>
                <c:pt idx="313">
                  <c:v>25.04</c:v>
                </c:pt>
                <c:pt idx="314">
                  <c:v>25.12</c:v>
                </c:pt>
                <c:pt idx="315">
                  <c:v>25.2</c:v>
                </c:pt>
                <c:pt idx="316">
                  <c:v>25.28</c:v>
                </c:pt>
                <c:pt idx="317">
                  <c:v>25.36</c:v>
                </c:pt>
                <c:pt idx="318">
                  <c:v>25.44</c:v>
                </c:pt>
                <c:pt idx="319">
                  <c:v>25.52</c:v>
                </c:pt>
                <c:pt idx="320">
                  <c:v>25.6</c:v>
                </c:pt>
                <c:pt idx="321">
                  <c:v>25.68</c:v>
                </c:pt>
                <c:pt idx="322">
                  <c:v>25.76</c:v>
                </c:pt>
                <c:pt idx="323">
                  <c:v>25.84</c:v>
                </c:pt>
                <c:pt idx="324">
                  <c:v>25.92</c:v>
                </c:pt>
                <c:pt idx="325">
                  <c:v>26</c:v>
                </c:pt>
                <c:pt idx="326">
                  <c:v>26.08</c:v>
                </c:pt>
                <c:pt idx="327">
                  <c:v>26.16</c:v>
                </c:pt>
                <c:pt idx="328">
                  <c:v>26.24</c:v>
                </c:pt>
                <c:pt idx="329">
                  <c:v>26.32</c:v>
                </c:pt>
                <c:pt idx="330">
                  <c:v>26.4</c:v>
                </c:pt>
                <c:pt idx="331">
                  <c:v>26.48</c:v>
                </c:pt>
                <c:pt idx="332">
                  <c:v>26.56</c:v>
                </c:pt>
                <c:pt idx="333">
                  <c:v>26.64</c:v>
                </c:pt>
                <c:pt idx="334">
                  <c:v>26.72</c:v>
                </c:pt>
                <c:pt idx="335">
                  <c:v>26.8</c:v>
                </c:pt>
                <c:pt idx="336">
                  <c:v>26.88</c:v>
                </c:pt>
                <c:pt idx="337">
                  <c:v>26.96</c:v>
                </c:pt>
                <c:pt idx="338">
                  <c:v>27.04</c:v>
                </c:pt>
                <c:pt idx="339">
                  <c:v>27.12</c:v>
                </c:pt>
                <c:pt idx="340">
                  <c:v>27.2</c:v>
                </c:pt>
                <c:pt idx="341">
                  <c:v>27.28</c:v>
                </c:pt>
                <c:pt idx="342">
                  <c:v>27.36</c:v>
                </c:pt>
                <c:pt idx="343">
                  <c:v>27.44</c:v>
                </c:pt>
                <c:pt idx="344">
                  <c:v>27.52</c:v>
                </c:pt>
                <c:pt idx="345">
                  <c:v>27.6</c:v>
                </c:pt>
                <c:pt idx="346">
                  <c:v>27.68</c:v>
                </c:pt>
                <c:pt idx="347">
                  <c:v>27.76</c:v>
                </c:pt>
                <c:pt idx="348">
                  <c:v>27.84</c:v>
                </c:pt>
                <c:pt idx="349">
                  <c:v>27.92</c:v>
                </c:pt>
                <c:pt idx="350">
                  <c:v>28</c:v>
                </c:pt>
                <c:pt idx="351">
                  <c:v>28.08</c:v>
                </c:pt>
                <c:pt idx="352">
                  <c:v>28.16</c:v>
                </c:pt>
                <c:pt idx="353">
                  <c:v>28.24</c:v>
                </c:pt>
                <c:pt idx="354">
                  <c:v>28.32</c:v>
                </c:pt>
                <c:pt idx="355">
                  <c:v>28.4</c:v>
                </c:pt>
                <c:pt idx="356">
                  <c:v>28.48</c:v>
                </c:pt>
                <c:pt idx="357">
                  <c:v>28.56</c:v>
                </c:pt>
                <c:pt idx="358">
                  <c:v>28.64</c:v>
                </c:pt>
                <c:pt idx="359">
                  <c:v>28.72</c:v>
                </c:pt>
                <c:pt idx="360">
                  <c:v>28.8</c:v>
                </c:pt>
                <c:pt idx="361">
                  <c:v>28.88</c:v>
                </c:pt>
                <c:pt idx="362">
                  <c:v>28.96</c:v>
                </c:pt>
                <c:pt idx="363">
                  <c:v>29.04</c:v>
                </c:pt>
                <c:pt idx="364">
                  <c:v>29.12</c:v>
                </c:pt>
                <c:pt idx="365">
                  <c:v>29.2</c:v>
                </c:pt>
                <c:pt idx="366">
                  <c:v>29.28</c:v>
                </c:pt>
                <c:pt idx="367">
                  <c:v>29.36</c:v>
                </c:pt>
                <c:pt idx="368">
                  <c:v>29.44</c:v>
                </c:pt>
                <c:pt idx="369">
                  <c:v>29.52</c:v>
                </c:pt>
                <c:pt idx="370">
                  <c:v>29.6</c:v>
                </c:pt>
                <c:pt idx="371">
                  <c:v>29.68</c:v>
                </c:pt>
                <c:pt idx="372">
                  <c:v>29.76</c:v>
                </c:pt>
                <c:pt idx="373">
                  <c:v>29.84</c:v>
                </c:pt>
                <c:pt idx="374">
                  <c:v>29.92</c:v>
                </c:pt>
                <c:pt idx="375">
                  <c:v>30</c:v>
                </c:pt>
                <c:pt idx="376">
                  <c:v>30.08</c:v>
                </c:pt>
                <c:pt idx="377">
                  <c:v>30.16</c:v>
                </c:pt>
                <c:pt idx="378">
                  <c:v>30.24</c:v>
                </c:pt>
                <c:pt idx="379">
                  <c:v>30.32</c:v>
                </c:pt>
                <c:pt idx="380">
                  <c:v>30.4</c:v>
                </c:pt>
                <c:pt idx="381">
                  <c:v>30.48</c:v>
                </c:pt>
                <c:pt idx="382">
                  <c:v>30.56</c:v>
                </c:pt>
                <c:pt idx="383">
                  <c:v>30.64</c:v>
                </c:pt>
                <c:pt idx="384">
                  <c:v>30.72</c:v>
                </c:pt>
                <c:pt idx="385">
                  <c:v>30.8</c:v>
                </c:pt>
                <c:pt idx="386">
                  <c:v>30.88</c:v>
                </c:pt>
                <c:pt idx="387">
                  <c:v>30.96</c:v>
                </c:pt>
                <c:pt idx="388">
                  <c:v>31.04</c:v>
                </c:pt>
                <c:pt idx="389">
                  <c:v>31.12</c:v>
                </c:pt>
                <c:pt idx="390">
                  <c:v>31.2</c:v>
                </c:pt>
                <c:pt idx="391">
                  <c:v>31.28</c:v>
                </c:pt>
                <c:pt idx="392">
                  <c:v>31.36</c:v>
                </c:pt>
                <c:pt idx="393">
                  <c:v>31.44</c:v>
                </c:pt>
                <c:pt idx="394">
                  <c:v>31.52</c:v>
                </c:pt>
                <c:pt idx="395">
                  <c:v>31.6</c:v>
                </c:pt>
                <c:pt idx="396">
                  <c:v>31.68</c:v>
                </c:pt>
                <c:pt idx="397">
                  <c:v>31.76</c:v>
                </c:pt>
                <c:pt idx="398">
                  <c:v>31.84</c:v>
                </c:pt>
                <c:pt idx="399">
                  <c:v>31.92</c:v>
                </c:pt>
                <c:pt idx="400">
                  <c:v>32</c:v>
                </c:pt>
                <c:pt idx="401">
                  <c:v>32.08</c:v>
                </c:pt>
                <c:pt idx="402">
                  <c:v>32.159999999999997</c:v>
                </c:pt>
                <c:pt idx="403">
                  <c:v>32.24</c:v>
                </c:pt>
                <c:pt idx="404">
                  <c:v>32.32</c:v>
                </c:pt>
                <c:pt idx="405">
                  <c:v>32.4</c:v>
                </c:pt>
                <c:pt idx="406">
                  <c:v>32.479999999999997</c:v>
                </c:pt>
                <c:pt idx="407">
                  <c:v>32.56</c:v>
                </c:pt>
                <c:pt idx="408">
                  <c:v>32.64</c:v>
                </c:pt>
                <c:pt idx="409">
                  <c:v>32.72</c:v>
                </c:pt>
                <c:pt idx="410">
                  <c:v>32.799999999999997</c:v>
                </c:pt>
                <c:pt idx="411">
                  <c:v>32.880000000000003</c:v>
                </c:pt>
                <c:pt idx="412">
                  <c:v>32.96</c:v>
                </c:pt>
                <c:pt idx="413">
                  <c:v>33.04</c:v>
                </c:pt>
                <c:pt idx="414">
                  <c:v>33.119999999999997</c:v>
                </c:pt>
                <c:pt idx="415">
                  <c:v>33.200000000000003</c:v>
                </c:pt>
                <c:pt idx="416">
                  <c:v>33.28</c:v>
                </c:pt>
                <c:pt idx="417">
                  <c:v>33.36</c:v>
                </c:pt>
                <c:pt idx="418">
                  <c:v>33.44</c:v>
                </c:pt>
                <c:pt idx="419">
                  <c:v>33.520000000000003</c:v>
                </c:pt>
                <c:pt idx="420">
                  <c:v>33.6</c:v>
                </c:pt>
                <c:pt idx="421">
                  <c:v>33.68</c:v>
                </c:pt>
                <c:pt idx="422">
                  <c:v>33.76</c:v>
                </c:pt>
                <c:pt idx="423">
                  <c:v>33.840000000000003</c:v>
                </c:pt>
                <c:pt idx="424">
                  <c:v>33.92</c:v>
                </c:pt>
                <c:pt idx="425">
                  <c:v>34</c:v>
                </c:pt>
                <c:pt idx="426">
                  <c:v>34.08</c:v>
                </c:pt>
                <c:pt idx="427">
                  <c:v>34.159999999999997</c:v>
                </c:pt>
                <c:pt idx="428">
                  <c:v>34.24</c:v>
                </c:pt>
                <c:pt idx="429">
                  <c:v>34.32</c:v>
                </c:pt>
                <c:pt idx="430">
                  <c:v>34.4</c:v>
                </c:pt>
                <c:pt idx="431">
                  <c:v>34.479999999999997</c:v>
                </c:pt>
                <c:pt idx="432">
                  <c:v>34.56</c:v>
                </c:pt>
                <c:pt idx="433">
                  <c:v>34.64</c:v>
                </c:pt>
                <c:pt idx="434">
                  <c:v>34.72</c:v>
                </c:pt>
                <c:pt idx="435">
                  <c:v>34.799999999999997</c:v>
                </c:pt>
                <c:pt idx="436">
                  <c:v>34.880000000000003</c:v>
                </c:pt>
                <c:pt idx="437">
                  <c:v>34.96</c:v>
                </c:pt>
                <c:pt idx="438">
                  <c:v>35.04</c:v>
                </c:pt>
                <c:pt idx="439">
                  <c:v>35.119999999999997</c:v>
                </c:pt>
                <c:pt idx="440">
                  <c:v>35.200000000000003</c:v>
                </c:pt>
                <c:pt idx="441">
                  <c:v>35.28</c:v>
                </c:pt>
                <c:pt idx="442">
                  <c:v>35.36</c:v>
                </c:pt>
                <c:pt idx="443">
                  <c:v>35.44</c:v>
                </c:pt>
                <c:pt idx="444">
                  <c:v>35.520000000000003</c:v>
                </c:pt>
                <c:pt idx="445">
                  <c:v>35.6</c:v>
                </c:pt>
                <c:pt idx="446">
                  <c:v>35.68</c:v>
                </c:pt>
                <c:pt idx="447">
                  <c:v>35.76</c:v>
                </c:pt>
                <c:pt idx="448">
                  <c:v>35.840000000000003</c:v>
                </c:pt>
                <c:pt idx="449">
                  <c:v>35.92</c:v>
                </c:pt>
                <c:pt idx="450">
                  <c:v>36</c:v>
                </c:pt>
                <c:pt idx="451">
                  <c:v>36.08</c:v>
                </c:pt>
                <c:pt idx="452">
                  <c:v>36.159999999999997</c:v>
                </c:pt>
                <c:pt idx="453">
                  <c:v>36.24</c:v>
                </c:pt>
                <c:pt idx="454">
                  <c:v>36.32</c:v>
                </c:pt>
                <c:pt idx="455">
                  <c:v>36.4</c:v>
                </c:pt>
                <c:pt idx="456">
                  <c:v>36.479999999999997</c:v>
                </c:pt>
                <c:pt idx="457">
                  <c:v>36.56</c:v>
                </c:pt>
                <c:pt idx="458">
                  <c:v>36.64</c:v>
                </c:pt>
                <c:pt idx="459">
                  <c:v>36.72</c:v>
                </c:pt>
                <c:pt idx="460">
                  <c:v>36.799999999999997</c:v>
                </c:pt>
                <c:pt idx="461">
                  <c:v>36.880000000000003</c:v>
                </c:pt>
                <c:pt idx="462">
                  <c:v>36.96</c:v>
                </c:pt>
                <c:pt idx="463">
                  <c:v>37.04</c:v>
                </c:pt>
                <c:pt idx="464">
                  <c:v>37.119999999999997</c:v>
                </c:pt>
                <c:pt idx="465">
                  <c:v>37.200000000000003</c:v>
                </c:pt>
                <c:pt idx="466">
                  <c:v>37.28</c:v>
                </c:pt>
                <c:pt idx="467">
                  <c:v>37.36</c:v>
                </c:pt>
                <c:pt idx="468">
                  <c:v>37.44</c:v>
                </c:pt>
                <c:pt idx="469">
                  <c:v>37.520000000000003</c:v>
                </c:pt>
                <c:pt idx="470">
                  <c:v>37.6</c:v>
                </c:pt>
                <c:pt idx="471">
                  <c:v>37.68</c:v>
                </c:pt>
                <c:pt idx="472">
                  <c:v>37.76</c:v>
                </c:pt>
                <c:pt idx="473">
                  <c:v>37.840000000000003</c:v>
                </c:pt>
                <c:pt idx="474">
                  <c:v>37.92</c:v>
                </c:pt>
                <c:pt idx="475">
                  <c:v>38</c:v>
                </c:pt>
                <c:pt idx="476">
                  <c:v>38.08</c:v>
                </c:pt>
                <c:pt idx="477">
                  <c:v>38.159999999999997</c:v>
                </c:pt>
                <c:pt idx="478">
                  <c:v>38.24</c:v>
                </c:pt>
                <c:pt idx="479">
                  <c:v>38.32</c:v>
                </c:pt>
                <c:pt idx="480">
                  <c:v>38.4</c:v>
                </c:pt>
                <c:pt idx="481">
                  <c:v>38.479999999999997</c:v>
                </c:pt>
                <c:pt idx="482">
                  <c:v>38.56</c:v>
                </c:pt>
                <c:pt idx="483">
                  <c:v>38.64</c:v>
                </c:pt>
                <c:pt idx="484">
                  <c:v>38.72</c:v>
                </c:pt>
                <c:pt idx="485">
                  <c:v>38.799999999999997</c:v>
                </c:pt>
                <c:pt idx="486">
                  <c:v>38.880000000000003</c:v>
                </c:pt>
                <c:pt idx="487">
                  <c:v>38.96</c:v>
                </c:pt>
                <c:pt idx="488">
                  <c:v>39.04</c:v>
                </c:pt>
                <c:pt idx="489">
                  <c:v>39.119999999999997</c:v>
                </c:pt>
                <c:pt idx="490">
                  <c:v>39.200000000000003</c:v>
                </c:pt>
                <c:pt idx="491">
                  <c:v>39.28</c:v>
                </c:pt>
                <c:pt idx="492">
                  <c:v>39.36</c:v>
                </c:pt>
                <c:pt idx="493">
                  <c:v>39.44</c:v>
                </c:pt>
                <c:pt idx="494">
                  <c:v>39.520000000000003</c:v>
                </c:pt>
                <c:pt idx="495">
                  <c:v>39.6</c:v>
                </c:pt>
                <c:pt idx="496">
                  <c:v>39.68</c:v>
                </c:pt>
                <c:pt idx="497">
                  <c:v>39.76</c:v>
                </c:pt>
                <c:pt idx="498">
                  <c:v>39.840000000000003</c:v>
                </c:pt>
                <c:pt idx="499">
                  <c:v>39.92</c:v>
                </c:pt>
                <c:pt idx="500">
                  <c:v>40</c:v>
                </c:pt>
              </c:numCache>
            </c:numRef>
          </c:xVal>
          <c:yVal>
            <c:numRef>
              <c:f>'2.3.1'!$B$3:$B$503</c:f>
              <c:numCache>
                <c:formatCode>0.00E+00</c:formatCode>
                <c:ptCount val="501"/>
                <c:pt idx="0" formatCode="General">
                  <c:v>0</c:v>
                </c:pt>
                <c:pt idx="1">
                  <c:v>-1.23E-14</c:v>
                </c:pt>
                <c:pt idx="2">
                  <c:v>-2.4600000000000001E-14</c:v>
                </c:pt>
                <c:pt idx="3">
                  <c:v>-3.6899999999999999E-14</c:v>
                </c:pt>
                <c:pt idx="4">
                  <c:v>-4.9200000000000001E-14</c:v>
                </c:pt>
                <c:pt idx="5">
                  <c:v>-6.1500000000000003E-14</c:v>
                </c:pt>
                <c:pt idx="6">
                  <c:v>-7.3799999999999999E-14</c:v>
                </c:pt>
                <c:pt idx="7">
                  <c:v>-8.6099999999999994E-14</c:v>
                </c:pt>
                <c:pt idx="8">
                  <c:v>-9.8400000000000002E-14</c:v>
                </c:pt>
                <c:pt idx="9">
                  <c:v>-1.1099999999999999E-13</c:v>
                </c:pt>
                <c:pt idx="10">
                  <c:v>-1.2300000000000001E-13</c:v>
                </c:pt>
                <c:pt idx="11">
                  <c:v>-1.3500000000000001E-13</c:v>
                </c:pt>
                <c:pt idx="12">
                  <c:v>-1.48E-13</c:v>
                </c:pt>
                <c:pt idx="13">
                  <c:v>-1.6E-13</c:v>
                </c:pt>
                <c:pt idx="14">
                  <c:v>-1.72E-13</c:v>
                </c:pt>
                <c:pt idx="15">
                  <c:v>-1.84E-13</c:v>
                </c:pt>
                <c:pt idx="16">
                  <c:v>-1.9699999999999999E-13</c:v>
                </c:pt>
                <c:pt idx="17">
                  <c:v>-2.0899999999999999E-13</c:v>
                </c:pt>
                <c:pt idx="18">
                  <c:v>-2.2099999999999999E-13</c:v>
                </c:pt>
                <c:pt idx="19">
                  <c:v>-2.3400000000000001E-13</c:v>
                </c:pt>
                <c:pt idx="20">
                  <c:v>-2.4600000000000001E-13</c:v>
                </c:pt>
                <c:pt idx="21">
                  <c:v>-2.5800000000000001E-13</c:v>
                </c:pt>
                <c:pt idx="22">
                  <c:v>-2.7100000000000001E-13</c:v>
                </c:pt>
                <c:pt idx="23">
                  <c:v>-2.8300000000000001E-13</c:v>
                </c:pt>
                <c:pt idx="24">
                  <c:v>-2.9500000000000001E-13</c:v>
                </c:pt>
                <c:pt idx="25">
                  <c:v>-3.07E-13</c:v>
                </c:pt>
                <c:pt idx="26">
                  <c:v>-3.2E-13</c:v>
                </c:pt>
                <c:pt idx="27">
                  <c:v>-3.32E-13</c:v>
                </c:pt>
                <c:pt idx="28">
                  <c:v>-3.44E-13</c:v>
                </c:pt>
                <c:pt idx="29">
                  <c:v>-3.5699999999999999E-13</c:v>
                </c:pt>
                <c:pt idx="30">
                  <c:v>-3.6899999999999999E-13</c:v>
                </c:pt>
                <c:pt idx="31">
                  <c:v>-3.8099999999999999E-13</c:v>
                </c:pt>
                <c:pt idx="32">
                  <c:v>-3.9299999999999999E-13</c:v>
                </c:pt>
                <c:pt idx="33">
                  <c:v>-4.0599999999999999E-13</c:v>
                </c:pt>
                <c:pt idx="34">
                  <c:v>-4.1799999999999999E-13</c:v>
                </c:pt>
                <c:pt idx="35">
                  <c:v>-4.2999999999999999E-13</c:v>
                </c:pt>
                <c:pt idx="36">
                  <c:v>-4.4299999999999998E-13</c:v>
                </c:pt>
                <c:pt idx="37">
                  <c:v>-4.5499999999999998E-13</c:v>
                </c:pt>
                <c:pt idx="38">
                  <c:v>-4.6700000000000003E-13</c:v>
                </c:pt>
                <c:pt idx="39">
                  <c:v>-4.7999999999999997E-13</c:v>
                </c:pt>
                <c:pt idx="40">
                  <c:v>-4.9200000000000002E-13</c:v>
                </c:pt>
                <c:pt idx="41">
                  <c:v>-5.0399999999999997E-13</c:v>
                </c:pt>
                <c:pt idx="42">
                  <c:v>-5.1600000000000002E-13</c:v>
                </c:pt>
                <c:pt idx="43">
                  <c:v>-5.2899999999999997E-13</c:v>
                </c:pt>
                <c:pt idx="44">
                  <c:v>-5.4100000000000002E-13</c:v>
                </c:pt>
                <c:pt idx="45">
                  <c:v>-5.5299999999999997E-13</c:v>
                </c:pt>
                <c:pt idx="46">
                  <c:v>-5.6600000000000001E-13</c:v>
                </c:pt>
                <c:pt idx="47">
                  <c:v>-5.7799999999999996E-13</c:v>
                </c:pt>
                <c:pt idx="48">
                  <c:v>-5.9000000000000001E-13</c:v>
                </c:pt>
                <c:pt idx="49">
                  <c:v>-6.0299999999999995E-13</c:v>
                </c:pt>
                <c:pt idx="50">
                  <c:v>-6.15E-13</c:v>
                </c:pt>
                <c:pt idx="51">
                  <c:v>-6.2699999999999995E-13</c:v>
                </c:pt>
                <c:pt idx="52">
                  <c:v>-6.39E-13</c:v>
                </c:pt>
                <c:pt idx="53">
                  <c:v>-6.5200000000000005E-13</c:v>
                </c:pt>
                <c:pt idx="54">
                  <c:v>-6.64E-13</c:v>
                </c:pt>
                <c:pt idx="55">
                  <c:v>-6.7600000000000005E-13</c:v>
                </c:pt>
                <c:pt idx="56">
                  <c:v>-6.8899999999999999E-13</c:v>
                </c:pt>
                <c:pt idx="57">
                  <c:v>-7.0100000000000004E-13</c:v>
                </c:pt>
                <c:pt idx="58">
                  <c:v>-7.1299999999999999E-13</c:v>
                </c:pt>
                <c:pt idx="59">
                  <c:v>-7.2600000000000004E-13</c:v>
                </c:pt>
                <c:pt idx="60">
                  <c:v>-7.3799999999999999E-13</c:v>
                </c:pt>
                <c:pt idx="61">
                  <c:v>-7.5000000000000004E-13</c:v>
                </c:pt>
                <c:pt idx="62">
                  <c:v>-7.6199999999999998E-13</c:v>
                </c:pt>
                <c:pt idx="63">
                  <c:v>-7.7500000000000003E-13</c:v>
                </c:pt>
                <c:pt idx="64">
                  <c:v>-7.8699999999999998E-13</c:v>
                </c:pt>
                <c:pt idx="65">
                  <c:v>-7.9900000000000003E-13</c:v>
                </c:pt>
                <c:pt idx="66">
                  <c:v>-8.1199999999999997E-13</c:v>
                </c:pt>
                <c:pt idx="67">
                  <c:v>-8.2400000000000002E-13</c:v>
                </c:pt>
                <c:pt idx="68">
                  <c:v>-8.3599999999999997E-13</c:v>
                </c:pt>
                <c:pt idx="69">
                  <c:v>-8.4800000000000002E-13</c:v>
                </c:pt>
                <c:pt idx="70">
                  <c:v>-8.6099999999999997E-13</c:v>
                </c:pt>
                <c:pt idx="71">
                  <c:v>-8.7300000000000002E-13</c:v>
                </c:pt>
                <c:pt idx="72">
                  <c:v>-8.8499999999999997E-13</c:v>
                </c:pt>
                <c:pt idx="73">
                  <c:v>-8.9800000000000001E-13</c:v>
                </c:pt>
                <c:pt idx="74">
                  <c:v>-9.0999999999999996E-13</c:v>
                </c:pt>
                <c:pt idx="75">
                  <c:v>-9.2199999999999991E-13</c:v>
                </c:pt>
                <c:pt idx="76">
                  <c:v>-9.3499999999999995E-13</c:v>
                </c:pt>
                <c:pt idx="77">
                  <c:v>-9.469999999999999E-13</c:v>
                </c:pt>
                <c:pt idx="78">
                  <c:v>-9.5900000000000005E-13</c:v>
                </c:pt>
                <c:pt idx="79">
                  <c:v>-9.71E-13</c:v>
                </c:pt>
                <c:pt idx="80">
                  <c:v>-9.8400000000000005E-13</c:v>
                </c:pt>
                <c:pt idx="81">
                  <c:v>-9.96E-13</c:v>
                </c:pt>
                <c:pt idx="82">
                  <c:v>-1.0099999999999999E-12</c:v>
                </c:pt>
                <c:pt idx="83">
                  <c:v>-1.0200000000000001E-12</c:v>
                </c:pt>
                <c:pt idx="84">
                  <c:v>-1.0300000000000001E-12</c:v>
                </c:pt>
                <c:pt idx="85">
                  <c:v>-1.05E-12</c:v>
                </c:pt>
                <c:pt idx="86">
                  <c:v>-1.0599999999999999E-12</c:v>
                </c:pt>
                <c:pt idx="87">
                  <c:v>-1.0700000000000001E-12</c:v>
                </c:pt>
                <c:pt idx="88">
                  <c:v>-1.08E-12</c:v>
                </c:pt>
                <c:pt idx="89">
                  <c:v>-1.09E-12</c:v>
                </c:pt>
                <c:pt idx="90">
                  <c:v>-1.1099999999999999E-12</c:v>
                </c:pt>
                <c:pt idx="91">
                  <c:v>-1.1200000000000001E-12</c:v>
                </c:pt>
                <c:pt idx="92">
                  <c:v>-1.13E-12</c:v>
                </c:pt>
                <c:pt idx="93">
                  <c:v>-1.14E-12</c:v>
                </c:pt>
                <c:pt idx="94">
                  <c:v>-1.1599999999999999E-12</c:v>
                </c:pt>
                <c:pt idx="95">
                  <c:v>-1.1700000000000001E-12</c:v>
                </c:pt>
                <c:pt idx="96">
                  <c:v>-1.18E-12</c:v>
                </c:pt>
                <c:pt idx="97">
                  <c:v>-1.19E-12</c:v>
                </c:pt>
                <c:pt idx="98">
                  <c:v>-1.2100000000000001E-12</c:v>
                </c:pt>
                <c:pt idx="99">
                  <c:v>-1.2200000000000001E-12</c:v>
                </c:pt>
                <c:pt idx="100">
                  <c:v>-1.23E-12</c:v>
                </c:pt>
                <c:pt idx="101">
                  <c:v>-1.24E-12</c:v>
                </c:pt>
                <c:pt idx="102">
                  <c:v>-1.2499999999999999E-12</c:v>
                </c:pt>
                <c:pt idx="103">
                  <c:v>-1.27E-12</c:v>
                </c:pt>
                <c:pt idx="104">
                  <c:v>-1.28E-12</c:v>
                </c:pt>
                <c:pt idx="105">
                  <c:v>-1.29E-12</c:v>
                </c:pt>
                <c:pt idx="106">
                  <c:v>-1.2999999999999999E-12</c:v>
                </c:pt>
                <c:pt idx="107">
                  <c:v>-1.32E-12</c:v>
                </c:pt>
                <c:pt idx="108">
                  <c:v>-1.33E-12</c:v>
                </c:pt>
                <c:pt idx="109">
                  <c:v>-1.3399999999999999E-12</c:v>
                </c:pt>
                <c:pt idx="110">
                  <c:v>-1.3499999999999999E-12</c:v>
                </c:pt>
                <c:pt idx="111">
                  <c:v>-1.3600000000000001E-12</c:v>
                </c:pt>
                <c:pt idx="112">
                  <c:v>-1.38E-12</c:v>
                </c:pt>
                <c:pt idx="113">
                  <c:v>-1.3899999999999999E-12</c:v>
                </c:pt>
                <c:pt idx="114">
                  <c:v>-1.4000000000000001E-12</c:v>
                </c:pt>
                <c:pt idx="115">
                  <c:v>-1.4100000000000001E-12</c:v>
                </c:pt>
                <c:pt idx="116">
                  <c:v>-1.43E-12</c:v>
                </c:pt>
                <c:pt idx="117">
                  <c:v>-1.4399999999999999E-12</c:v>
                </c:pt>
                <c:pt idx="118">
                  <c:v>-1.4500000000000001E-12</c:v>
                </c:pt>
                <c:pt idx="119">
                  <c:v>-1.46E-12</c:v>
                </c:pt>
                <c:pt idx="120">
                  <c:v>-1.48E-12</c:v>
                </c:pt>
                <c:pt idx="121">
                  <c:v>-1.4899999999999999E-12</c:v>
                </c:pt>
                <c:pt idx="122">
                  <c:v>-1.5000000000000001E-12</c:v>
                </c:pt>
                <c:pt idx="123">
                  <c:v>-1.51E-12</c:v>
                </c:pt>
                <c:pt idx="124">
                  <c:v>-1.52E-12</c:v>
                </c:pt>
                <c:pt idx="125">
                  <c:v>-1.5399999999999999E-12</c:v>
                </c:pt>
                <c:pt idx="126" formatCode="General">
                  <c:v>5.7899999999999998E-5</c:v>
                </c:pt>
                <c:pt idx="127" formatCode="General">
                  <c:v>2.32E-4</c:v>
                </c:pt>
                <c:pt idx="128" formatCode="General">
                  <c:v>5.2099999999999998E-4</c:v>
                </c:pt>
                <c:pt idx="129" formatCode="General">
                  <c:v>9.2599999999999996E-4</c:v>
                </c:pt>
                <c:pt idx="130" formatCode="General">
                  <c:v>1.4475569999999999E-3</c:v>
                </c:pt>
                <c:pt idx="131" formatCode="General">
                  <c:v>2.0844819999999999E-3</c:v>
                </c:pt>
                <c:pt idx="132" formatCode="General">
                  <c:v>2.837212E-3</c:v>
                </c:pt>
                <c:pt idx="133" formatCode="General">
                  <c:v>3.7057460000000002E-3</c:v>
                </c:pt>
                <c:pt idx="134" formatCode="General">
                  <c:v>4.6900850000000001E-3</c:v>
                </c:pt>
                <c:pt idx="135" formatCode="General">
                  <c:v>5.7902279999999997E-3</c:v>
                </c:pt>
                <c:pt idx="136" formatCode="General">
                  <c:v>7.0061760000000002E-3</c:v>
                </c:pt>
                <c:pt idx="137" formatCode="General">
                  <c:v>8.3379279999999997E-3</c:v>
                </c:pt>
                <c:pt idx="138" formatCode="General">
                  <c:v>9.785485E-3</c:v>
                </c:pt>
                <c:pt idx="139" formatCode="General">
                  <c:v>1.1348847E-2</c:v>
                </c:pt>
                <c:pt idx="140" formatCode="General">
                  <c:v>1.3028013E-2</c:v>
                </c:pt>
                <c:pt idx="141" formatCode="General">
                  <c:v>1.4822983E-2</c:v>
                </c:pt>
                <c:pt idx="142" formatCode="General">
                  <c:v>1.6733759000000001E-2</c:v>
                </c:pt>
                <c:pt idx="143" formatCode="General">
                  <c:v>1.8760338000000001E-2</c:v>
                </c:pt>
                <c:pt idx="144" formatCode="General">
                  <c:v>2.0902723000000002E-2</c:v>
                </c:pt>
                <c:pt idx="145" formatCode="General">
                  <c:v>2.3160911999999999E-2</c:v>
                </c:pt>
                <c:pt idx="146" formatCode="General">
                  <c:v>2.5534905E-2</c:v>
                </c:pt>
                <c:pt idx="147" formatCode="General">
                  <c:v>2.8024703000000002E-2</c:v>
                </c:pt>
                <c:pt idx="148" formatCode="General">
                  <c:v>3.0630306E-2</c:v>
                </c:pt>
                <c:pt idx="149" formatCode="General">
                  <c:v>3.3351712999999998E-2</c:v>
                </c:pt>
                <c:pt idx="150" formatCode="General">
                  <c:v>3.6188923999999997E-2</c:v>
                </c:pt>
                <c:pt idx="151" formatCode="General">
                  <c:v>3.9141941E-2</c:v>
                </c:pt>
                <c:pt idx="152" formatCode="General">
                  <c:v>4.2210760999999999E-2</c:v>
                </c:pt>
                <c:pt idx="153" formatCode="General">
                  <c:v>4.5395387000000002E-2</c:v>
                </c:pt>
                <c:pt idx="154" formatCode="General">
                  <c:v>4.8695817000000002E-2</c:v>
                </c:pt>
                <c:pt idx="155" formatCode="General">
                  <c:v>5.2112051E-2</c:v>
                </c:pt>
                <c:pt idx="156" formatCode="General">
                  <c:v>5.564409E-2</c:v>
                </c:pt>
                <c:pt idx="157" formatCode="General">
                  <c:v>5.9291933999999998E-2</c:v>
                </c:pt>
                <c:pt idx="158" formatCode="General">
                  <c:v>6.3055581999999999E-2</c:v>
                </c:pt>
                <c:pt idx="159" formatCode="General">
                  <c:v>6.6935034000000004E-2</c:v>
                </c:pt>
                <c:pt idx="160" formatCode="General">
                  <c:v>7.0930292000000006E-2</c:v>
                </c:pt>
                <c:pt idx="161" formatCode="General">
                  <c:v>7.5041353000000005E-2</c:v>
                </c:pt>
                <c:pt idx="162" formatCode="General">
                  <c:v>7.926822E-2</c:v>
                </c:pt>
                <c:pt idx="163" formatCode="General">
                  <c:v>8.3610891000000007E-2</c:v>
                </c:pt>
                <c:pt idx="164" formatCode="General">
                  <c:v>8.8069365999999996E-2</c:v>
                </c:pt>
                <c:pt idx="165" formatCode="General">
                  <c:v>9.2643645999999996E-2</c:v>
                </c:pt>
                <c:pt idx="166" formatCode="General">
                  <c:v>9.7333731000000007E-2</c:v>
                </c:pt>
                <c:pt idx="167" formatCode="General">
                  <c:v>0.10213962</c:v>
                </c:pt>
                <c:pt idx="168" formatCode="General">
                  <c:v>0.107061314</c:v>
                </c:pt>
                <c:pt idx="169" formatCode="General">
                  <c:v>0.11209881200000001</c:v>
                </c:pt>
                <c:pt idx="170" formatCode="General">
                  <c:v>0.117252115</c:v>
                </c:pt>
                <c:pt idx="171" formatCode="General">
                  <c:v>0.122521222</c:v>
                </c:pt>
                <c:pt idx="172" formatCode="General">
                  <c:v>0.127906134</c:v>
                </c:pt>
                <c:pt idx="173" formatCode="General">
                  <c:v>0.13340685099999999</c:v>
                </c:pt>
                <c:pt idx="174" formatCode="General">
                  <c:v>0.13902337200000001</c:v>
                </c:pt>
                <c:pt idx="175" formatCode="General">
                  <c:v>0.14475569699999999</c:v>
                </c:pt>
                <c:pt idx="176" formatCode="General">
                  <c:v>0.150603827</c:v>
                </c:pt>
                <c:pt idx="177" formatCode="General">
                  <c:v>0.156567762</c:v>
                </c:pt>
                <c:pt idx="178" formatCode="General">
                  <c:v>0.162647502</c:v>
                </c:pt>
                <c:pt idx="179" formatCode="General">
                  <c:v>0.168843045</c:v>
                </c:pt>
                <c:pt idx="180" formatCode="General">
                  <c:v>0.17515439399999999</c:v>
                </c:pt>
                <c:pt idx="181" formatCode="General">
                  <c:v>0.18158154700000001</c:v>
                </c:pt>
                <c:pt idx="182" formatCode="General">
                  <c:v>0.188124504</c:v>
                </c:pt>
                <c:pt idx="183" formatCode="General">
                  <c:v>0.19478326600000001</c:v>
                </c:pt>
                <c:pt idx="184" formatCode="General">
                  <c:v>0.20155783299999999</c:v>
                </c:pt>
                <c:pt idx="185" formatCode="General">
                  <c:v>0.208448204</c:v>
                </c:pt>
                <c:pt idx="186" formatCode="General">
                  <c:v>0.21545438</c:v>
                </c:pt>
                <c:pt idx="187" formatCode="General">
                  <c:v>0.22257636</c:v>
                </c:pt>
                <c:pt idx="188" formatCode="General">
                  <c:v>0.229814145</c:v>
                </c:pt>
                <c:pt idx="189" formatCode="General">
                  <c:v>0.23716773499999999</c:v>
                </c:pt>
                <c:pt idx="190" formatCode="General">
                  <c:v>0.24463712800000001</c:v>
                </c:pt>
                <c:pt idx="191" formatCode="General">
                  <c:v>0.25222232700000002</c:v>
                </c:pt>
                <c:pt idx="192" formatCode="General">
                  <c:v>0.25992333000000001</c:v>
                </c:pt>
                <c:pt idx="193" formatCode="General">
                  <c:v>0.26774013800000002</c:v>
                </c:pt>
                <c:pt idx="194" formatCode="General">
                  <c:v>0.27567275000000002</c:v>
                </c:pt>
                <c:pt idx="195" formatCode="General">
                  <c:v>0.283721167</c:v>
                </c:pt>
                <c:pt idx="196" formatCode="General">
                  <c:v>0.29188538800000002</c:v>
                </c:pt>
                <c:pt idx="197" formatCode="General">
                  <c:v>0.30016541400000002</c:v>
                </c:pt>
                <c:pt idx="198" formatCode="General">
                  <c:v>0.30856124400000001</c:v>
                </c:pt>
                <c:pt idx="199" formatCode="General">
                  <c:v>0.31707287899999997</c:v>
                </c:pt>
                <c:pt idx="200" formatCode="General">
                  <c:v>0.32570031900000002</c:v>
                </c:pt>
                <c:pt idx="201" formatCode="General">
                  <c:v>0.334443563</c:v>
                </c:pt>
                <c:pt idx="202" formatCode="General">
                  <c:v>0.34330261200000001</c:v>
                </c:pt>
                <c:pt idx="203" formatCode="General">
                  <c:v>0.35227746500000001</c:v>
                </c:pt>
                <c:pt idx="204" formatCode="General">
                  <c:v>0.36136812299999999</c:v>
                </c:pt>
                <c:pt idx="205" formatCode="General">
                  <c:v>0.37057458500000001</c:v>
                </c:pt>
                <c:pt idx="206" formatCode="General">
                  <c:v>0.37989685200000001</c:v>
                </c:pt>
                <c:pt idx="207" formatCode="General">
                  <c:v>0.38933492400000003</c:v>
                </c:pt>
                <c:pt idx="208" formatCode="General">
                  <c:v>0.39888879999999999</c:v>
                </c:pt>
                <c:pt idx="209" formatCode="General">
                  <c:v>0.40855848</c:v>
                </c:pt>
                <c:pt idx="210" formatCode="General">
                  <c:v>0.41834396499999998</c:v>
                </c:pt>
                <c:pt idx="211" formatCode="General">
                  <c:v>0.42824525499999999</c:v>
                </c:pt>
                <c:pt idx="212" formatCode="General">
                  <c:v>0.438262349</c:v>
                </c:pt>
                <c:pt idx="213" formatCode="General">
                  <c:v>0.44839524800000002</c:v>
                </c:pt>
                <c:pt idx="214" formatCode="General">
                  <c:v>0.45864395099999999</c:v>
                </c:pt>
                <c:pt idx="215" formatCode="General">
                  <c:v>0.46900845899999999</c:v>
                </c:pt>
                <c:pt idx="216" formatCode="General">
                  <c:v>0.47948877200000001</c:v>
                </c:pt>
                <c:pt idx="217" formatCode="General">
                  <c:v>0.49008488900000002</c:v>
                </c:pt>
                <c:pt idx="218" formatCode="General">
                  <c:v>0.50079680999999998</c:v>
                </c:pt>
                <c:pt idx="219" formatCode="General">
                  <c:v>0.51162453699999999</c:v>
                </c:pt>
                <c:pt idx="220" formatCode="General">
                  <c:v>0.52256806700000002</c:v>
                </c:pt>
                <c:pt idx="221" formatCode="General">
                  <c:v>0.533627403</c:v>
                </c:pt>
                <c:pt idx="222" formatCode="General">
                  <c:v>0.544802542</c:v>
                </c:pt>
                <c:pt idx="223" formatCode="General">
                  <c:v>0.55609348700000005</c:v>
                </c:pt>
                <c:pt idx="224" formatCode="General">
                  <c:v>0.56750023599999999</c:v>
                </c:pt>
                <c:pt idx="225" formatCode="General">
                  <c:v>0.57902278900000004</c:v>
                </c:pt>
                <c:pt idx="226" formatCode="General">
                  <c:v>0.59066114700000005</c:v>
                </c:pt>
                <c:pt idx="227" formatCode="General">
                  <c:v>0.60241531000000004</c:v>
                </c:pt>
                <c:pt idx="228" formatCode="General">
                  <c:v>0.61428527700000002</c:v>
                </c:pt>
                <c:pt idx="229" formatCode="General">
                  <c:v>0.62627104899999997</c:v>
                </c:pt>
                <c:pt idx="230" formatCode="General">
                  <c:v>0.63837262500000003</c:v>
                </c:pt>
                <c:pt idx="231" formatCode="General">
                  <c:v>0.65059000600000005</c:v>
                </c:pt>
                <c:pt idx="232" formatCode="General">
                  <c:v>0.66292319099999997</c:v>
                </c:pt>
                <c:pt idx="233" formatCode="General">
                  <c:v>0.67537218099999996</c:v>
                </c:pt>
                <c:pt idx="234" formatCode="General">
                  <c:v>0.68793697600000003</c:v>
                </c:pt>
                <c:pt idx="235" formatCode="General">
                  <c:v>0.70061757499999999</c:v>
                </c:pt>
                <c:pt idx="236" formatCode="General">
                  <c:v>0.71341397900000003</c:v>
                </c:pt>
                <c:pt idx="237" formatCode="General">
                  <c:v>0.72632618699999996</c:v>
                </c:pt>
                <c:pt idx="238" formatCode="General">
                  <c:v>0.73935419999999996</c:v>
                </c:pt>
                <c:pt idx="239" formatCode="General">
                  <c:v>0.75249801699999996</c:v>
                </c:pt>
                <c:pt idx="240" formatCode="General">
                  <c:v>0.76575763900000005</c:v>
                </c:pt>
                <c:pt idx="241" formatCode="General">
                  <c:v>0.77913306500000001</c:v>
                </c:pt>
                <c:pt idx="242" formatCode="General">
                  <c:v>0.79262429599999995</c:v>
                </c:pt>
                <c:pt idx="243" formatCode="General">
                  <c:v>0.80623133199999997</c:v>
                </c:pt>
                <c:pt idx="244" formatCode="General">
                  <c:v>0.81995417199999998</c:v>
                </c:pt>
                <c:pt idx="245" formatCode="General">
                  <c:v>0.83379281699999996</c:v>
                </c:pt>
                <c:pt idx="246" formatCode="General">
                  <c:v>0.84774726600000005</c:v>
                </c:pt>
                <c:pt idx="247" formatCode="General">
                  <c:v>0.86181752</c:v>
                </c:pt>
                <c:pt idx="248" formatCode="General">
                  <c:v>0.87600357799999995</c:v>
                </c:pt>
                <c:pt idx="249" formatCode="General">
                  <c:v>0.89030544099999998</c:v>
                </c:pt>
                <c:pt idx="250" formatCode="General">
                  <c:v>0.904723108</c:v>
                </c:pt>
                <c:pt idx="251" formatCode="General">
                  <c:v>0.91914077599999999</c:v>
                </c:pt>
                <c:pt idx="252" formatCode="General">
                  <c:v>0.93344263900000002</c:v>
                </c:pt>
                <c:pt idx="253" formatCode="General">
                  <c:v>0.94762869699999996</c:v>
                </c:pt>
                <c:pt idx="254" formatCode="General">
                  <c:v>0.96169895100000002</c:v>
                </c:pt>
                <c:pt idx="255" formatCode="General">
                  <c:v>0.9756534</c:v>
                </c:pt>
                <c:pt idx="256" formatCode="General">
                  <c:v>0.98949204499999999</c:v>
                </c:pt>
                <c:pt idx="257" formatCode="General">
                  <c:v>1.003214885</c:v>
                </c:pt>
                <c:pt idx="258" formatCode="General">
                  <c:v>1.0168219199999999</c:v>
                </c:pt>
                <c:pt idx="259" formatCode="General">
                  <c:v>1.0303131510000001</c:v>
                </c:pt>
                <c:pt idx="260" formatCode="General">
                  <c:v>1.043688578</c:v>
                </c:pt>
                <c:pt idx="261" formatCode="General">
                  <c:v>1.0569481999999999</c:v>
                </c:pt>
                <c:pt idx="262" formatCode="General">
                  <c:v>1.0700920169999999</c:v>
                </c:pt>
                <c:pt idx="263" formatCode="General">
                  <c:v>1.0831200299999999</c:v>
                </c:pt>
                <c:pt idx="264" formatCode="General">
                  <c:v>1.096032238</c:v>
                </c:pt>
                <c:pt idx="265" formatCode="General">
                  <c:v>1.108828642</c:v>
                </c:pt>
                <c:pt idx="266" formatCode="General">
                  <c:v>1.121509241</c:v>
                </c:pt>
                <c:pt idx="267" formatCode="General">
                  <c:v>1.134074035</c:v>
                </c:pt>
                <c:pt idx="268" formatCode="General">
                  <c:v>1.146523025</c:v>
                </c:pt>
                <c:pt idx="269" formatCode="General">
                  <c:v>1.158856211</c:v>
                </c:pt>
                <c:pt idx="270" formatCode="General">
                  <c:v>1.1710735910000001</c:v>
                </c:pt>
                <c:pt idx="271" formatCode="General">
                  <c:v>1.183175168</c:v>
                </c:pt>
                <c:pt idx="272" formatCode="General">
                  <c:v>1.195160939</c:v>
                </c:pt>
                <c:pt idx="273" formatCode="General">
                  <c:v>1.207030907</c:v>
                </c:pt>
                <c:pt idx="274" formatCode="General">
                  <c:v>1.2187850689999999</c:v>
                </c:pt>
                <c:pt idx="275" formatCode="General">
                  <c:v>1.2304234270000001</c:v>
                </c:pt>
                <c:pt idx="276" formatCode="General">
                  <c:v>1.241945981</c:v>
                </c:pt>
                <c:pt idx="277" formatCode="General">
                  <c:v>1.25335273</c:v>
                </c:pt>
                <c:pt idx="278" formatCode="General">
                  <c:v>1.264643674</c:v>
                </c:pt>
                <c:pt idx="279" formatCode="General">
                  <c:v>1.275818814</c:v>
                </c:pt>
                <c:pt idx="280" formatCode="General">
                  <c:v>1.2868781490000001</c:v>
                </c:pt>
                <c:pt idx="281" formatCode="General">
                  <c:v>1.29782168</c:v>
                </c:pt>
                <c:pt idx="282" formatCode="General">
                  <c:v>1.308649406</c:v>
                </c:pt>
                <c:pt idx="283" formatCode="General">
                  <c:v>1.3193613280000001</c:v>
                </c:pt>
                <c:pt idx="284" formatCode="General">
                  <c:v>1.329957445</c:v>
                </c:pt>
                <c:pt idx="285" formatCode="General">
                  <c:v>1.3404377569999999</c:v>
                </c:pt>
                <c:pt idx="286" formatCode="General">
                  <c:v>1.350802265</c:v>
                </c:pt>
                <c:pt idx="287" formatCode="General">
                  <c:v>1.3610509690000001</c:v>
                </c:pt>
                <c:pt idx="288" formatCode="General">
                  <c:v>1.3711838670000001</c:v>
                </c:pt>
                <c:pt idx="289" formatCode="General">
                  <c:v>1.3812009620000001</c:v>
                </c:pt>
                <c:pt idx="290" formatCode="General">
                  <c:v>1.391102251</c:v>
                </c:pt>
                <c:pt idx="291" formatCode="General">
                  <c:v>1.4008877360000001</c:v>
                </c:pt>
                <c:pt idx="292" formatCode="General">
                  <c:v>1.4105574169999999</c:v>
                </c:pt>
                <c:pt idx="293" formatCode="General">
                  <c:v>1.4201112929999999</c:v>
                </c:pt>
                <c:pt idx="294" formatCode="General">
                  <c:v>1.429549365</c:v>
                </c:pt>
                <c:pt idx="295" formatCode="General">
                  <c:v>1.438871631</c:v>
                </c:pt>
                <c:pt idx="296" formatCode="General">
                  <c:v>1.448078094</c:v>
                </c:pt>
                <c:pt idx="297" formatCode="General">
                  <c:v>1.4571687520000001</c:v>
                </c:pt>
                <c:pt idx="298" formatCode="General">
                  <c:v>1.4661436050000001</c:v>
                </c:pt>
                <c:pt idx="299" formatCode="General">
                  <c:v>1.4750026540000001</c:v>
                </c:pt>
                <c:pt idx="300" formatCode="General">
                  <c:v>1.483745898</c:v>
                </c:pt>
                <c:pt idx="301" formatCode="General">
                  <c:v>1.4923733370000001</c:v>
                </c:pt>
                <c:pt idx="302" formatCode="General">
                  <c:v>1.5008849719999999</c:v>
                </c:pt>
                <c:pt idx="303" formatCode="General">
                  <c:v>1.509280803</c:v>
                </c:pt>
                <c:pt idx="304" formatCode="General">
                  <c:v>1.517560829</c:v>
                </c:pt>
                <c:pt idx="305" formatCode="General">
                  <c:v>1.5257250499999999</c:v>
                </c:pt>
                <c:pt idx="306" formatCode="General">
                  <c:v>1.5337734670000001</c:v>
                </c:pt>
                <c:pt idx="307" formatCode="General">
                  <c:v>1.5417060789999999</c:v>
                </c:pt>
                <c:pt idx="308" formatCode="General">
                  <c:v>1.5495228860000001</c:v>
                </c:pt>
                <c:pt idx="309" formatCode="General">
                  <c:v>1.5572238899999999</c:v>
                </c:pt>
                <c:pt idx="310" formatCode="General">
                  <c:v>1.5648090880000001</c:v>
                </c:pt>
                <c:pt idx="311" formatCode="General">
                  <c:v>1.572278482</c:v>
                </c:pt>
                <c:pt idx="312" formatCode="General">
                  <c:v>1.5796320720000001</c:v>
                </c:pt>
                <c:pt idx="313" formatCode="General">
                  <c:v>1.5868698560000001</c:v>
                </c:pt>
                <c:pt idx="314" formatCode="General">
                  <c:v>1.5939918369999999</c:v>
                </c:pt>
                <c:pt idx="315" formatCode="General">
                  <c:v>1.600998012</c:v>
                </c:pt>
                <c:pt idx="316" formatCode="General">
                  <c:v>1.607888384</c:v>
                </c:pt>
                <c:pt idx="317" formatCode="General">
                  <c:v>1.61466295</c:v>
                </c:pt>
                <c:pt idx="318" formatCode="General">
                  <c:v>1.6213217120000001</c:v>
                </c:pt>
                <c:pt idx="319" formatCode="General">
                  <c:v>1.6278646699999999</c:v>
                </c:pt>
                <c:pt idx="320" formatCode="General">
                  <c:v>1.6342918230000001</c:v>
                </c:pt>
                <c:pt idx="321" formatCode="General">
                  <c:v>1.640603171</c:v>
                </c:pt>
                <c:pt idx="322" formatCode="General">
                  <c:v>1.6467987150000001</c:v>
                </c:pt>
                <c:pt idx="323" formatCode="General">
                  <c:v>1.6528784540000001</c:v>
                </c:pt>
                <c:pt idx="324" formatCode="General">
                  <c:v>1.6588423889999999</c:v>
                </c:pt>
                <c:pt idx="325" formatCode="General">
                  <c:v>1.6646905190000001</c:v>
                </c:pt>
                <c:pt idx="326" formatCode="General">
                  <c:v>1.670422845</c:v>
                </c:pt>
                <c:pt idx="327" formatCode="General">
                  <c:v>1.6760393659999999</c:v>
                </c:pt>
                <c:pt idx="328" formatCode="General">
                  <c:v>1.6815400819999999</c:v>
                </c:pt>
                <c:pt idx="329" formatCode="General">
                  <c:v>1.686924994</c:v>
                </c:pt>
                <c:pt idx="330" formatCode="General">
                  <c:v>1.692194102</c:v>
                </c:pt>
                <c:pt idx="331" formatCode="General">
                  <c:v>1.6973474049999999</c:v>
                </c:pt>
                <c:pt idx="332" formatCode="General">
                  <c:v>1.702384903</c:v>
                </c:pt>
                <c:pt idx="333" formatCode="General">
                  <c:v>1.7073065970000001</c:v>
                </c:pt>
                <c:pt idx="334" formatCode="General">
                  <c:v>1.7121124860000001</c:v>
                </c:pt>
                <c:pt idx="335" formatCode="General">
                  <c:v>1.71680257</c:v>
                </c:pt>
                <c:pt idx="336" formatCode="General">
                  <c:v>1.72137685</c:v>
                </c:pt>
                <c:pt idx="337" formatCode="General">
                  <c:v>1.7258353259999999</c:v>
                </c:pt>
                <c:pt idx="338" formatCode="General">
                  <c:v>1.730177997</c:v>
                </c:pt>
                <c:pt idx="339" formatCode="General">
                  <c:v>1.734404863</c:v>
                </c:pt>
                <c:pt idx="340" formatCode="General">
                  <c:v>1.738515925</c:v>
                </c:pt>
                <c:pt idx="341" formatCode="General">
                  <c:v>1.7425111820000001</c:v>
                </c:pt>
                <c:pt idx="342" formatCode="General">
                  <c:v>1.746390635</c:v>
                </c:pt>
                <c:pt idx="343" formatCode="General">
                  <c:v>1.7501542830000001</c:v>
                </c:pt>
                <c:pt idx="344" formatCode="General">
                  <c:v>1.7538021269999999</c:v>
                </c:pt>
                <c:pt idx="345" formatCode="General">
                  <c:v>1.7573341659999999</c:v>
                </c:pt>
                <c:pt idx="346" formatCode="General">
                  <c:v>1.7607504</c:v>
                </c:pt>
                <c:pt idx="347" formatCode="General">
                  <c:v>1.76405083</c:v>
                </c:pt>
                <c:pt idx="348" formatCode="General">
                  <c:v>1.767235455</c:v>
                </c:pt>
                <c:pt idx="349" formatCode="General">
                  <c:v>1.7703042760000001</c:v>
                </c:pt>
                <c:pt idx="350" formatCode="General">
                  <c:v>1.773257292</c:v>
                </c:pt>
                <c:pt idx="351" formatCode="General">
                  <c:v>1.776094504</c:v>
                </c:pt>
                <c:pt idx="352" formatCode="General">
                  <c:v>1.7788159109999999</c:v>
                </c:pt>
                <c:pt idx="353" formatCode="General">
                  <c:v>1.781421514</c:v>
                </c:pt>
                <c:pt idx="354" formatCode="General">
                  <c:v>1.7839113120000001</c:v>
                </c:pt>
                <c:pt idx="355" formatCode="General">
                  <c:v>1.786285305</c:v>
                </c:pt>
                <c:pt idx="356" formatCode="General">
                  <c:v>1.788543494</c:v>
                </c:pt>
                <c:pt idx="357" formatCode="General">
                  <c:v>1.7906858779999999</c:v>
                </c:pt>
                <c:pt idx="358" formatCode="General">
                  <c:v>1.792712458</c:v>
                </c:pt>
                <c:pt idx="359" formatCode="General">
                  <c:v>1.794623233</c:v>
                </c:pt>
                <c:pt idx="360" formatCode="General">
                  <c:v>1.7964182040000001</c:v>
                </c:pt>
                <c:pt idx="361" formatCode="General">
                  <c:v>1.79809737</c:v>
                </c:pt>
                <c:pt idx="362" formatCode="General">
                  <c:v>1.7996607309999999</c:v>
                </c:pt>
                <c:pt idx="363" formatCode="General">
                  <c:v>1.801108288</c:v>
                </c:pt>
                <c:pt idx="364" formatCode="General">
                  <c:v>1.8024400410000001</c:v>
                </c:pt>
                <c:pt idx="365" formatCode="General">
                  <c:v>1.8036559889999999</c:v>
                </c:pt>
                <c:pt idx="366" formatCode="General">
                  <c:v>1.8047561320000001</c:v>
                </c:pt>
                <c:pt idx="367" formatCode="General">
                  <c:v>1.805740471</c:v>
                </c:pt>
                <c:pt idx="368" formatCode="General">
                  <c:v>1.8066090050000001</c:v>
                </c:pt>
                <c:pt idx="369" formatCode="General">
                  <c:v>1.807361735</c:v>
                </c:pt>
                <c:pt idx="370" formatCode="General">
                  <c:v>1.80799866</c:v>
                </c:pt>
                <c:pt idx="371" formatCode="General">
                  <c:v>1.8085197799999999</c:v>
                </c:pt>
                <c:pt idx="372" formatCode="General">
                  <c:v>1.8089250960000001</c:v>
                </c:pt>
                <c:pt idx="373" formatCode="General">
                  <c:v>1.8092146069999999</c:v>
                </c:pt>
                <c:pt idx="374" formatCode="General">
                  <c:v>1.809388314</c:v>
                </c:pt>
                <c:pt idx="375" formatCode="General">
                  <c:v>1.8094462170000001</c:v>
                </c:pt>
                <c:pt idx="376" formatCode="General">
                  <c:v>1.8094462170000001</c:v>
                </c:pt>
                <c:pt idx="377" formatCode="General">
                  <c:v>1.8094462170000001</c:v>
                </c:pt>
                <c:pt idx="378" formatCode="General">
                  <c:v>1.8094462170000001</c:v>
                </c:pt>
                <c:pt idx="379" formatCode="General">
                  <c:v>1.8094462170000001</c:v>
                </c:pt>
                <c:pt idx="380" formatCode="General">
                  <c:v>1.8094462170000001</c:v>
                </c:pt>
                <c:pt idx="381" formatCode="General">
                  <c:v>1.8094462170000001</c:v>
                </c:pt>
                <c:pt idx="382" formatCode="General">
                  <c:v>1.8094462170000001</c:v>
                </c:pt>
                <c:pt idx="383" formatCode="General">
                  <c:v>1.8094462170000001</c:v>
                </c:pt>
                <c:pt idx="384" formatCode="General">
                  <c:v>1.8094462170000001</c:v>
                </c:pt>
                <c:pt idx="385" formatCode="General">
                  <c:v>1.8094462170000001</c:v>
                </c:pt>
                <c:pt idx="386" formatCode="General">
                  <c:v>1.8094462170000001</c:v>
                </c:pt>
                <c:pt idx="387" formatCode="General">
                  <c:v>1.8094462170000001</c:v>
                </c:pt>
                <c:pt idx="388" formatCode="General">
                  <c:v>1.8094462170000001</c:v>
                </c:pt>
                <c:pt idx="389" formatCode="General">
                  <c:v>1.8094462170000001</c:v>
                </c:pt>
                <c:pt idx="390" formatCode="General">
                  <c:v>1.8094462170000001</c:v>
                </c:pt>
                <c:pt idx="391" formatCode="General">
                  <c:v>1.8094462170000001</c:v>
                </c:pt>
                <c:pt idx="392" formatCode="General">
                  <c:v>1.8094462170000001</c:v>
                </c:pt>
                <c:pt idx="393" formatCode="General">
                  <c:v>1.8094462170000001</c:v>
                </c:pt>
                <c:pt idx="394" formatCode="General">
                  <c:v>1.8094462170000001</c:v>
                </c:pt>
                <c:pt idx="395" formatCode="General">
                  <c:v>1.8094462170000001</c:v>
                </c:pt>
                <c:pt idx="396" formatCode="General">
                  <c:v>1.8094462170000001</c:v>
                </c:pt>
                <c:pt idx="397" formatCode="General">
                  <c:v>1.8094462170000001</c:v>
                </c:pt>
                <c:pt idx="398" formatCode="General">
                  <c:v>1.8094462170000001</c:v>
                </c:pt>
                <c:pt idx="399" formatCode="General">
                  <c:v>1.8094462170000001</c:v>
                </c:pt>
                <c:pt idx="400" formatCode="General">
                  <c:v>1.8094462170000001</c:v>
                </c:pt>
                <c:pt idx="401" formatCode="General">
                  <c:v>1.8094462170000001</c:v>
                </c:pt>
                <c:pt idx="402" formatCode="General">
                  <c:v>1.8094462170000001</c:v>
                </c:pt>
                <c:pt idx="403" formatCode="General">
                  <c:v>1.8094462170000001</c:v>
                </c:pt>
                <c:pt idx="404" formatCode="General">
                  <c:v>1.8094462170000001</c:v>
                </c:pt>
                <c:pt idx="405" formatCode="General">
                  <c:v>1.8094462170000001</c:v>
                </c:pt>
                <c:pt idx="406" formatCode="General">
                  <c:v>1.8094462170000001</c:v>
                </c:pt>
                <c:pt idx="407" formatCode="General">
                  <c:v>1.8094462170000001</c:v>
                </c:pt>
                <c:pt idx="408" formatCode="General">
                  <c:v>1.8094462170000001</c:v>
                </c:pt>
                <c:pt idx="409" formatCode="General">
                  <c:v>1.8094462170000001</c:v>
                </c:pt>
                <c:pt idx="410" formatCode="General">
                  <c:v>1.8094462170000001</c:v>
                </c:pt>
                <c:pt idx="411" formatCode="General">
                  <c:v>1.8094462170000001</c:v>
                </c:pt>
                <c:pt idx="412" formatCode="General">
                  <c:v>1.8094462170000001</c:v>
                </c:pt>
                <c:pt idx="413" formatCode="General">
                  <c:v>1.8094462170000001</c:v>
                </c:pt>
                <c:pt idx="414" formatCode="General">
                  <c:v>1.8094462170000001</c:v>
                </c:pt>
                <c:pt idx="415" formatCode="General">
                  <c:v>1.8094462170000001</c:v>
                </c:pt>
                <c:pt idx="416" formatCode="General">
                  <c:v>1.8094462170000001</c:v>
                </c:pt>
                <c:pt idx="417" formatCode="General">
                  <c:v>1.8094462170000001</c:v>
                </c:pt>
                <c:pt idx="418" formatCode="General">
                  <c:v>1.8094462170000001</c:v>
                </c:pt>
                <c:pt idx="419" formatCode="General">
                  <c:v>1.8094462170000001</c:v>
                </c:pt>
                <c:pt idx="420" formatCode="General">
                  <c:v>1.8094462170000001</c:v>
                </c:pt>
                <c:pt idx="421" formatCode="General">
                  <c:v>1.8094462170000001</c:v>
                </c:pt>
                <c:pt idx="422" formatCode="General">
                  <c:v>1.8094462170000001</c:v>
                </c:pt>
                <c:pt idx="423" formatCode="General">
                  <c:v>1.8094462170000001</c:v>
                </c:pt>
                <c:pt idx="424" formatCode="General">
                  <c:v>1.8094462170000001</c:v>
                </c:pt>
                <c:pt idx="425" formatCode="General">
                  <c:v>1.8094462170000001</c:v>
                </c:pt>
                <c:pt idx="426" formatCode="General">
                  <c:v>1.8094462170000001</c:v>
                </c:pt>
                <c:pt idx="427" formatCode="General">
                  <c:v>1.8094462170000001</c:v>
                </c:pt>
                <c:pt idx="428" formatCode="General">
                  <c:v>1.8094462170000001</c:v>
                </c:pt>
                <c:pt idx="429" formatCode="General">
                  <c:v>1.8094462170000001</c:v>
                </c:pt>
                <c:pt idx="430" formatCode="General">
                  <c:v>1.8094462170000001</c:v>
                </c:pt>
                <c:pt idx="431" formatCode="General">
                  <c:v>1.8094462170000001</c:v>
                </c:pt>
                <c:pt idx="432" formatCode="General">
                  <c:v>1.8094462170000001</c:v>
                </c:pt>
                <c:pt idx="433" formatCode="General">
                  <c:v>1.8094462170000001</c:v>
                </c:pt>
                <c:pt idx="434" formatCode="General">
                  <c:v>1.8094462170000001</c:v>
                </c:pt>
                <c:pt idx="435" formatCode="General">
                  <c:v>1.8094462170000001</c:v>
                </c:pt>
                <c:pt idx="436" formatCode="General">
                  <c:v>1.8094462170000001</c:v>
                </c:pt>
                <c:pt idx="437" formatCode="General">
                  <c:v>1.8094462170000001</c:v>
                </c:pt>
                <c:pt idx="438" formatCode="General">
                  <c:v>1.8094462170000001</c:v>
                </c:pt>
                <c:pt idx="439" formatCode="General">
                  <c:v>1.8094462170000001</c:v>
                </c:pt>
                <c:pt idx="440" formatCode="General">
                  <c:v>1.8094462170000001</c:v>
                </c:pt>
                <c:pt idx="441" formatCode="General">
                  <c:v>1.8094462170000001</c:v>
                </c:pt>
                <c:pt idx="442" formatCode="General">
                  <c:v>1.8094462170000001</c:v>
                </c:pt>
                <c:pt idx="443" formatCode="General">
                  <c:v>1.8094462170000001</c:v>
                </c:pt>
                <c:pt idx="444" formatCode="General">
                  <c:v>1.8094462170000001</c:v>
                </c:pt>
                <c:pt idx="445" formatCode="General">
                  <c:v>1.8094462170000001</c:v>
                </c:pt>
                <c:pt idx="446" formatCode="General">
                  <c:v>1.8094462170000001</c:v>
                </c:pt>
                <c:pt idx="447" formatCode="General">
                  <c:v>1.8094462170000001</c:v>
                </c:pt>
                <c:pt idx="448" formatCode="General">
                  <c:v>1.8094462170000001</c:v>
                </c:pt>
                <c:pt idx="449" formatCode="General">
                  <c:v>1.8094462170000001</c:v>
                </c:pt>
                <c:pt idx="450" formatCode="General">
                  <c:v>1.8094462170000001</c:v>
                </c:pt>
                <c:pt idx="451" formatCode="General">
                  <c:v>1.8094462170000001</c:v>
                </c:pt>
                <c:pt idx="452" formatCode="General">
                  <c:v>1.8094462170000001</c:v>
                </c:pt>
                <c:pt idx="453" formatCode="General">
                  <c:v>1.8094462170000001</c:v>
                </c:pt>
                <c:pt idx="454" formatCode="General">
                  <c:v>1.8094462170000001</c:v>
                </c:pt>
                <c:pt idx="455" formatCode="General">
                  <c:v>1.8094462170000001</c:v>
                </c:pt>
                <c:pt idx="456" formatCode="General">
                  <c:v>1.8094462170000001</c:v>
                </c:pt>
                <c:pt idx="457" formatCode="General">
                  <c:v>1.8094462170000001</c:v>
                </c:pt>
                <c:pt idx="458" formatCode="General">
                  <c:v>1.8094462170000001</c:v>
                </c:pt>
                <c:pt idx="459" formatCode="General">
                  <c:v>1.8094462170000001</c:v>
                </c:pt>
                <c:pt idx="460" formatCode="General">
                  <c:v>1.8094462170000001</c:v>
                </c:pt>
                <c:pt idx="461" formatCode="General">
                  <c:v>1.8094462170000001</c:v>
                </c:pt>
                <c:pt idx="462" formatCode="General">
                  <c:v>1.8094462170000001</c:v>
                </c:pt>
                <c:pt idx="463" formatCode="General">
                  <c:v>1.8094462170000001</c:v>
                </c:pt>
                <c:pt idx="464" formatCode="General">
                  <c:v>1.8094462170000001</c:v>
                </c:pt>
                <c:pt idx="465" formatCode="General">
                  <c:v>1.8094462170000001</c:v>
                </c:pt>
                <c:pt idx="466" formatCode="General">
                  <c:v>1.8094462170000001</c:v>
                </c:pt>
                <c:pt idx="467" formatCode="General">
                  <c:v>1.8094462170000001</c:v>
                </c:pt>
                <c:pt idx="468" formatCode="General">
                  <c:v>1.8094462170000001</c:v>
                </c:pt>
                <c:pt idx="469" formatCode="General">
                  <c:v>1.8094462170000001</c:v>
                </c:pt>
                <c:pt idx="470" formatCode="General">
                  <c:v>1.8094462170000001</c:v>
                </c:pt>
                <c:pt idx="471" formatCode="General">
                  <c:v>1.8094462170000001</c:v>
                </c:pt>
                <c:pt idx="472" formatCode="General">
                  <c:v>1.8094462170000001</c:v>
                </c:pt>
                <c:pt idx="473" formatCode="General">
                  <c:v>1.8094462170000001</c:v>
                </c:pt>
                <c:pt idx="474" formatCode="General">
                  <c:v>1.8094462170000001</c:v>
                </c:pt>
                <c:pt idx="475" formatCode="General">
                  <c:v>1.8094462170000001</c:v>
                </c:pt>
                <c:pt idx="476" formatCode="General">
                  <c:v>1.8094462170000001</c:v>
                </c:pt>
                <c:pt idx="477" formatCode="General">
                  <c:v>1.8094462170000001</c:v>
                </c:pt>
                <c:pt idx="478" formatCode="General">
                  <c:v>1.8094462170000001</c:v>
                </c:pt>
                <c:pt idx="479" formatCode="General">
                  <c:v>1.8094462170000001</c:v>
                </c:pt>
                <c:pt idx="480" formatCode="General">
                  <c:v>1.8094462170000001</c:v>
                </c:pt>
                <c:pt idx="481" formatCode="General">
                  <c:v>1.8094462170000001</c:v>
                </c:pt>
                <c:pt idx="482" formatCode="General">
                  <c:v>1.8094462170000001</c:v>
                </c:pt>
                <c:pt idx="483" formatCode="General">
                  <c:v>1.8094462170000001</c:v>
                </c:pt>
                <c:pt idx="484" formatCode="General">
                  <c:v>1.8094462170000001</c:v>
                </c:pt>
                <c:pt idx="485" formatCode="General">
                  <c:v>1.8094462170000001</c:v>
                </c:pt>
                <c:pt idx="486" formatCode="General">
                  <c:v>1.8094462170000001</c:v>
                </c:pt>
                <c:pt idx="487" formatCode="General">
                  <c:v>1.8094462170000001</c:v>
                </c:pt>
                <c:pt idx="488" formatCode="General">
                  <c:v>1.8094462170000001</c:v>
                </c:pt>
                <c:pt idx="489" formatCode="General">
                  <c:v>1.8094462170000001</c:v>
                </c:pt>
                <c:pt idx="490" formatCode="General">
                  <c:v>1.8094462170000001</c:v>
                </c:pt>
                <c:pt idx="491" formatCode="General">
                  <c:v>1.8094462170000001</c:v>
                </c:pt>
                <c:pt idx="492" formatCode="General">
                  <c:v>1.8094462170000001</c:v>
                </c:pt>
                <c:pt idx="493" formatCode="General">
                  <c:v>1.8094462170000001</c:v>
                </c:pt>
                <c:pt idx="494" formatCode="General">
                  <c:v>1.8094462170000001</c:v>
                </c:pt>
                <c:pt idx="495" formatCode="General">
                  <c:v>1.8094462170000001</c:v>
                </c:pt>
                <c:pt idx="496" formatCode="General">
                  <c:v>1.8094462170000001</c:v>
                </c:pt>
                <c:pt idx="497" formatCode="General">
                  <c:v>1.8094462170000001</c:v>
                </c:pt>
                <c:pt idx="498" formatCode="General">
                  <c:v>1.8094462170000001</c:v>
                </c:pt>
                <c:pt idx="499" formatCode="General">
                  <c:v>1.8094462170000001</c:v>
                </c:pt>
                <c:pt idx="500" formatCode="General">
                  <c:v>1.8094462170000001</c:v>
                </c:pt>
              </c:numCache>
            </c:numRef>
          </c:yVal>
          <c:smooth val="1"/>
          <c:extLst>
            <c:ext xmlns:c16="http://schemas.microsoft.com/office/drawing/2014/chart" uri="{C3380CC4-5D6E-409C-BE32-E72D297353CC}">
              <c16:uniqueId val="{00000000-F4C7-4AC2-8266-8199A7329A3B}"/>
            </c:ext>
          </c:extLst>
        </c:ser>
        <c:ser>
          <c:idx val="1"/>
          <c:order val="1"/>
          <c:tx>
            <c:v>Excel based</c:v>
          </c:tx>
          <c:spPr>
            <a:ln w="19050" cap="rnd">
              <a:solidFill>
                <a:schemeClr val="accent2"/>
              </a:solidFill>
              <a:round/>
            </a:ln>
            <a:effectLst/>
          </c:spPr>
          <c:marker>
            <c:symbol val="none"/>
          </c:marker>
          <c:xVal>
            <c:numRef>
              <c:f>'2.3.1'!$A$3:$A$503</c:f>
              <c:numCache>
                <c:formatCode>General</c:formatCode>
                <c:ptCount val="501"/>
                <c:pt idx="0">
                  <c:v>0</c:v>
                </c:pt>
                <c:pt idx="1">
                  <c:v>0.08</c:v>
                </c:pt>
                <c:pt idx="2">
                  <c:v>0.16</c:v>
                </c:pt>
                <c:pt idx="3">
                  <c:v>0.24</c:v>
                </c:pt>
                <c:pt idx="4">
                  <c:v>0.32</c:v>
                </c:pt>
                <c:pt idx="5">
                  <c:v>0.4</c:v>
                </c:pt>
                <c:pt idx="6">
                  <c:v>0.48</c:v>
                </c:pt>
                <c:pt idx="7">
                  <c:v>0.56000000000000005</c:v>
                </c:pt>
                <c:pt idx="8">
                  <c:v>0.64</c:v>
                </c:pt>
                <c:pt idx="9">
                  <c:v>0.72</c:v>
                </c:pt>
                <c:pt idx="10">
                  <c:v>0.8</c:v>
                </c:pt>
                <c:pt idx="11">
                  <c:v>0.88</c:v>
                </c:pt>
                <c:pt idx="12">
                  <c:v>0.96</c:v>
                </c:pt>
                <c:pt idx="13">
                  <c:v>1.04</c:v>
                </c:pt>
                <c:pt idx="14">
                  <c:v>1.1200000000000001</c:v>
                </c:pt>
                <c:pt idx="15">
                  <c:v>1.2</c:v>
                </c:pt>
                <c:pt idx="16">
                  <c:v>1.28</c:v>
                </c:pt>
                <c:pt idx="17">
                  <c:v>1.36</c:v>
                </c:pt>
                <c:pt idx="18">
                  <c:v>1.44</c:v>
                </c:pt>
                <c:pt idx="19">
                  <c:v>1.52</c:v>
                </c:pt>
                <c:pt idx="20">
                  <c:v>1.6</c:v>
                </c:pt>
                <c:pt idx="21">
                  <c:v>1.68</c:v>
                </c:pt>
                <c:pt idx="22">
                  <c:v>1.76</c:v>
                </c:pt>
                <c:pt idx="23">
                  <c:v>1.84</c:v>
                </c:pt>
                <c:pt idx="24">
                  <c:v>1.92</c:v>
                </c:pt>
                <c:pt idx="25">
                  <c:v>2</c:v>
                </c:pt>
                <c:pt idx="26">
                  <c:v>2.08</c:v>
                </c:pt>
                <c:pt idx="27">
                  <c:v>2.16</c:v>
                </c:pt>
                <c:pt idx="28">
                  <c:v>2.2400000000000002</c:v>
                </c:pt>
                <c:pt idx="29">
                  <c:v>2.3199999999999998</c:v>
                </c:pt>
                <c:pt idx="30">
                  <c:v>2.4</c:v>
                </c:pt>
                <c:pt idx="31">
                  <c:v>2.48</c:v>
                </c:pt>
                <c:pt idx="32">
                  <c:v>2.56</c:v>
                </c:pt>
                <c:pt idx="33">
                  <c:v>2.64</c:v>
                </c:pt>
                <c:pt idx="34">
                  <c:v>2.72</c:v>
                </c:pt>
                <c:pt idx="35">
                  <c:v>2.8</c:v>
                </c:pt>
                <c:pt idx="36">
                  <c:v>2.88</c:v>
                </c:pt>
                <c:pt idx="37">
                  <c:v>2.96</c:v>
                </c:pt>
                <c:pt idx="38">
                  <c:v>3.04</c:v>
                </c:pt>
                <c:pt idx="39">
                  <c:v>3.12</c:v>
                </c:pt>
                <c:pt idx="40">
                  <c:v>3.2</c:v>
                </c:pt>
                <c:pt idx="41">
                  <c:v>3.28</c:v>
                </c:pt>
                <c:pt idx="42">
                  <c:v>3.36</c:v>
                </c:pt>
                <c:pt idx="43">
                  <c:v>3.44</c:v>
                </c:pt>
                <c:pt idx="44">
                  <c:v>3.52</c:v>
                </c:pt>
                <c:pt idx="45">
                  <c:v>3.6</c:v>
                </c:pt>
                <c:pt idx="46">
                  <c:v>3.68</c:v>
                </c:pt>
                <c:pt idx="47">
                  <c:v>3.76</c:v>
                </c:pt>
                <c:pt idx="48">
                  <c:v>3.84</c:v>
                </c:pt>
                <c:pt idx="49">
                  <c:v>3.92</c:v>
                </c:pt>
                <c:pt idx="50">
                  <c:v>4</c:v>
                </c:pt>
                <c:pt idx="51">
                  <c:v>4.08</c:v>
                </c:pt>
                <c:pt idx="52">
                  <c:v>4.16</c:v>
                </c:pt>
                <c:pt idx="53">
                  <c:v>4.24</c:v>
                </c:pt>
                <c:pt idx="54">
                  <c:v>4.32</c:v>
                </c:pt>
                <c:pt idx="55">
                  <c:v>4.4000000000000004</c:v>
                </c:pt>
                <c:pt idx="56">
                  <c:v>4.4800000000000004</c:v>
                </c:pt>
                <c:pt idx="57">
                  <c:v>4.5599999999999996</c:v>
                </c:pt>
                <c:pt idx="58">
                  <c:v>4.6399999999999997</c:v>
                </c:pt>
                <c:pt idx="59">
                  <c:v>4.72</c:v>
                </c:pt>
                <c:pt idx="60">
                  <c:v>4.8</c:v>
                </c:pt>
                <c:pt idx="61">
                  <c:v>4.88</c:v>
                </c:pt>
                <c:pt idx="62">
                  <c:v>4.96</c:v>
                </c:pt>
                <c:pt idx="63">
                  <c:v>5.04</c:v>
                </c:pt>
                <c:pt idx="64">
                  <c:v>5.12</c:v>
                </c:pt>
                <c:pt idx="65">
                  <c:v>5.2</c:v>
                </c:pt>
                <c:pt idx="66">
                  <c:v>5.28</c:v>
                </c:pt>
                <c:pt idx="67">
                  <c:v>5.36</c:v>
                </c:pt>
                <c:pt idx="68">
                  <c:v>5.44</c:v>
                </c:pt>
                <c:pt idx="69">
                  <c:v>5.52</c:v>
                </c:pt>
                <c:pt idx="70">
                  <c:v>5.6</c:v>
                </c:pt>
                <c:pt idx="71">
                  <c:v>5.68</c:v>
                </c:pt>
                <c:pt idx="72">
                  <c:v>5.76</c:v>
                </c:pt>
                <c:pt idx="73">
                  <c:v>5.84</c:v>
                </c:pt>
                <c:pt idx="74">
                  <c:v>5.92</c:v>
                </c:pt>
                <c:pt idx="75">
                  <c:v>6</c:v>
                </c:pt>
                <c:pt idx="76">
                  <c:v>6.08</c:v>
                </c:pt>
                <c:pt idx="77">
                  <c:v>6.16</c:v>
                </c:pt>
                <c:pt idx="78">
                  <c:v>6.24</c:v>
                </c:pt>
                <c:pt idx="79">
                  <c:v>6.32</c:v>
                </c:pt>
                <c:pt idx="80">
                  <c:v>6.4</c:v>
                </c:pt>
                <c:pt idx="81">
                  <c:v>6.48</c:v>
                </c:pt>
                <c:pt idx="82">
                  <c:v>6.56</c:v>
                </c:pt>
                <c:pt idx="83">
                  <c:v>6.64</c:v>
                </c:pt>
                <c:pt idx="84">
                  <c:v>6.72</c:v>
                </c:pt>
                <c:pt idx="85">
                  <c:v>6.8</c:v>
                </c:pt>
                <c:pt idx="86">
                  <c:v>6.88</c:v>
                </c:pt>
                <c:pt idx="87">
                  <c:v>6.96</c:v>
                </c:pt>
                <c:pt idx="88">
                  <c:v>7.04</c:v>
                </c:pt>
                <c:pt idx="89">
                  <c:v>7.12</c:v>
                </c:pt>
                <c:pt idx="90">
                  <c:v>7.2</c:v>
                </c:pt>
                <c:pt idx="91">
                  <c:v>7.28</c:v>
                </c:pt>
                <c:pt idx="92">
                  <c:v>7.36</c:v>
                </c:pt>
                <c:pt idx="93">
                  <c:v>7.44</c:v>
                </c:pt>
                <c:pt idx="94">
                  <c:v>7.52</c:v>
                </c:pt>
                <c:pt idx="95">
                  <c:v>7.6</c:v>
                </c:pt>
                <c:pt idx="96">
                  <c:v>7.68</c:v>
                </c:pt>
                <c:pt idx="97">
                  <c:v>7.76</c:v>
                </c:pt>
                <c:pt idx="98">
                  <c:v>7.84</c:v>
                </c:pt>
                <c:pt idx="99">
                  <c:v>7.92</c:v>
                </c:pt>
                <c:pt idx="100">
                  <c:v>8</c:v>
                </c:pt>
                <c:pt idx="101">
                  <c:v>8.08</c:v>
                </c:pt>
                <c:pt idx="102">
                  <c:v>8.16</c:v>
                </c:pt>
                <c:pt idx="103">
                  <c:v>8.24</c:v>
                </c:pt>
                <c:pt idx="104">
                  <c:v>8.32</c:v>
                </c:pt>
                <c:pt idx="105">
                  <c:v>8.4</c:v>
                </c:pt>
                <c:pt idx="106">
                  <c:v>8.48</c:v>
                </c:pt>
                <c:pt idx="107">
                  <c:v>8.56</c:v>
                </c:pt>
                <c:pt idx="108">
                  <c:v>8.64</c:v>
                </c:pt>
                <c:pt idx="109">
                  <c:v>8.7200000000000006</c:v>
                </c:pt>
                <c:pt idx="110">
                  <c:v>8.8000000000000007</c:v>
                </c:pt>
                <c:pt idx="111">
                  <c:v>8.8800000000000008</c:v>
                </c:pt>
                <c:pt idx="112">
                  <c:v>8.9600000000000009</c:v>
                </c:pt>
                <c:pt idx="113">
                  <c:v>9.0399999999999991</c:v>
                </c:pt>
                <c:pt idx="114">
                  <c:v>9.1199999999999992</c:v>
                </c:pt>
                <c:pt idx="115">
                  <c:v>9.1999999999999993</c:v>
                </c:pt>
                <c:pt idx="116">
                  <c:v>9.2799999999999994</c:v>
                </c:pt>
                <c:pt idx="117">
                  <c:v>9.36</c:v>
                </c:pt>
                <c:pt idx="118">
                  <c:v>9.44</c:v>
                </c:pt>
                <c:pt idx="119">
                  <c:v>9.52</c:v>
                </c:pt>
                <c:pt idx="120">
                  <c:v>9.6</c:v>
                </c:pt>
                <c:pt idx="121">
                  <c:v>9.68</c:v>
                </c:pt>
                <c:pt idx="122">
                  <c:v>9.76</c:v>
                </c:pt>
                <c:pt idx="123">
                  <c:v>9.84</c:v>
                </c:pt>
                <c:pt idx="124">
                  <c:v>9.92</c:v>
                </c:pt>
                <c:pt idx="125">
                  <c:v>10</c:v>
                </c:pt>
                <c:pt idx="126">
                  <c:v>10.08</c:v>
                </c:pt>
                <c:pt idx="127">
                  <c:v>10.16</c:v>
                </c:pt>
                <c:pt idx="128">
                  <c:v>10.24</c:v>
                </c:pt>
                <c:pt idx="129">
                  <c:v>10.32</c:v>
                </c:pt>
                <c:pt idx="130">
                  <c:v>10.4</c:v>
                </c:pt>
                <c:pt idx="131">
                  <c:v>10.48</c:v>
                </c:pt>
                <c:pt idx="132">
                  <c:v>10.56</c:v>
                </c:pt>
                <c:pt idx="133">
                  <c:v>10.64</c:v>
                </c:pt>
                <c:pt idx="134">
                  <c:v>10.72</c:v>
                </c:pt>
                <c:pt idx="135">
                  <c:v>10.8</c:v>
                </c:pt>
                <c:pt idx="136">
                  <c:v>10.88</c:v>
                </c:pt>
                <c:pt idx="137">
                  <c:v>10.96</c:v>
                </c:pt>
                <c:pt idx="138">
                  <c:v>11.04</c:v>
                </c:pt>
                <c:pt idx="139">
                  <c:v>11.12</c:v>
                </c:pt>
                <c:pt idx="140">
                  <c:v>11.2</c:v>
                </c:pt>
                <c:pt idx="141">
                  <c:v>11.28</c:v>
                </c:pt>
                <c:pt idx="142">
                  <c:v>11.36</c:v>
                </c:pt>
                <c:pt idx="143">
                  <c:v>11.44</c:v>
                </c:pt>
                <c:pt idx="144">
                  <c:v>11.52</c:v>
                </c:pt>
                <c:pt idx="145">
                  <c:v>11.6</c:v>
                </c:pt>
                <c:pt idx="146">
                  <c:v>11.68</c:v>
                </c:pt>
                <c:pt idx="147">
                  <c:v>11.76</c:v>
                </c:pt>
                <c:pt idx="148">
                  <c:v>11.84</c:v>
                </c:pt>
                <c:pt idx="149">
                  <c:v>11.92</c:v>
                </c:pt>
                <c:pt idx="150">
                  <c:v>12</c:v>
                </c:pt>
                <c:pt idx="151">
                  <c:v>12.08</c:v>
                </c:pt>
                <c:pt idx="152">
                  <c:v>12.16</c:v>
                </c:pt>
                <c:pt idx="153">
                  <c:v>12.24</c:v>
                </c:pt>
                <c:pt idx="154">
                  <c:v>12.32</c:v>
                </c:pt>
                <c:pt idx="155">
                  <c:v>12.4</c:v>
                </c:pt>
                <c:pt idx="156">
                  <c:v>12.48</c:v>
                </c:pt>
                <c:pt idx="157">
                  <c:v>12.56</c:v>
                </c:pt>
                <c:pt idx="158">
                  <c:v>12.64</c:v>
                </c:pt>
                <c:pt idx="159">
                  <c:v>12.72</c:v>
                </c:pt>
                <c:pt idx="160">
                  <c:v>12.8</c:v>
                </c:pt>
                <c:pt idx="161">
                  <c:v>12.88</c:v>
                </c:pt>
                <c:pt idx="162">
                  <c:v>12.96</c:v>
                </c:pt>
                <c:pt idx="163">
                  <c:v>13.04</c:v>
                </c:pt>
                <c:pt idx="164">
                  <c:v>13.12</c:v>
                </c:pt>
                <c:pt idx="165">
                  <c:v>13.2</c:v>
                </c:pt>
                <c:pt idx="166">
                  <c:v>13.28</c:v>
                </c:pt>
                <c:pt idx="167">
                  <c:v>13.36</c:v>
                </c:pt>
                <c:pt idx="168">
                  <c:v>13.44</c:v>
                </c:pt>
                <c:pt idx="169">
                  <c:v>13.52</c:v>
                </c:pt>
                <c:pt idx="170">
                  <c:v>13.6</c:v>
                </c:pt>
                <c:pt idx="171">
                  <c:v>13.68</c:v>
                </c:pt>
                <c:pt idx="172">
                  <c:v>13.76</c:v>
                </c:pt>
                <c:pt idx="173">
                  <c:v>13.84</c:v>
                </c:pt>
                <c:pt idx="174">
                  <c:v>13.92</c:v>
                </c:pt>
                <c:pt idx="175">
                  <c:v>14</c:v>
                </c:pt>
                <c:pt idx="176">
                  <c:v>14.08</c:v>
                </c:pt>
                <c:pt idx="177">
                  <c:v>14.16</c:v>
                </c:pt>
                <c:pt idx="178">
                  <c:v>14.24</c:v>
                </c:pt>
                <c:pt idx="179">
                  <c:v>14.32</c:v>
                </c:pt>
                <c:pt idx="180">
                  <c:v>14.4</c:v>
                </c:pt>
                <c:pt idx="181">
                  <c:v>14.48</c:v>
                </c:pt>
                <c:pt idx="182">
                  <c:v>14.56</c:v>
                </c:pt>
                <c:pt idx="183">
                  <c:v>14.64</c:v>
                </c:pt>
                <c:pt idx="184">
                  <c:v>14.72</c:v>
                </c:pt>
                <c:pt idx="185">
                  <c:v>14.8</c:v>
                </c:pt>
                <c:pt idx="186">
                  <c:v>14.88</c:v>
                </c:pt>
                <c:pt idx="187">
                  <c:v>14.96</c:v>
                </c:pt>
                <c:pt idx="188">
                  <c:v>15.04</c:v>
                </c:pt>
                <c:pt idx="189">
                  <c:v>15.12</c:v>
                </c:pt>
                <c:pt idx="190">
                  <c:v>15.2</c:v>
                </c:pt>
                <c:pt idx="191">
                  <c:v>15.28</c:v>
                </c:pt>
                <c:pt idx="192">
                  <c:v>15.36</c:v>
                </c:pt>
                <c:pt idx="193">
                  <c:v>15.44</c:v>
                </c:pt>
                <c:pt idx="194">
                  <c:v>15.52</c:v>
                </c:pt>
                <c:pt idx="195">
                  <c:v>15.6</c:v>
                </c:pt>
                <c:pt idx="196">
                  <c:v>15.68</c:v>
                </c:pt>
                <c:pt idx="197">
                  <c:v>15.76</c:v>
                </c:pt>
                <c:pt idx="198">
                  <c:v>15.84</c:v>
                </c:pt>
                <c:pt idx="199">
                  <c:v>15.92</c:v>
                </c:pt>
                <c:pt idx="200">
                  <c:v>16</c:v>
                </c:pt>
                <c:pt idx="201">
                  <c:v>16.079999999999998</c:v>
                </c:pt>
                <c:pt idx="202">
                  <c:v>16.16</c:v>
                </c:pt>
                <c:pt idx="203">
                  <c:v>16.239999999999998</c:v>
                </c:pt>
                <c:pt idx="204">
                  <c:v>16.32</c:v>
                </c:pt>
                <c:pt idx="205">
                  <c:v>16.399999999999999</c:v>
                </c:pt>
                <c:pt idx="206">
                  <c:v>16.48</c:v>
                </c:pt>
                <c:pt idx="207">
                  <c:v>16.559999999999999</c:v>
                </c:pt>
                <c:pt idx="208">
                  <c:v>16.64</c:v>
                </c:pt>
                <c:pt idx="209">
                  <c:v>16.72</c:v>
                </c:pt>
                <c:pt idx="210">
                  <c:v>16.8</c:v>
                </c:pt>
                <c:pt idx="211">
                  <c:v>16.88</c:v>
                </c:pt>
                <c:pt idx="212">
                  <c:v>16.96</c:v>
                </c:pt>
                <c:pt idx="213">
                  <c:v>17.04</c:v>
                </c:pt>
                <c:pt idx="214">
                  <c:v>17.12</c:v>
                </c:pt>
                <c:pt idx="215">
                  <c:v>17.2</c:v>
                </c:pt>
                <c:pt idx="216">
                  <c:v>17.28</c:v>
                </c:pt>
                <c:pt idx="217">
                  <c:v>17.36</c:v>
                </c:pt>
                <c:pt idx="218">
                  <c:v>17.440000000000001</c:v>
                </c:pt>
                <c:pt idx="219">
                  <c:v>17.52</c:v>
                </c:pt>
                <c:pt idx="220">
                  <c:v>17.600000000000001</c:v>
                </c:pt>
                <c:pt idx="221">
                  <c:v>17.68</c:v>
                </c:pt>
                <c:pt idx="222">
                  <c:v>17.760000000000002</c:v>
                </c:pt>
                <c:pt idx="223">
                  <c:v>17.84</c:v>
                </c:pt>
                <c:pt idx="224">
                  <c:v>17.920000000000002</c:v>
                </c:pt>
                <c:pt idx="225">
                  <c:v>18</c:v>
                </c:pt>
                <c:pt idx="226">
                  <c:v>18.079999999999998</c:v>
                </c:pt>
                <c:pt idx="227">
                  <c:v>18.16</c:v>
                </c:pt>
                <c:pt idx="228">
                  <c:v>18.239999999999998</c:v>
                </c:pt>
                <c:pt idx="229">
                  <c:v>18.32</c:v>
                </c:pt>
                <c:pt idx="230">
                  <c:v>18.399999999999999</c:v>
                </c:pt>
                <c:pt idx="231">
                  <c:v>18.48</c:v>
                </c:pt>
                <c:pt idx="232">
                  <c:v>18.559999999999999</c:v>
                </c:pt>
                <c:pt idx="233">
                  <c:v>18.64</c:v>
                </c:pt>
                <c:pt idx="234">
                  <c:v>18.72</c:v>
                </c:pt>
                <c:pt idx="235">
                  <c:v>18.8</c:v>
                </c:pt>
                <c:pt idx="236">
                  <c:v>18.88</c:v>
                </c:pt>
                <c:pt idx="237">
                  <c:v>18.96</c:v>
                </c:pt>
                <c:pt idx="238">
                  <c:v>19.04</c:v>
                </c:pt>
                <c:pt idx="239">
                  <c:v>19.12</c:v>
                </c:pt>
                <c:pt idx="240">
                  <c:v>19.2</c:v>
                </c:pt>
                <c:pt idx="241">
                  <c:v>19.28</c:v>
                </c:pt>
                <c:pt idx="242">
                  <c:v>19.36</c:v>
                </c:pt>
                <c:pt idx="243">
                  <c:v>19.440000000000001</c:v>
                </c:pt>
                <c:pt idx="244">
                  <c:v>19.52</c:v>
                </c:pt>
                <c:pt idx="245">
                  <c:v>19.600000000000001</c:v>
                </c:pt>
                <c:pt idx="246">
                  <c:v>19.68</c:v>
                </c:pt>
                <c:pt idx="247">
                  <c:v>19.760000000000002</c:v>
                </c:pt>
                <c:pt idx="248">
                  <c:v>19.84</c:v>
                </c:pt>
                <c:pt idx="249">
                  <c:v>19.920000000000002</c:v>
                </c:pt>
                <c:pt idx="250">
                  <c:v>20</c:v>
                </c:pt>
                <c:pt idx="251">
                  <c:v>20.079999999999998</c:v>
                </c:pt>
                <c:pt idx="252">
                  <c:v>20.16</c:v>
                </c:pt>
                <c:pt idx="253">
                  <c:v>20.239999999999998</c:v>
                </c:pt>
                <c:pt idx="254">
                  <c:v>20.32</c:v>
                </c:pt>
                <c:pt idx="255">
                  <c:v>20.399999999999999</c:v>
                </c:pt>
                <c:pt idx="256">
                  <c:v>20.48</c:v>
                </c:pt>
                <c:pt idx="257">
                  <c:v>20.56</c:v>
                </c:pt>
                <c:pt idx="258">
                  <c:v>20.64</c:v>
                </c:pt>
                <c:pt idx="259">
                  <c:v>20.72</c:v>
                </c:pt>
                <c:pt idx="260">
                  <c:v>20.8</c:v>
                </c:pt>
                <c:pt idx="261">
                  <c:v>20.88</c:v>
                </c:pt>
                <c:pt idx="262">
                  <c:v>20.96</c:v>
                </c:pt>
                <c:pt idx="263">
                  <c:v>21.04</c:v>
                </c:pt>
                <c:pt idx="264">
                  <c:v>21.12</c:v>
                </c:pt>
                <c:pt idx="265">
                  <c:v>21.2</c:v>
                </c:pt>
                <c:pt idx="266">
                  <c:v>21.28</c:v>
                </c:pt>
                <c:pt idx="267">
                  <c:v>21.36</c:v>
                </c:pt>
                <c:pt idx="268">
                  <c:v>21.44</c:v>
                </c:pt>
                <c:pt idx="269">
                  <c:v>21.52</c:v>
                </c:pt>
                <c:pt idx="270">
                  <c:v>21.6</c:v>
                </c:pt>
                <c:pt idx="271">
                  <c:v>21.68</c:v>
                </c:pt>
                <c:pt idx="272">
                  <c:v>21.76</c:v>
                </c:pt>
                <c:pt idx="273">
                  <c:v>21.84</c:v>
                </c:pt>
                <c:pt idx="274">
                  <c:v>21.92</c:v>
                </c:pt>
                <c:pt idx="275">
                  <c:v>22</c:v>
                </c:pt>
                <c:pt idx="276">
                  <c:v>22.08</c:v>
                </c:pt>
                <c:pt idx="277">
                  <c:v>22.16</c:v>
                </c:pt>
                <c:pt idx="278">
                  <c:v>22.24</c:v>
                </c:pt>
                <c:pt idx="279">
                  <c:v>22.32</c:v>
                </c:pt>
                <c:pt idx="280">
                  <c:v>22.4</c:v>
                </c:pt>
                <c:pt idx="281">
                  <c:v>22.48</c:v>
                </c:pt>
                <c:pt idx="282">
                  <c:v>22.56</c:v>
                </c:pt>
                <c:pt idx="283">
                  <c:v>22.64</c:v>
                </c:pt>
                <c:pt idx="284">
                  <c:v>22.72</c:v>
                </c:pt>
                <c:pt idx="285">
                  <c:v>22.8</c:v>
                </c:pt>
                <c:pt idx="286">
                  <c:v>22.88</c:v>
                </c:pt>
                <c:pt idx="287">
                  <c:v>22.96</c:v>
                </c:pt>
                <c:pt idx="288">
                  <c:v>23.04</c:v>
                </c:pt>
                <c:pt idx="289">
                  <c:v>23.12</c:v>
                </c:pt>
                <c:pt idx="290">
                  <c:v>23.2</c:v>
                </c:pt>
                <c:pt idx="291">
                  <c:v>23.28</c:v>
                </c:pt>
                <c:pt idx="292">
                  <c:v>23.36</c:v>
                </c:pt>
                <c:pt idx="293">
                  <c:v>23.44</c:v>
                </c:pt>
                <c:pt idx="294">
                  <c:v>23.52</c:v>
                </c:pt>
                <c:pt idx="295">
                  <c:v>23.6</c:v>
                </c:pt>
                <c:pt idx="296">
                  <c:v>23.68</c:v>
                </c:pt>
                <c:pt idx="297">
                  <c:v>23.76</c:v>
                </c:pt>
                <c:pt idx="298">
                  <c:v>23.84</c:v>
                </c:pt>
                <c:pt idx="299">
                  <c:v>23.92</c:v>
                </c:pt>
                <c:pt idx="300">
                  <c:v>24</c:v>
                </c:pt>
                <c:pt idx="301">
                  <c:v>24.08</c:v>
                </c:pt>
                <c:pt idx="302">
                  <c:v>24.16</c:v>
                </c:pt>
                <c:pt idx="303">
                  <c:v>24.24</c:v>
                </c:pt>
                <c:pt idx="304">
                  <c:v>24.32</c:v>
                </c:pt>
                <c:pt idx="305">
                  <c:v>24.4</c:v>
                </c:pt>
                <c:pt idx="306">
                  <c:v>24.48</c:v>
                </c:pt>
                <c:pt idx="307">
                  <c:v>24.56</c:v>
                </c:pt>
                <c:pt idx="308">
                  <c:v>24.64</c:v>
                </c:pt>
                <c:pt idx="309">
                  <c:v>24.72</c:v>
                </c:pt>
                <c:pt idx="310">
                  <c:v>24.8</c:v>
                </c:pt>
                <c:pt idx="311">
                  <c:v>24.88</c:v>
                </c:pt>
                <c:pt idx="312">
                  <c:v>24.96</c:v>
                </c:pt>
                <c:pt idx="313">
                  <c:v>25.04</c:v>
                </c:pt>
                <c:pt idx="314">
                  <c:v>25.12</c:v>
                </c:pt>
                <c:pt idx="315">
                  <c:v>25.2</c:v>
                </c:pt>
                <c:pt idx="316">
                  <c:v>25.28</c:v>
                </c:pt>
                <c:pt idx="317">
                  <c:v>25.36</c:v>
                </c:pt>
                <c:pt idx="318">
                  <c:v>25.44</c:v>
                </c:pt>
                <c:pt idx="319">
                  <c:v>25.52</c:v>
                </c:pt>
                <c:pt idx="320">
                  <c:v>25.6</c:v>
                </c:pt>
                <c:pt idx="321">
                  <c:v>25.68</c:v>
                </c:pt>
                <c:pt idx="322">
                  <c:v>25.76</c:v>
                </c:pt>
                <c:pt idx="323">
                  <c:v>25.84</c:v>
                </c:pt>
                <c:pt idx="324">
                  <c:v>25.92</c:v>
                </c:pt>
                <c:pt idx="325">
                  <c:v>26</c:v>
                </c:pt>
                <c:pt idx="326">
                  <c:v>26.08</c:v>
                </c:pt>
                <c:pt idx="327">
                  <c:v>26.16</c:v>
                </c:pt>
                <c:pt idx="328">
                  <c:v>26.24</c:v>
                </c:pt>
                <c:pt idx="329">
                  <c:v>26.32</c:v>
                </c:pt>
                <c:pt idx="330">
                  <c:v>26.4</c:v>
                </c:pt>
                <c:pt idx="331">
                  <c:v>26.48</c:v>
                </c:pt>
                <c:pt idx="332">
                  <c:v>26.56</c:v>
                </c:pt>
                <c:pt idx="333">
                  <c:v>26.64</c:v>
                </c:pt>
                <c:pt idx="334">
                  <c:v>26.72</c:v>
                </c:pt>
                <c:pt idx="335">
                  <c:v>26.8</c:v>
                </c:pt>
                <c:pt idx="336">
                  <c:v>26.88</c:v>
                </c:pt>
                <c:pt idx="337">
                  <c:v>26.96</c:v>
                </c:pt>
                <c:pt idx="338">
                  <c:v>27.04</c:v>
                </c:pt>
                <c:pt idx="339">
                  <c:v>27.12</c:v>
                </c:pt>
                <c:pt idx="340">
                  <c:v>27.2</c:v>
                </c:pt>
                <c:pt idx="341">
                  <c:v>27.28</c:v>
                </c:pt>
                <c:pt idx="342">
                  <c:v>27.36</c:v>
                </c:pt>
                <c:pt idx="343">
                  <c:v>27.44</c:v>
                </c:pt>
                <c:pt idx="344">
                  <c:v>27.52</c:v>
                </c:pt>
                <c:pt idx="345">
                  <c:v>27.6</c:v>
                </c:pt>
                <c:pt idx="346">
                  <c:v>27.68</c:v>
                </c:pt>
                <c:pt idx="347">
                  <c:v>27.76</c:v>
                </c:pt>
                <c:pt idx="348">
                  <c:v>27.84</c:v>
                </c:pt>
                <c:pt idx="349">
                  <c:v>27.92</c:v>
                </c:pt>
                <c:pt idx="350">
                  <c:v>28</c:v>
                </c:pt>
                <c:pt idx="351">
                  <c:v>28.08</c:v>
                </c:pt>
                <c:pt idx="352">
                  <c:v>28.16</c:v>
                </c:pt>
                <c:pt idx="353">
                  <c:v>28.24</c:v>
                </c:pt>
                <c:pt idx="354">
                  <c:v>28.32</c:v>
                </c:pt>
                <c:pt idx="355">
                  <c:v>28.4</c:v>
                </c:pt>
                <c:pt idx="356">
                  <c:v>28.48</c:v>
                </c:pt>
                <c:pt idx="357">
                  <c:v>28.56</c:v>
                </c:pt>
                <c:pt idx="358">
                  <c:v>28.64</c:v>
                </c:pt>
                <c:pt idx="359">
                  <c:v>28.72</c:v>
                </c:pt>
                <c:pt idx="360">
                  <c:v>28.8</c:v>
                </c:pt>
                <c:pt idx="361">
                  <c:v>28.88</c:v>
                </c:pt>
                <c:pt idx="362">
                  <c:v>28.96</c:v>
                </c:pt>
                <c:pt idx="363">
                  <c:v>29.04</c:v>
                </c:pt>
                <c:pt idx="364">
                  <c:v>29.12</c:v>
                </c:pt>
                <c:pt idx="365">
                  <c:v>29.2</c:v>
                </c:pt>
                <c:pt idx="366">
                  <c:v>29.28</c:v>
                </c:pt>
                <c:pt idx="367">
                  <c:v>29.36</c:v>
                </c:pt>
                <c:pt idx="368">
                  <c:v>29.44</c:v>
                </c:pt>
                <c:pt idx="369">
                  <c:v>29.52</c:v>
                </c:pt>
                <c:pt idx="370">
                  <c:v>29.6</c:v>
                </c:pt>
                <c:pt idx="371">
                  <c:v>29.68</c:v>
                </c:pt>
                <c:pt idx="372">
                  <c:v>29.76</c:v>
                </c:pt>
                <c:pt idx="373">
                  <c:v>29.84</c:v>
                </c:pt>
                <c:pt idx="374">
                  <c:v>29.92</c:v>
                </c:pt>
                <c:pt idx="375">
                  <c:v>30</c:v>
                </c:pt>
                <c:pt idx="376">
                  <c:v>30.08</c:v>
                </c:pt>
                <c:pt idx="377">
                  <c:v>30.16</c:v>
                </c:pt>
                <c:pt idx="378">
                  <c:v>30.24</c:v>
                </c:pt>
                <c:pt idx="379">
                  <c:v>30.32</c:v>
                </c:pt>
                <c:pt idx="380">
                  <c:v>30.4</c:v>
                </c:pt>
                <c:pt idx="381">
                  <c:v>30.48</c:v>
                </c:pt>
                <c:pt idx="382">
                  <c:v>30.56</c:v>
                </c:pt>
                <c:pt idx="383">
                  <c:v>30.64</c:v>
                </c:pt>
                <c:pt idx="384">
                  <c:v>30.72</c:v>
                </c:pt>
                <c:pt idx="385">
                  <c:v>30.8</c:v>
                </c:pt>
                <c:pt idx="386">
                  <c:v>30.88</c:v>
                </c:pt>
                <c:pt idx="387">
                  <c:v>30.96</c:v>
                </c:pt>
                <c:pt idx="388">
                  <c:v>31.04</c:v>
                </c:pt>
                <c:pt idx="389">
                  <c:v>31.12</c:v>
                </c:pt>
                <c:pt idx="390">
                  <c:v>31.2</c:v>
                </c:pt>
                <c:pt idx="391">
                  <c:v>31.28</c:v>
                </c:pt>
                <c:pt idx="392">
                  <c:v>31.36</c:v>
                </c:pt>
                <c:pt idx="393">
                  <c:v>31.44</c:v>
                </c:pt>
                <c:pt idx="394">
                  <c:v>31.52</c:v>
                </c:pt>
                <c:pt idx="395">
                  <c:v>31.6</c:v>
                </c:pt>
                <c:pt idx="396">
                  <c:v>31.68</c:v>
                </c:pt>
                <c:pt idx="397">
                  <c:v>31.76</c:v>
                </c:pt>
                <c:pt idx="398">
                  <c:v>31.84</c:v>
                </c:pt>
                <c:pt idx="399">
                  <c:v>31.92</c:v>
                </c:pt>
                <c:pt idx="400">
                  <c:v>32</c:v>
                </c:pt>
                <c:pt idx="401">
                  <c:v>32.08</c:v>
                </c:pt>
                <c:pt idx="402">
                  <c:v>32.159999999999997</c:v>
                </c:pt>
                <c:pt idx="403">
                  <c:v>32.24</c:v>
                </c:pt>
                <c:pt idx="404">
                  <c:v>32.32</c:v>
                </c:pt>
                <c:pt idx="405">
                  <c:v>32.4</c:v>
                </c:pt>
                <c:pt idx="406">
                  <c:v>32.479999999999997</c:v>
                </c:pt>
                <c:pt idx="407">
                  <c:v>32.56</c:v>
                </c:pt>
                <c:pt idx="408">
                  <c:v>32.64</c:v>
                </c:pt>
                <c:pt idx="409">
                  <c:v>32.72</c:v>
                </c:pt>
                <c:pt idx="410">
                  <c:v>32.799999999999997</c:v>
                </c:pt>
                <c:pt idx="411">
                  <c:v>32.880000000000003</c:v>
                </c:pt>
                <c:pt idx="412">
                  <c:v>32.96</c:v>
                </c:pt>
                <c:pt idx="413">
                  <c:v>33.04</c:v>
                </c:pt>
                <c:pt idx="414">
                  <c:v>33.119999999999997</c:v>
                </c:pt>
                <c:pt idx="415">
                  <c:v>33.200000000000003</c:v>
                </c:pt>
                <c:pt idx="416">
                  <c:v>33.28</c:v>
                </c:pt>
                <c:pt idx="417">
                  <c:v>33.36</c:v>
                </c:pt>
                <c:pt idx="418">
                  <c:v>33.44</c:v>
                </c:pt>
                <c:pt idx="419">
                  <c:v>33.520000000000003</c:v>
                </c:pt>
                <c:pt idx="420">
                  <c:v>33.6</c:v>
                </c:pt>
                <c:pt idx="421">
                  <c:v>33.68</c:v>
                </c:pt>
                <c:pt idx="422">
                  <c:v>33.76</c:v>
                </c:pt>
                <c:pt idx="423">
                  <c:v>33.840000000000003</c:v>
                </c:pt>
                <c:pt idx="424">
                  <c:v>33.92</c:v>
                </c:pt>
                <c:pt idx="425">
                  <c:v>34</c:v>
                </c:pt>
                <c:pt idx="426">
                  <c:v>34.08</c:v>
                </c:pt>
                <c:pt idx="427">
                  <c:v>34.159999999999997</c:v>
                </c:pt>
                <c:pt idx="428">
                  <c:v>34.24</c:v>
                </c:pt>
                <c:pt idx="429">
                  <c:v>34.32</c:v>
                </c:pt>
                <c:pt idx="430">
                  <c:v>34.4</c:v>
                </c:pt>
                <c:pt idx="431">
                  <c:v>34.479999999999997</c:v>
                </c:pt>
                <c:pt idx="432">
                  <c:v>34.56</c:v>
                </c:pt>
                <c:pt idx="433">
                  <c:v>34.64</c:v>
                </c:pt>
                <c:pt idx="434">
                  <c:v>34.72</c:v>
                </c:pt>
                <c:pt idx="435">
                  <c:v>34.799999999999997</c:v>
                </c:pt>
                <c:pt idx="436">
                  <c:v>34.880000000000003</c:v>
                </c:pt>
                <c:pt idx="437">
                  <c:v>34.96</c:v>
                </c:pt>
                <c:pt idx="438">
                  <c:v>35.04</c:v>
                </c:pt>
                <c:pt idx="439">
                  <c:v>35.119999999999997</c:v>
                </c:pt>
                <c:pt idx="440">
                  <c:v>35.200000000000003</c:v>
                </c:pt>
                <c:pt idx="441">
                  <c:v>35.28</c:v>
                </c:pt>
                <c:pt idx="442">
                  <c:v>35.36</c:v>
                </c:pt>
                <c:pt idx="443">
                  <c:v>35.44</c:v>
                </c:pt>
                <c:pt idx="444">
                  <c:v>35.520000000000003</c:v>
                </c:pt>
                <c:pt idx="445">
                  <c:v>35.6</c:v>
                </c:pt>
                <c:pt idx="446">
                  <c:v>35.68</c:v>
                </c:pt>
                <c:pt idx="447">
                  <c:v>35.76</c:v>
                </c:pt>
                <c:pt idx="448">
                  <c:v>35.840000000000003</c:v>
                </c:pt>
                <c:pt idx="449">
                  <c:v>35.92</c:v>
                </c:pt>
                <c:pt idx="450">
                  <c:v>36</c:v>
                </c:pt>
                <c:pt idx="451">
                  <c:v>36.08</c:v>
                </c:pt>
                <c:pt idx="452">
                  <c:v>36.159999999999997</c:v>
                </c:pt>
                <c:pt idx="453">
                  <c:v>36.24</c:v>
                </c:pt>
                <c:pt idx="454">
                  <c:v>36.32</c:v>
                </c:pt>
                <c:pt idx="455">
                  <c:v>36.4</c:v>
                </c:pt>
                <c:pt idx="456">
                  <c:v>36.479999999999997</c:v>
                </c:pt>
                <c:pt idx="457">
                  <c:v>36.56</c:v>
                </c:pt>
                <c:pt idx="458">
                  <c:v>36.64</c:v>
                </c:pt>
                <c:pt idx="459">
                  <c:v>36.72</c:v>
                </c:pt>
                <c:pt idx="460">
                  <c:v>36.799999999999997</c:v>
                </c:pt>
                <c:pt idx="461">
                  <c:v>36.880000000000003</c:v>
                </c:pt>
                <c:pt idx="462">
                  <c:v>36.96</c:v>
                </c:pt>
                <c:pt idx="463">
                  <c:v>37.04</c:v>
                </c:pt>
                <c:pt idx="464">
                  <c:v>37.119999999999997</c:v>
                </c:pt>
                <c:pt idx="465">
                  <c:v>37.200000000000003</c:v>
                </c:pt>
                <c:pt idx="466">
                  <c:v>37.28</c:v>
                </c:pt>
                <c:pt idx="467">
                  <c:v>37.36</c:v>
                </c:pt>
                <c:pt idx="468">
                  <c:v>37.44</c:v>
                </c:pt>
                <c:pt idx="469">
                  <c:v>37.520000000000003</c:v>
                </c:pt>
                <c:pt idx="470">
                  <c:v>37.6</c:v>
                </c:pt>
                <c:pt idx="471">
                  <c:v>37.68</c:v>
                </c:pt>
                <c:pt idx="472">
                  <c:v>37.76</c:v>
                </c:pt>
                <c:pt idx="473">
                  <c:v>37.840000000000003</c:v>
                </c:pt>
                <c:pt idx="474">
                  <c:v>37.92</c:v>
                </c:pt>
                <c:pt idx="475">
                  <c:v>38</c:v>
                </c:pt>
                <c:pt idx="476">
                  <c:v>38.08</c:v>
                </c:pt>
                <c:pt idx="477">
                  <c:v>38.159999999999997</c:v>
                </c:pt>
                <c:pt idx="478">
                  <c:v>38.24</c:v>
                </c:pt>
                <c:pt idx="479">
                  <c:v>38.32</c:v>
                </c:pt>
                <c:pt idx="480">
                  <c:v>38.4</c:v>
                </c:pt>
                <c:pt idx="481">
                  <c:v>38.479999999999997</c:v>
                </c:pt>
                <c:pt idx="482">
                  <c:v>38.56</c:v>
                </c:pt>
                <c:pt idx="483">
                  <c:v>38.64</c:v>
                </c:pt>
                <c:pt idx="484">
                  <c:v>38.72</c:v>
                </c:pt>
                <c:pt idx="485">
                  <c:v>38.799999999999997</c:v>
                </c:pt>
                <c:pt idx="486">
                  <c:v>38.880000000000003</c:v>
                </c:pt>
                <c:pt idx="487">
                  <c:v>38.96</c:v>
                </c:pt>
                <c:pt idx="488">
                  <c:v>39.04</c:v>
                </c:pt>
                <c:pt idx="489">
                  <c:v>39.119999999999997</c:v>
                </c:pt>
                <c:pt idx="490">
                  <c:v>39.200000000000003</c:v>
                </c:pt>
                <c:pt idx="491">
                  <c:v>39.28</c:v>
                </c:pt>
                <c:pt idx="492">
                  <c:v>39.36</c:v>
                </c:pt>
                <c:pt idx="493">
                  <c:v>39.44</c:v>
                </c:pt>
                <c:pt idx="494">
                  <c:v>39.520000000000003</c:v>
                </c:pt>
                <c:pt idx="495">
                  <c:v>39.6</c:v>
                </c:pt>
                <c:pt idx="496">
                  <c:v>39.68</c:v>
                </c:pt>
                <c:pt idx="497">
                  <c:v>39.76</c:v>
                </c:pt>
                <c:pt idx="498">
                  <c:v>39.840000000000003</c:v>
                </c:pt>
                <c:pt idx="499">
                  <c:v>39.92</c:v>
                </c:pt>
                <c:pt idx="500">
                  <c:v>40</c:v>
                </c:pt>
              </c:numCache>
            </c:numRef>
          </c:xVal>
          <c:yVal>
            <c:numRef>
              <c:f>'2.3.1'!#REF!</c:f>
              <c:numCache>
                <c:formatCode>General</c:formatCode>
                <c:ptCount val="1"/>
                <c:pt idx="0">
                  <c:v>1</c:v>
                </c:pt>
              </c:numCache>
            </c:numRef>
          </c:yVal>
          <c:smooth val="1"/>
          <c:extLst xmlns:c15="http://schemas.microsoft.com/office/drawing/2012/chart">
            <c:ext xmlns:c16="http://schemas.microsoft.com/office/drawing/2014/chart" uri="{C3380CC4-5D6E-409C-BE32-E72D297353CC}">
              <c16:uniqueId val="{00000001-F4C7-4AC2-8266-8199A7329A3B}"/>
            </c:ext>
          </c:extLst>
        </c:ser>
        <c:dLbls>
          <c:showLegendKey val="0"/>
          <c:showVal val="0"/>
          <c:showCatName val="0"/>
          <c:showSerName val="0"/>
          <c:showPercent val="0"/>
          <c:showBubbleSize val="0"/>
        </c:dLbls>
        <c:axId val="2102535168"/>
        <c:axId val="2102535648"/>
        <c:extLst/>
      </c:scatterChart>
      <c:valAx>
        <c:axId val="2102535168"/>
        <c:scaling>
          <c:orientation val="minMax"/>
          <c:max val="40"/>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sz="1000" b="1"/>
                  <a:t>Distance</a:t>
                </a:r>
                <a:r>
                  <a:rPr lang="en-GB" sz="1000" b="1" baseline="0"/>
                  <a:t> along p-n junction (nm)</a:t>
                </a:r>
                <a:endParaRPr lang="en-GB" sz="1000"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in"/>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535648"/>
        <c:crosses val="autoZero"/>
        <c:crossBetween val="midCat"/>
      </c:valAx>
      <c:valAx>
        <c:axId val="21025356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Voltage</a:t>
                </a:r>
                <a:r>
                  <a:rPr lang="en-GB" b="1" baseline="0"/>
                  <a:t> (V)</a:t>
                </a:r>
                <a:endParaRPr lang="en-GB"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in"/>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535168"/>
        <c:crosses val="autoZero"/>
        <c:crossBetween val="midCat"/>
      </c:valAx>
      <c:spPr>
        <a:noFill/>
        <a:ln>
          <a:solidFill>
            <a:sysClr val="windowText" lastClr="00000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EXCEL (exact solution)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611103062447582"/>
          <c:y val="0.13712580800308902"/>
          <c:w val="0.83332612482257218"/>
          <c:h val="0.77842325250500322"/>
        </c:manualLayout>
      </c:layout>
      <c:scatterChart>
        <c:scatterStyle val="smoothMarker"/>
        <c:varyColors val="0"/>
        <c:ser>
          <c:idx val="0"/>
          <c:order val="0"/>
          <c:spPr>
            <a:ln w="19050" cap="rnd">
              <a:solidFill>
                <a:schemeClr val="accent2"/>
              </a:solidFill>
              <a:round/>
            </a:ln>
            <a:effectLst/>
          </c:spPr>
          <c:marker>
            <c:symbol val="none"/>
          </c:marker>
          <c:xVal>
            <c:numRef>
              <c:f>'2.3.1'!$A$3:$A$503</c:f>
              <c:numCache>
                <c:formatCode>General</c:formatCode>
                <c:ptCount val="501"/>
                <c:pt idx="0">
                  <c:v>0</c:v>
                </c:pt>
                <c:pt idx="1">
                  <c:v>0.08</c:v>
                </c:pt>
                <c:pt idx="2">
                  <c:v>0.16</c:v>
                </c:pt>
                <c:pt idx="3">
                  <c:v>0.24</c:v>
                </c:pt>
                <c:pt idx="4">
                  <c:v>0.32</c:v>
                </c:pt>
                <c:pt idx="5">
                  <c:v>0.4</c:v>
                </c:pt>
                <c:pt idx="6">
                  <c:v>0.48</c:v>
                </c:pt>
                <c:pt idx="7">
                  <c:v>0.56000000000000005</c:v>
                </c:pt>
                <c:pt idx="8">
                  <c:v>0.64</c:v>
                </c:pt>
                <c:pt idx="9">
                  <c:v>0.72</c:v>
                </c:pt>
                <c:pt idx="10">
                  <c:v>0.8</c:v>
                </c:pt>
                <c:pt idx="11">
                  <c:v>0.88</c:v>
                </c:pt>
                <c:pt idx="12">
                  <c:v>0.96</c:v>
                </c:pt>
                <c:pt idx="13">
                  <c:v>1.04</c:v>
                </c:pt>
                <c:pt idx="14">
                  <c:v>1.1200000000000001</c:v>
                </c:pt>
                <c:pt idx="15">
                  <c:v>1.2</c:v>
                </c:pt>
                <c:pt idx="16">
                  <c:v>1.28</c:v>
                </c:pt>
                <c:pt idx="17">
                  <c:v>1.36</c:v>
                </c:pt>
                <c:pt idx="18">
                  <c:v>1.44</c:v>
                </c:pt>
                <c:pt idx="19">
                  <c:v>1.52</c:v>
                </c:pt>
                <c:pt idx="20">
                  <c:v>1.6</c:v>
                </c:pt>
                <c:pt idx="21">
                  <c:v>1.68</c:v>
                </c:pt>
                <c:pt idx="22">
                  <c:v>1.76</c:v>
                </c:pt>
                <c:pt idx="23">
                  <c:v>1.84</c:v>
                </c:pt>
                <c:pt idx="24">
                  <c:v>1.92</c:v>
                </c:pt>
                <c:pt idx="25">
                  <c:v>2</c:v>
                </c:pt>
                <c:pt idx="26">
                  <c:v>2.08</c:v>
                </c:pt>
                <c:pt idx="27">
                  <c:v>2.16</c:v>
                </c:pt>
                <c:pt idx="28">
                  <c:v>2.2400000000000002</c:v>
                </c:pt>
                <c:pt idx="29">
                  <c:v>2.3199999999999998</c:v>
                </c:pt>
                <c:pt idx="30">
                  <c:v>2.4</c:v>
                </c:pt>
                <c:pt idx="31">
                  <c:v>2.48</c:v>
                </c:pt>
                <c:pt idx="32">
                  <c:v>2.56</c:v>
                </c:pt>
                <c:pt idx="33">
                  <c:v>2.64</c:v>
                </c:pt>
                <c:pt idx="34">
                  <c:v>2.72</c:v>
                </c:pt>
                <c:pt idx="35">
                  <c:v>2.8</c:v>
                </c:pt>
                <c:pt idx="36">
                  <c:v>2.88</c:v>
                </c:pt>
                <c:pt idx="37">
                  <c:v>2.96</c:v>
                </c:pt>
                <c:pt idx="38">
                  <c:v>3.04</c:v>
                </c:pt>
                <c:pt idx="39">
                  <c:v>3.12</c:v>
                </c:pt>
                <c:pt idx="40">
                  <c:v>3.2</c:v>
                </c:pt>
                <c:pt idx="41">
                  <c:v>3.28</c:v>
                </c:pt>
                <c:pt idx="42">
                  <c:v>3.36</c:v>
                </c:pt>
                <c:pt idx="43">
                  <c:v>3.44</c:v>
                </c:pt>
                <c:pt idx="44">
                  <c:v>3.52</c:v>
                </c:pt>
                <c:pt idx="45">
                  <c:v>3.6</c:v>
                </c:pt>
                <c:pt idx="46">
                  <c:v>3.68</c:v>
                </c:pt>
                <c:pt idx="47">
                  <c:v>3.76</c:v>
                </c:pt>
                <c:pt idx="48">
                  <c:v>3.84</c:v>
                </c:pt>
                <c:pt idx="49">
                  <c:v>3.92</c:v>
                </c:pt>
                <c:pt idx="50">
                  <c:v>4</c:v>
                </c:pt>
                <c:pt idx="51">
                  <c:v>4.08</c:v>
                </c:pt>
                <c:pt idx="52">
                  <c:v>4.16</c:v>
                </c:pt>
                <c:pt idx="53">
                  <c:v>4.24</c:v>
                </c:pt>
                <c:pt idx="54">
                  <c:v>4.32</c:v>
                </c:pt>
                <c:pt idx="55">
                  <c:v>4.4000000000000004</c:v>
                </c:pt>
                <c:pt idx="56">
                  <c:v>4.4800000000000004</c:v>
                </c:pt>
                <c:pt idx="57">
                  <c:v>4.5599999999999996</c:v>
                </c:pt>
                <c:pt idx="58">
                  <c:v>4.6399999999999997</c:v>
                </c:pt>
                <c:pt idx="59">
                  <c:v>4.72</c:v>
                </c:pt>
                <c:pt idx="60">
                  <c:v>4.8</c:v>
                </c:pt>
                <c:pt idx="61">
                  <c:v>4.88</c:v>
                </c:pt>
                <c:pt idx="62">
                  <c:v>4.96</c:v>
                </c:pt>
                <c:pt idx="63">
                  <c:v>5.04</c:v>
                </c:pt>
                <c:pt idx="64">
                  <c:v>5.12</c:v>
                </c:pt>
                <c:pt idx="65">
                  <c:v>5.2</c:v>
                </c:pt>
                <c:pt idx="66">
                  <c:v>5.28</c:v>
                </c:pt>
                <c:pt idx="67">
                  <c:v>5.36</c:v>
                </c:pt>
                <c:pt idx="68">
                  <c:v>5.44</c:v>
                </c:pt>
                <c:pt idx="69">
                  <c:v>5.52</c:v>
                </c:pt>
                <c:pt idx="70">
                  <c:v>5.6</c:v>
                </c:pt>
                <c:pt idx="71">
                  <c:v>5.68</c:v>
                </c:pt>
                <c:pt idx="72">
                  <c:v>5.76</c:v>
                </c:pt>
                <c:pt idx="73">
                  <c:v>5.84</c:v>
                </c:pt>
                <c:pt idx="74">
                  <c:v>5.92</c:v>
                </c:pt>
                <c:pt idx="75">
                  <c:v>6</c:v>
                </c:pt>
                <c:pt idx="76">
                  <c:v>6.08</c:v>
                </c:pt>
                <c:pt idx="77">
                  <c:v>6.16</c:v>
                </c:pt>
                <c:pt idx="78">
                  <c:v>6.24</c:v>
                </c:pt>
                <c:pt idx="79">
                  <c:v>6.32</c:v>
                </c:pt>
                <c:pt idx="80">
                  <c:v>6.4</c:v>
                </c:pt>
                <c:pt idx="81">
                  <c:v>6.48</c:v>
                </c:pt>
                <c:pt idx="82">
                  <c:v>6.56</c:v>
                </c:pt>
                <c:pt idx="83">
                  <c:v>6.64</c:v>
                </c:pt>
                <c:pt idx="84">
                  <c:v>6.72</c:v>
                </c:pt>
                <c:pt idx="85">
                  <c:v>6.8</c:v>
                </c:pt>
                <c:pt idx="86">
                  <c:v>6.88</c:v>
                </c:pt>
                <c:pt idx="87">
                  <c:v>6.96</c:v>
                </c:pt>
                <c:pt idx="88">
                  <c:v>7.04</c:v>
                </c:pt>
                <c:pt idx="89">
                  <c:v>7.12</c:v>
                </c:pt>
                <c:pt idx="90">
                  <c:v>7.2</c:v>
                </c:pt>
                <c:pt idx="91">
                  <c:v>7.28</c:v>
                </c:pt>
                <c:pt idx="92">
                  <c:v>7.36</c:v>
                </c:pt>
                <c:pt idx="93">
                  <c:v>7.44</c:v>
                </c:pt>
                <c:pt idx="94">
                  <c:v>7.52</c:v>
                </c:pt>
                <c:pt idx="95">
                  <c:v>7.6</c:v>
                </c:pt>
                <c:pt idx="96">
                  <c:v>7.68</c:v>
                </c:pt>
                <c:pt idx="97">
                  <c:v>7.76</c:v>
                </c:pt>
                <c:pt idx="98">
                  <c:v>7.84</c:v>
                </c:pt>
                <c:pt idx="99">
                  <c:v>7.92</c:v>
                </c:pt>
                <c:pt idx="100">
                  <c:v>8</c:v>
                </c:pt>
                <c:pt idx="101">
                  <c:v>8.08</c:v>
                </c:pt>
                <c:pt idx="102">
                  <c:v>8.16</c:v>
                </c:pt>
                <c:pt idx="103">
                  <c:v>8.24</c:v>
                </c:pt>
                <c:pt idx="104">
                  <c:v>8.32</c:v>
                </c:pt>
                <c:pt idx="105">
                  <c:v>8.4</c:v>
                </c:pt>
                <c:pt idx="106">
                  <c:v>8.48</c:v>
                </c:pt>
                <c:pt idx="107">
                  <c:v>8.56</c:v>
                </c:pt>
                <c:pt idx="108">
                  <c:v>8.64</c:v>
                </c:pt>
                <c:pt idx="109">
                  <c:v>8.7200000000000006</c:v>
                </c:pt>
                <c:pt idx="110">
                  <c:v>8.8000000000000007</c:v>
                </c:pt>
                <c:pt idx="111">
                  <c:v>8.8800000000000008</c:v>
                </c:pt>
                <c:pt idx="112">
                  <c:v>8.9600000000000009</c:v>
                </c:pt>
                <c:pt idx="113">
                  <c:v>9.0399999999999991</c:v>
                </c:pt>
                <c:pt idx="114">
                  <c:v>9.1199999999999992</c:v>
                </c:pt>
                <c:pt idx="115">
                  <c:v>9.1999999999999993</c:v>
                </c:pt>
                <c:pt idx="116">
                  <c:v>9.2799999999999994</c:v>
                </c:pt>
                <c:pt idx="117">
                  <c:v>9.36</c:v>
                </c:pt>
                <c:pt idx="118">
                  <c:v>9.44</c:v>
                </c:pt>
                <c:pt idx="119">
                  <c:v>9.52</c:v>
                </c:pt>
                <c:pt idx="120">
                  <c:v>9.6</c:v>
                </c:pt>
                <c:pt idx="121">
                  <c:v>9.68</c:v>
                </c:pt>
                <c:pt idx="122">
                  <c:v>9.76</c:v>
                </c:pt>
                <c:pt idx="123">
                  <c:v>9.84</c:v>
                </c:pt>
                <c:pt idx="124">
                  <c:v>9.92</c:v>
                </c:pt>
                <c:pt idx="125">
                  <c:v>10</c:v>
                </c:pt>
                <c:pt idx="126">
                  <c:v>10.08</c:v>
                </c:pt>
                <c:pt idx="127">
                  <c:v>10.16</c:v>
                </c:pt>
                <c:pt idx="128">
                  <c:v>10.24</c:v>
                </c:pt>
                <c:pt idx="129">
                  <c:v>10.32</c:v>
                </c:pt>
                <c:pt idx="130">
                  <c:v>10.4</c:v>
                </c:pt>
                <c:pt idx="131">
                  <c:v>10.48</c:v>
                </c:pt>
                <c:pt idx="132">
                  <c:v>10.56</c:v>
                </c:pt>
                <c:pt idx="133">
                  <c:v>10.64</c:v>
                </c:pt>
                <c:pt idx="134">
                  <c:v>10.72</c:v>
                </c:pt>
                <c:pt idx="135">
                  <c:v>10.8</c:v>
                </c:pt>
                <c:pt idx="136">
                  <c:v>10.88</c:v>
                </c:pt>
                <c:pt idx="137">
                  <c:v>10.96</c:v>
                </c:pt>
                <c:pt idx="138">
                  <c:v>11.04</c:v>
                </c:pt>
                <c:pt idx="139">
                  <c:v>11.12</c:v>
                </c:pt>
                <c:pt idx="140">
                  <c:v>11.2</c:v>
                </c:pt>
                <c:pt idx="141">
                  <c:v>11.28</c:v>
                </c:pt>
                <c:pt idx="142">
                  <c:v>11.36</c:v>
                </c:pt>
                <c:pt idx="143">
                  <c:v>11.44</c:v>
                </c:pt>
                <c:pt idx="144">
                  <c:v>11.52</c:v>
                </c:pt>
                <c:pt idx="145">
                  <c:v>11.6</c:v>
                </c:pt>
                <c:pt idx="146">
                  <c:v>11.68</c:v>
                </c:pt>
                <c:pt idx="147">
                  <c:v>11.76</c:v>
                </c:pt>
                <c:pt idx="148">
                  <c:v>11.84</c:v>
                </c:pt>
                <c:pt idx="149">
                  <c:v>11.92</c:v>
                </c:pt>
                <c:pt idx="150">
                  <c:v>12</c:v>
                </c:pt>
                <c:pt idx="151">
                  <c:v>12.08</c:v>
                </c:pt>
                <c:pt idx="152">
                  <c:v>12.16</c:v>
                </c:pt>
                <c:pt idx="153">
                  <c:v>12.24</c:v>
                </c:pt>
                <c:pt idx="154">
                  <c:v>12.32</c:v>
                </c:pt>
                <c:pt idx="155">
                  <c:v>12.4</c:v>
                </c:pt>
                <c:pt idx="156">
                  <c:v>12.48</c:v>
                </c:pt>
                <c:pt idx="157">
                  <c:v>12.56</c:v>
                </c:pt>
                <c:pt idx="158">
                  <c:v>12.64</c:v>
                </c:pt>
                <c:pt idx="159">
                  <c:v>12.72</c:v>
                </c:pt>
                <c:pt idx="160">
                  <c:v>12.8</c:v>
                </c:pt>
                <c:pt idx="161">
                  <c:v>12.88</c:v>
                </c:pt>
                <c:pt idx="162">
                  <c:v>12.96</c:v>
                </c:pt>
                <c:pt idx="163">
                  <c:v>13.04</c:v>
                </c:pt>
                <c:pt idx="164">
                  <c:v>13.12</c:v>
                </c:pt>
                <c:pt idx="165">
                  <c:v>13.2</c:v>
                </c:pt>
                <c:pt idx="166">
                  <c:v>13.28</c:v>
                </c:pt>
                <c:pt idx="167">
                  <c:v>13.36</c:v>
                </c:pt>
                <c:pt idx="168">
                  <c:v>13.44</c:v>
                </c:pt>
                <c:pt idx="169">
                  <c:v>13.52</c:v>
                </c:pt>
                <c:pt idx="170">
                  <c:v>13.6</c:v>
                </c:pt>
                <c:pt idx="171">
                  <c:v>13.68</c:v>
                </c:pt>
                <c:pt idx="172">
                  <c:v>13.76</c:v>
                </c:pt>
                <c:pt idx="173">
                  <c:v>13.84</c:v>
                </c:pt>
                <c:pt idx="174">
                  <c:v>13.92</c:v>
                </c:pt>
                <c:pt idx="175">
                  <c:v>14</c:v>
                </c:pt>
                <c:pt idx="176">
                  <c:v>14.08</c:v>
                </c:pt>
                <c:pt idx="177">
                  <c:v>14.16</c:v>
                </c:pt>
                <c:pt idx="178">
                  <c:v>14.24</c:v>
                </c:pt>
                <c:pt idx="179">
                  <c:v>14.32</c:v>
                </c:pt>
                <c:pt idx="180">
                  <c:v>14.4</c:v>
                </c:pt>
                <c:pt idx="181">
                  <c:v>14.48</c:v>
                </c:pt>
                <c:pt idx="182">
                  <c:v>14.56</c:v>
                </c:pt>
                <c:pt idx="183">
                  <c:v>14.64</c:v>
                </c:pt>
                <c:pt idx="184">
                  <c:v>14.72</c:v>
                </c:pt>
                <c:pt idx="185">
                  <c:v>14.8</c:v>
                </c:pt>
                <c:pt idx="186">
                  <c:v>14.88</c:v>
                </c:pt>
                <c:pt idx="187">
                  <c:v>14.96</c:v>
                </c:pt>
                <c:pt idx="188">
                  <c:v>15.04</c:v>
                </c:pt>
                <c:pt idx="189">
                  <c:v>15.12</c:v>
                </c:pt>
                <c:pt idx="190">
                  <c:v>15.2</c:v>
                </c:pt>
                <c:pt idx="191">
                  <c:v>15.28</c:v>
                </c:pt>
                <c:pt idx="192">
                  <c:v>15.36</c:v>
                </c:pt>
                <c:pt idx="193">
                  <c:v>15.44</c:v>
                </c:pt>
                <c:pt idx="194">
                  <c:v>15.52</c:v>
                </c:pt>
                <c:pt idx="195">
                  <c:v>15.6</c:v>
                </c:pt>
                <c:pt idx="196">
                  <c:v>15.68</c:v>
                </c:pt>
                <c:pt idx="197">
                  <c:v>15.76</c:v>
                </c:pt>
                <c:pt idx="198">
                  <c:v>15.84</c:v>
                </c:pt>
                <c:pt idx="199">
                  <c:v>15.92</c:v>
                </c:pt>
                <c:pt idx="200">
                  <c:v>16</c:v>
                </c:pt>
                <c:pt idx="201">
                  <c:v>16.079999999999998</c:v>
                </c:pt>
                <c:pt idx="202">
                  <c:v>16.16</c:v>
                </c:pt>
                <c:pt idx="203">
                  <c:v>16.239999999999998</c:v>
                </c:pt>
                <c:pt idx="204">
                  <c:v>16.32</c:v>
                </c:pt>
                <c:pt idx="205">
                  <c:v>16.399999999999999</c:v>
                </c:pt>
                <c:pt idx="206">
                  <c:v>16.48</c:v>
                </c:pt>
                <c:pt idx="207">
                  <c:v>16.559999999999999</c:v>
                </c:pt>
                <c:pt idx="208">
                  <c:v>16.64</c:v>
                </c:pt>
                <c:pt idx="209">
                  <c:v>16.72</c:v>
                </c:pt>
                <c:pt idx="210">
                  <c:v>16.8</c:v>
                </c:pt>
                <c:pt idx="211">
                  <c:v>16.88</c:v>
                </c:pt>
                <c:pt idx="212">
                  <c:v>16.96</c:v>
                </c:pt>
                <c:pt idx="213">
                  <c:v>17.04</c:v>
                </c:pt>
                <c:pt idx="214">
                  <c:v>17.12</c:v>
                </c:pt>
                <c:pt idx="215">
                  <c:v>17.2</c:v>
                </c:pt>
                <c:pt idx="216">
                  <c:v>17.28</c:v>
                </c:pt>
                <c:pt idx="217">
                  <c:v>17.36</c:v>
                </c:pt>
                <c:pt idx="218">
                  <c:v>17.440000000000001</c:v>
                </c:pt>
                <c:pt idx="219">
                  <c:v>17.52</c:v>
                </c:pt>
                <c:pt idx="220">
                  <c:v>17.600000000000001</c:v>
                </c:pt>
                <c:pt idx="221">
                  <c:v>17.68</c:v>
                </c:pt>
                <c:pt idx="222">
                  <c:v>17.760000000000002</c:v>
                </c:pt>
                <c:pt idx="223">
                  <c:v>17.84</c:v>
                </c:pt>
                <c:pt idx="224">
                  <c:v>17.920000000000002</c:v>
                </c:pt>
                <c:pt idx="225">
                  <c:v>18</c:v>
                </c:pt>
                <c:pt idx="226">
                  <c:v>18.079999999999998</c:v>
                </c:pt>
                <c:pt idx="227">
                  <c:v>18.16</c:v>
                </c:pt>
                <c:pt idx="228">
                  <c:v>18.239999999999998</c:v>
                </c:pt>
                <c:pt idx="229">
                  <c:v>18.32</c:v>
                </c:pt>
                <c:pt idx="230">
                  <c:v>18.399999999999999</c:v>
                </c:pt>
                <c:pt idx="231">
                  <c:v>18.48</c:v>
                </c:pt>
                <c:pt idx="232">
                  <c:v>18.559999999999999</c:v>
                </c:pt>
                <c:pt idx="233">
                  <c:v>18.64</c:v>
                </c:pt>
                <c:pt idx="234">
                  <c:v>18.72</c:v>
                </c:pt>
                <c:pt idx="235">
                  <c:v>18.8</c:v>
                </c:pt>
                <c:pt idx="236">
                  <c:v>18.88</c:v>
                </c:pt>
                <c:pt idx="237">
                  <c:v>18.96</c:v>
                </c:pt>
                <c:pt idx="238">
                  <c:v>19.04</c:v>
                </c:pt>
                <c:pt idx="239">
                  <c:v>19.12</c:v>
                </c:pt>
                <c:pt idx="240">
                  <c:v>19.2</c:v>
                </c:pt>
                <c:pt idx="241">
                  <c:v>19.28</c:v>
                </c:pt>
                <c:pt idx="242">
                  <c:v>19.36</c:v>
                </c:pt>
                <c:pt idx="243">
                  <c:v>19.440000000000001</c:v>
                </c:pt>
                <c:pt idx="244">
                  <c:v>19.52</c:v>
                </c:pt>
                <c:pt idx="245">
                  <c:v>19.600000000000001</c:v>
                </c:pt>
                <c:pt idx="246">
                  <c:v>19.68</c:v>
                </c:pt>
                <c:pt idx="247">
                  <c:v>19.760000000000002</c:v>
                </c:pt>
                <c:pt idx="248">
                  <c:v>19.84</c:v>
                </c:pt>
                <c:pt idx="249">
                  <c:v>19.920000000000002</c:v>
                </c:pt>
                <c:pt idx="250">
                  <c:v>20</c:v>
                </c:pt>
                <c:pt idx="251">
                  <c:v>20.079999999999998</c:v>
                </c:pt>
                <c:pt idx="252">
                  <c:v>20.16</c:v>
                </c:pt>
                <c:pt idx="253">
                  <c:v>20.239999999999998</c:v>
                </c:pt>
                <c:pt idx="254">
                  <c:v>20.32</c:v>
                </c:pt>
                <c:pt idx="255">
                  <c:v>20.399999999999999</c:v>
                </c:pt>
                <c:pt idx="256">
                  <c:v>20.48</c:v>
                </c:pt>
                <c:pt idx="257">
                  <c:v>20.56</c:v>
                </c:pt>
                <c:pt idx="258">
                  <c:v>20.64</c:v>
                </c:pt>
                <c:pt idx="259">
                  <c:v>20.72</c:v>
                </c:pt>
                <c:pt idx="260">
                  <c:v>20.8</c:v>
                </c:pt>
                <c:pt idx="261">
                  <c:v>20.88</c:v>
                </c:pt>
                <c:pt idx="262">
                  <c:v>20.96</c:v>
                </c:pt>
                <c:pt idx="263">
                  <c:v>21.04</c:v>
                </c:pt>
                <c:pt idx="264">
                  <c:v>21.12</c:v>
                </c:pt>
                <c:pt idx="265">
                  <c:v>21.2</c:v>
                </c:pt>
                <c:pt idx="266">
                  <c:v>21.28</c:v>
                </c:pt>
                <c:pt idx="267">
                  <c:v>21.36</c:v>
                </c:pt>
                <c:pt idx="268">
                  <c:v>21.44</c:v>
                </c:pt>
                <c:pt idx="269">
                  <c:v>21.52</c:v>
                </c:pt>
                <c:pt idx="270">
                  <c:v>21.6</c:v>
                </c:pt>
                <c:pt idx="271">
                  <c:v>21.68</c:v>
                </c:pt>
                <c:pt idx="272">
                  <c:v>21.76</c:v>
                </c:pt>
                <c:pt idx="273">
                  <c:v>21.84</c:v>
                </c:pt>
                <c:pt idx="274">
                  <c:v>21.92</c:v>
                </c:pt>
                <c:pt idx="275">
                  <c:v>22</c:v>
                </c:pt>
                <c:pt idx="276">
                  <c:v>22.08</c:v>
                </c:pt>
                <c:pt idx="277">
                  <c:v>22.16</c:v>
                </c:pt>
                <c:pt idx="278">
                  <c:v>22.24</c:v>
                </c:pt>
                <c:pt idx="279">
                  <c:v>22.32</c:v>
                </c:pt>
                <c:pt idx="280">
                  <c:v>22.4</c:v>
                </c:pt>
                <c:pt idx="281">
                  <c:v>22.48</c:v>
                </c:pt>
                <c:pt idx="282">
                  <c:v>22.56</c:v>
                </c:pt>
                <c:pt idx="283">
                  <c:v>22.64</c:v>
                </c:pt>
                <c:pt idx="284">
                  <c:v>22.72</c:v>
                </c:pt>
                <c:pt idx="285">
                  <c:v>22.8</c:v>
                </c:pt>
                <c:pt idx="286">
                  <c:v>22.88</c:v>
                </c:pt>
                <c:pt idx="287">
                  <c:v>22.96</c:v>
                </c:pt>
                <c:pt idx="288">
                  <c:v>23.04</c:v>
                </c:pt>
                <c:pt idx="289">
                  <c:v>23.12</c:v>
                </c:pt>
                <c:pt idx="290">
                  <c:v>23.2</c:v>
                </c:pt>
                <c:pt idx="291">
                  <c:v>23.28</c:v>
                </c:pt>
                <c:pt idx="292">
                  <c:v>23.36</c:v>
                </c:pt>
                <c:pt idx="293">
                  <c:v>23.44</c:v>
                </c:pt>
                <c:pt idx="294">
                  <c:v>23.52</c:v>
                </c:pt>
                <c:pt idx="295">
                  <c:v>23.6</c:v>
                </c:pt>
                <c:pt idx="296">
                  <c:v>23.68</c:v>
                </c:pt>
                <c:pt idx="297">
                  <c:v>23.76</c:v>
                </c:pt>
                <c:pt idx="298">
                  <c:v>23.84</c:v>
                </c:pt>
                <c:pt idx="299">
                  <c:v>23.92</c:v>
                </c:pt>
                <c:pt idx="300">
                  <c:v>24</c:v>
                </c:pt>
                <c:pt idx="301">
                  <c:v>24.08</c:v>
                </c:pt>
                <c:pt idx="302">
                  <c:v>24.16</c:v>
                </c:pt>
                <c:pt idx="303">
                  <c:v>24.24</c:v>
                </c:pt>
                <c:pt idx="304">
                  <c:v>24.32</c:v>
                </c:pt>
                <c:pt idx="305">
                  <c:v>24.4</c:v>
                </c:pt>
                <c:pt idx="306">
                  <c:v>24.48</c:v>
                </c:pt>
                <c:pt idx="307">
                  <c:v>24.56</c:v>
                </c:pt>
                <c:pt idx="308">
                  <c:v>24.64</c:v>
                </c:pt>
                <c:pt idx="309">
                  <c:v>24.72</c:v>
                </c:pt>
                <c:pt idx="310">
                  <c:v>24.8</c:v>
                </c:pt>
                <c:pt idx="311">
                  <c:v>24.88</c:v>
                </c:pt>
                <c:pt idx="312">
                  <c:v>24.96</c:v>
                </c:pt>
                <c:pt idx="313">
                  <c:v>25.04</c:v>
                </c:pt>
                <c:pt idx="314">
                  <c:v>25.12</c:v>
                </c:pt>
                <c:pt idx="315">
                  <c:v>25.2</c:v>
                </c:pt>
                <c:pt idx="316">
                  <c:v>25.28</c:v>
                </c:pt>
                <c:pt idx="317">
                  <c:v>25.36</c:v>
                </c:pt>
                <c:pt idx="318">
                  <c:v>25.44</c:v>
                </c:pt>
                <c:pt idx="319">
                  <c:v>25.52</c:v>
                </c:pt>
                <c:pt idx="320">
                  <c:v>25.6</c:v>
                </c:pt>
                <c:pt idx="321">
                  <c:v>25.68</c:v>
                </c:pt>
                <c:pt idx="322">
                  <c:v>25.76</c:v>
                </c:pt>
                <c:pt idx="323">
                  <c:v>25.84</c:v>
                </c:pt>
                <c:pt idx="324">
                  <c:v>25.92</c:v>
                </c:pt>
                <c:pt idx="325">
                  <c:v>26</c:v>
                </c:pt>
                <c:pt idx="326">
                  <c:v>26.08</c:v>
                </c:pt>
                <c:pt idx="327">
                  <c:v>26.16</c:v>
                </c:pt>
                <c:pt idx="328">
                  <c:v>26.24</c:v>
                </c:pt>
                <c:pt idx="329">
                  <c:v>26.32</c:v>
                </c:pt>
                <c:pt idx="330">
                  <c:v>26.4</c:v>
                </c:pt>
                <c:pt idx="331">
                  <c:v>26.48</c:v>
                </c:pt>
                <c:pt idx="332">
                  <c:v>26.56</c:v>
                </c:pt>
                <c:pt idx="333">
                  <c:v>26.64</c:v>
                </c:pt>
                <c:pt idx="334">
                  <c:v>26.72</c:v>
                </c:pt>
                <c:pt idx="335">
                  <c:v>26.8</c:v>
                </c:pt>
                <c:pt idx="336">
                  <c:v>26.88</c:v>
                </c:pt>
                <c:pt idx="337">
                  <c:v>26.96</c:v>
                </c:pt>
                <c:pt idx="338">
                  <c:v>27.04</c:v>
                </c:pt>
                <c:pt idx="339">
                  <c:v>27.12</c:v>
                </c:pt>
                <c:pt idx="340">
                  <c:v>27.2</c:v>
                </c:pt>
                <c:pt idx="341">
                  <c:v>27.28</c:v>
                </c:pt>
                <c:pt idx="342">
                  <c:v>27.36</c:v>
                </c:pt>
                <c:pt idx="343">
                  <c:v>27.44</c:v>
                </c:pt>
                <c:pt idx="344">
                  <c:v>27.52</c:v>
                </c:pt>
                <c:pt idx="345">
                  <c:v>27.6</c:v>
                </c:pt>
                <c:pt idx="346">
                  <c:v>27.68</c:v>
                </c:pt>
                <c:pt idx="347">
                  <c:v>27.76</c:v>
                </c:pt>
                <c:pt idx="348">
                  <c:v>27.84</c:v>
                </c:pt>
                <c:pt idx="349">
                  <c:v>27.92</c:v>
                </c:pt>
                <c:pt idx="350">
                  <c:v>28</c:v>
                </c:pt>
                <c:pt idx="351">
                  <c:v>28.08</c:v>
                </c:pt>
                <c:pt idx="352">
                  <c:v>28.16</c:v>
                </c:pt>
                <c:pt idx="353">
                  <c:v>28.24</c:v>
                </c:pt>
                <c:pt idx="354">
                  <c:v>28.32</c:v>
                </c:pt>
                <c:pt idx="355">
                  <c:v>28.4</c:v>
                </c:pt>
                <c:pt idx="356">
                  <c:v>28.48</c:v>
                </c:pt>
                <c:pt idx="357">
                  <c:v>28.56</c:v>
                </c:pt>
                <c:pt idx="358">
                  <c:v>28.64</c:v>
                </c:pt>
                <c:pt idx="359">
                  <c:v>28.72</c:v>
                </c:pt>
                <c:pt idx="360">
                  <c:v>28.8</c:v>
                </c:pt>
                <c:pt idx="361">
                  <c:v>28.88</c:v>
                </c:pt>
                <c:pt idx="362">
                  <c:v>28.96</c:v>
                </c:pt>
                <c:pt idx="363">
                  <c:v>29.04</c:v>
                </c:pt>
                <c:pt idx="364">
                  <c:v>29.12</c:v>
                </c:pt>
                <c:pt idx="365">
                  <c:v>29.2</c:v>
                </c:pt>
                <c:pt idx="366">
                  <c:v>29.28</c:v>
                </c:pt>
                <c:pt idx="367">
                  <c:v>29.36</c:v>
                </c:pt>
                <c:pt idx="368">
                  <c:v>29.44</c:v>
                </c:pt>
                <c:pt idx="369">
                  <c:v>29.52</c:v>
                </c:pt>
                <c:pt idx="370">
                  <c:v>29.6</c:v>
                </c:pt>
                <c:pt idx="371">
                  <c:v>29.68</c:v>
                </c:pt>
                <c:pt idx="372">
                  <c:v>29.76</c:v>
                </c:pt>
                <c:pt idx="373">
                  <c:v>29.84</c:v>
                </c:pt>
                <c:pt idx="374">
                  <c:v>29.92</c:v>
                </c:pt>
                <c:pt idx="375">
                  <c:v>30</c:v>
                </c:pt>
                <c:pt idx="376">
                  <c:v>30.08</c:v>
                </c:pt>
                <c:pt idx="377">
                  <c:v>30.16</c:v>
                </c:pt>
                <c:pt idx="378">
                  <c:v>30.24</c:v>
                </c:pt>
                <c:pt idx="379">
                  <c:v>30.32</c:v>
                </c:pt>
                <c:pt idx="380">
                  <c:v>30.4</c:v>
                </c:pt>
                <c:pt idx="381">
                  <c:v>30.48</c:v>
                </c:pt>
                <c:pt idx="382">
                  <c:v>30.56</c:v>
                </c:pt>
                <c:pt idx="383">
                  <c:v>30.64</c:v>
                </c:pt>
                <c:pt idx="384">
                  <c:v>30.72</c:v>
                </c:pt>
                <c:pt idx="385">
                  <c:v>30.8</c:v>
                </c:pt>
                <c:pt idx="386">
                  <c:v>30.88</c:v>
                </c:pt>
                <c:pt idx="387">
                  <c:v>30.96</c:v>
                </c:pt>
                <c:pt idx="388">
                  <c:v>31.04</c:v>
                </c:pt>
                <c:pt idx="389">
                  <c:v>31.12</c:v>
                </c:pt>
                <c:pt idx="390">
                  <c:v>31.2</c:v>
                </c:pt>
                <c:pt idx="391">
                  <c:v>31.28</c:v>
                </c:pt>
                <c:pt idx="392">
                  <c:v>31.36</c:v>
                </c:pt>
                <c:pt idx="393">
                  <c:v>31.44</c:v>
                </c:pt>
                <c:pt idx="394">
                  <c:v>31.52</c:v>
                </c:pt>
                <c:pt idx="395">
                  <c:v>31.6</c:v>
                </c:pt>
                <c:pt idx="396">
                  <c:v>31.68</c:v>
                </c:pt>
                <c:pt idx="397">
                  <c:v>31.76</c:v>
                </c:pt>
                <c:pt idx="398">
                  <c:v>31.84</c:v>
                </c:pt>
                <c:pt idx="399">
                  <c:v>31.92</c:v>
                </c:pt>
                <c:pt idx="400">
                  <c:v>32</c:v>
                </c:pt>
                <c:pt idx="401">
                  <c:v>32.08</c:v>
                </c:pt>
                <c:pt idx="402">
                  <c:v>32.159999999999997</c:v>
                </c:pt>
                <c:pt idx="403">
                  <c:v>32.24</c:v>
                </c:pt>
                <c:pt idx="404">
                  <c:v>32.32</c:v>
                </c:pt>
                <c:pt idx="405">
                  <c:v>32.4</c:v>
                </c:pt>
                <c:pt idx="406">
                  <c:v>32.479999999999997</c:v>
                </c:pt>
                <c:pt idx="407">
                  <c:v>32.56</c:v>
                </c:pt>
                <c:pt idx="408">
                  <c:v>32.64</c:v>
                </c:pt>
                <c:pt idx="409">
                  <c:v>32.72</c:v>
                </c:pt>
                <c:pt idx="410">
                  <c:v>32.799999999999997</c:v>
                </c:pt>
                <c:pt idx="411">
                  <c:v>32.880000000000003</c:v>
                </c:pt>
                <c:pt idx="412">
                  <c:v>32.96</c:v>
                </c:pt>
                <c:pt idx="413">
                  <c:v>33.04</c:v>
                </c:pt>
                <c:pt idx="414">
                  <c:v>33.119999999999997</c:v>
                </c:pt>
                <c:pt idx="415">
                  <c:v>33.200000000000003</c:v>
                </c:pt>
                <c:pt idx="416">
                  <c:v>33.28</c:v>
                </c:pt>
                <c:pt idx="417">
                  <c:v>33.36</c:v>
                </c:pt>
                <c:pt idx="418">
                  <c:v>33.44</c:v>
                </c:pt>
                <c:pt idx="419">
                  <c:v>33.520000000000003</c:v>
                </c:pt>
                <c:pt idx="420">
                  <c:v>33.6</c:v>
                </c:pt>
                <c:pt idx="421">
                  <c:v>33.68</c:v>
                </c:pt>
                <c:pt idx="422">
                  <c:v>33.76</c:v>
                </c:pt>
                <c:pt idx="423">
                  <c:v>33.840000000000003</c:v>
                </c:pt>
                <c:pt idx="424">
                  <c:v>33.92</c:v>
                </c:pt>
                <c:pt idx="425">
                  <c:v>34</c:v>
                </c:pt>
                <c:pt idx="426">
                  <c:v>34.08</c:v>
                </c:pt>
                <c:pt idx="427">
                  <c:v>34.159999999999997</c:v>
                </c:pt>
                <c:pt idx="428">
                  <c:v>34.24</c:v>
                </c:pt>
                <c:pt idx="429">
                  <c:v>34.32</c:v>
                </c:pt>
                <c:pt idx="430">
                  <c:v>34.4</c:v>
                </c:pt>
                <c:pt idx="431">
                  <c:v>34.479999999999997</c:v>
                </c:pt>
                <c:pt idx="432">
                  <c:v>34.56</c:v>
                </c:pt>
                <c:pt idx="433">
                  <c:v>34.64</c:v>
                </c:pt>
                <c:pt idx="434">
                  <c:v>34.72</c:v>
                </c:pt>
                <c:pt idx="435">
                  <c:v>34.799999999999997</c:v>
                </c:pt>
                <c:pt idx="436">
                  <c:v>34.880000000000003</c:v>
                </c:pt>
                <c:pt idx="437">
                  <c:v>34.96</c:v>
                </c:pt>
                <c:pt idx="438">
                  <c:v>35.04</c:v>
                </c:pt>
                <c:pt idx="439">
                  <c:v>35.119999999999997</c:v>
                </c:pt>
                <c:pt idx="440">
                  <c:v>35.200000000000003</c:v>
                </c:pt>
                <c:pt idx="441">
                  <c:v>35.28</c:v>
                </c:pt>
                <c:pt idx="442">
                  <c:v>35.36</c:v>
                </c:pt>
                <c:pt idx="443">
                  <c:v>35.44</c:v>
                </c:pt>
                <c:pt idx="444">
                  <c:v>35.520000000000003</c:v>
                </c:pt>
                <c:pt idx="445">
                  <c:v>35.6</c:v>
                </c:pt>
                <c:pt idx="446">
                  <c:v>35.68</c:v>
                </c:pt>
                <c:pt idx="447">
                  <c:v>35.76</c:v>
                </c:pt>
                <c:pt idx="448">
                  <c:v>35.840000000000003</c:v>
                </c:pt>
                <c:pt idx="449">
                  <c:v>35.92</c:v>
                </c:pt>
                <c:pt idx="450">
                  <c:v>36</c:v>
                </c:pt>
                <c:pt idx="451">
                  <c:v>36.08</c:v>
                </c:pt>
                <c:pt idx="452">
                  <c:v>36.159999999999997</c:v>
                </c:pt>
                <c:pt idx="453">
                  <c:v>36.24</c:v>
                </c:pt>
                <c:pt idx="454">
                  <c:v>36.32</c:v>
                </c:pt>
                <c:pt idx="455">
                  <c:v>36.4</c:v>
                </c:pt>
                <c:pt idx="456">
                  <c:v>36.479999999999997</c:v>
                </c:pt>
                <c:pt idx="457">
                  <c:v>36.56</c:v>
                </c:pt>
                <c:pt idx="458">
                  <c:v>36.64</c:v>
                </c:pt>
                <c:pt idx="459">
                  <c:v>36.72</c:v>
                </c:pt>
                <c:pt idx="460">
                  <c:v>36.799999999999997</c:v>
                </c:pt>
                <c:pt idx="461">
                  <c:v>36.880000000000003</c:v>
                </c:pt>
                <c:pt idx="462">
                  <c:v>36.96</c:v>
                </c:pt>
                <c:pt idx="463">
                  <c:v>37.04</c:v>
                </c:pt>
                <c:pt idx="464">
                  <c:v>37.119999999999997</c:v>
                </c:pt>
                <c:pt idx="465">
                  <c:v>37.200000000000003</c:v>
                </c:pt>
                <c:pt idx="466">
                  <c:v>37.28</c:v>
                </c:pt>
                <c:pt idx="467">
                  <c:v>37.36</c:v>
                </c:pt>
                <c:pt idx="468">
                  <c:v>37.44</c:v>
                </c:pt>
                <c:pt idx="469">
                  <c:v>37.520000000000003</c:v>
                </c:pt>
                <c:pt idx="470">
                  <c:v>37.6</c:v>
                </c:pt>
                <c:pt idx="471">
                  <c:v>37.68</c:v>
                </c:pt>
                <c:pt idx="472">
                  <c:v>37.76</c:v>
                </c:pt>
                <c:pt idx="473">
                  <c:v>37.840000000000003</c:v>
                </c:pt>
                <c:pt idx="474">
                  <c:v>37.92</c:v>
                </c:pt>
                <c:pt idx="475">
                  <c:v>38</c:v>
                </c:pt>
                <c:pt idx="476">
                  <c:v>38.08</c:v>
                </c:pt>
                <c:pt idx="477">
                  <c:v>38.159999999999997</c:v>
                </c:pt>
                <c:pt idx="478">
                  <c:v>38.24</c:v>
                </c:pt>
                <c:pt idx="479">
                  <c:v>38.32</c:v>
                </c:pt>
                <c:pt idx="480">
                  <c:v>38.4</c:v>
                </c:pt>
                <c:pt idx="481">
                  <c:v>38.479999999999997</c:v>
                </c:pt>
                <c:pt idx="482">
                  <c:v>38.56</c:v>
                </c:pt>
                <c:pt idx="483">
                  <c:v>38.64</c:v>
                </c:pt>
                <c:pt idx="484">
                  <c:v>38.72</c:v>
                </c:pt>
                <c:pt idx="485">
                  <c:v>38.799999999999997</c:v>
                </c:pt>
                <c:pt idx="486">
                  <c:v>38.880000000000003</c:v>
                </c:pt>
                <c:pt idx="487">
                  <c:v>38.96</c:v>
                </c:pt>
                <c:pt idx="488">
                  <c:v>39.04</c:v>
                </c:pt>
                <c:pt idx="489">
                  <c:v>39.119999999999997</c:v>
                </c:pt>
                <c:pt idx="490">
                  <c:v>39.200000000000003</c:v>
                </c:pt>
                <c:pt idx="491">
                  <c:v>39.28</c:v>
                </c:pt>
                <c:pt idx="492">
                  <c:v>39.36</c:v>
                </c:pt>
                <c:pt idx="493">
                  <c:v>39.44</c:v>
                </c:pt>
                <c:pt idx="494">
                  <c:v>39.520000000000003</c:v>
                </c:pt>
                <c:pt idx="495">
                  <c:v>39.6</c:v>
                </c:pt>
                <c:pt idx="496">
                  <c:v>39.68</c:v>
                </c:pt>
                <c:pt idx="497">
                  <c:v>39.76</c:v>
                </c:pt>
                <c:pt idx="498">
                  <c:v>39.840000000000003</c:v>
                </c:pt>
                <c:pt idx="499">
                  <c:v>39.92</c:v>
                </c:pt>
                <c:pt idx="500">
                  <c:v>40</c:v>
                </c:pt>
              </c:numCache>
            </c:numRef>
          </c:xVal>
          <c:yVal>
            <c:numRef>
              <c:f>'2.3.1'!$E$3:$E$503</c:f>
              <c:numCache>
                <c:formatCode>General</c:formatCode>
                <c:ptCount val="5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formatCode="0.000000000">
                  <c:v>5.7904410193440026E-5</c:v>
                </c:pt>
                <c:pt idx="127">
                  <c:v>2.3161764077376487E-4</c:v>
                </c:pt>
                <c:pt idx="128">
                  <c:v>5.2113969174096735E-4</c:v>
                </c:pt>
                <c:pt idx="129">
                  <c:v>9.2647056309504996E-4</c:v>
                </c:pt>
                <c:pt idx="130">
                  <c:v>1.4476102548360125E-3</c:v>
                </c:pt>
                <c:pt idx="131">
                  <c:v>2.0845587669638694E-3</c:v>
                </c:pt>
                <c:pt idx="132">
                  <c:v>2.8373160994785949E-3</c:v>
                </c:pt>
                <c:pt idx="133">
                  <c:v>3.7058822523801998E-3</c:v>
                </c:pt>
                <c:pt idx="134">
                  <c:v>4.6902572256686849E-3</c:v>
                </c:pt>
                <c:pt idx="135">
                  <c:v>5.7904410193440501E-3</c:v>
                </c:pt>
                <c:pt idx="136">
                  <c:v>7.0064336334063216E-3</c:v>
                </c:pt>
                <c:pt idx="137">
                  <c:v>8.3382350678554498E-3</c:v>
                </c:pt>
                <c:pt idx="138">
                  <c:v>9.785845322691427E-3</c:v>
                </c:pt>
                <c:pt idx="139">
                  <c:v>1.134926439791431E-2</c:v>
                </c:pt>
                <c:pt idx="140">
                  <c:v>1.3028492293524076E-2</c:v>
                </c:pt>
                <c:pt idx="141">
                  <c:v>1.4823529009520761E-2</c:v>
                </c:pt>
                <c:pt idx="142">
                  <c:v>1.6734374545904287E-2</c:v>
                </c:pt>
                <c:pt idx="143">
                  <c:v>1.8761028902674694E-2</c:v>
                </c:pt>
                <c:pt idx="144">
                  <c:v>2.0903492079831987E-2</c:v>
                </c:pt>
                <c:pt idx="145">
                  <c:v>2.3161764077376155E-2</c:v>
                </c:pt>
                <c:pt idx="146">
                  <c:v>2.553584489530725E-2</c:v>
                </c:pt>
                <c:pt idx="147">
                  <c:v>2.8025734533625182E-2</c:v>
                </c:pt>
                <c:pt idx="148">
                  <c:v>3.0631432992329993E-2</c:v>
                </c:pt>
                <c:pt idx="149">
                  <c:v>3.3352940271421681E-2</c:v>
                </c:pt>
                <c:pt idx="150">
                  <c:v>3.6190256370900314E-2</c:v>
                </c:pt>
                <c:pt idx="151">
                  <c:v>3.9143381290765764E-2</c:v>
                </c:pt>
                <c:pt idx="152">
                  <c:v>4.2212315031018105E-2</c:v>
                </c:pt>
                <c:pt idx="153">
                  <c:v>4.5397057591657311E-2</c:v>
                </c:pt>
                <c:pt idx="154">
                  <c:v>4.8697608972683409E-2</c:v>
                </c:pt>
                <c:pt idx="155">
                  <c:v>5.2113969174096449E-2</c:v>
                </c:pt>
                <c:pt idx="156">
                  <c:v>5.5646138195896311E-2</c:v>
                </c:pt>
                <c:pt idx="157">
                  <c:v>5.9294116038083045E-2</c:v>
                </c:pt>
                <c:pt idx="158">
                  <c:v>6.3057902700656671E-2</c:v>
                </c:pt>
                <c:pt idx="159">
                  <c:v>6.6937498183617147E-2</c:v>
                </c:pt>
                <c:pt idx="160">
                  <c:v>7.0932902486964614E-2</c:v>
                </c:pt>
                <c:pt idx="161">
                  <c:v>7.5044115610698861E-2</c:v>
                </c:pt>
                <c:pt idx="162">
                  <c:v>7.9271137554820001E-2</c:v>
                </c:pt>
                <c:pt idx="163">
                  <c:v>8.361396831932795E-2</c:v>
                </c:pt>
                <c:pt idx="164">
                  <c:v>8.8072607904222833E-2</c:v>
                </c:pt>
                <c:pt idx="165">
                  <c:v>9.2647056309504719E-2</c:v>
                </c:pt>
                <c:pt idx="166">
                  <c:v>9.7337313535173359E-2</c:v>
                </c:pt>
                <c:pt idx="167">
                  <c:v>0.1021433795812289</c:v>
                </c:pt>
                <c:pt idx="168">
                  <c:v>0.10706525444767133</c:v>
                </c:pt>
                <c:pt idx="169">
                  <c:v>0.11210293813450062</c:v>
                </c:pt>
                <c:pt idx="170">
                  <c:v>0.11725643064171691</c:v>
                </c:pt>
                <c:pt idx="171">
                  <c:v>0.12252573196931997</c:v>
                </c:pt>
                <c:pt idx="172">
                  <c:v>0.12791084211730991</c:v>
                </c:pt>
                <c:pt idx="173">
                  <c:v>0.13341176108568673</c:v>
                </c:pt>
                <c:pt idx="174">
                  <c:v>0.13902848887445055</c:v>
                </c:pt>
                <c:pt idx="175">
                  <c:v>0.14476102548360112</c:v>
                </c:pt>
                <c:pt idx="176">
                  <c:v>0.15060937091313861</c:v>
                </c:pt>
                <c:pt idx="177">
                  <c:v>0.15657352516306294</c:v>
                </c:pt>
                <c:pt idx="178">
                  <c:v>0.16265348823337417</c:v>
                </c:pt>
                <c:pt idx="179">
                  <c:v>0.16884926012407242</c:v>
                </c:pt>
                <c:pt idx="180">
                  <c:v>0.17516084083515737</c:v>
                </c:pt>
                <c:pt idx="181">
                  <c:v>0.18158823036662924</c:v>
                </c:pt>
                <c:pt idx="182">
                  <c:v>0.18813142871848798</c:v>
                </c:pt>
                <c:pt idx="183">
                  <c:v>0.19479043589073364</c:v>
                </c:pt>
                <c:pt idx="184">
                  <c:v>0.20156525188336627</c:v>
                </c:pt>
                <c:pt idx="185">
                  <c:v>0.20845587669638566</c:v>
                </c:pt>
                <c:pt idx="186">
                  <c:v>0.21546231032979193</c:v>
                </c:pt>
                <c:pt idx="187">
                  <c:v>0.22258455278358524</c:v>
                </c:pt>
                <c:pt idx="188">
                  <c:v>0.22982260405776511</c:v>
                </c:pt>
                <c:pt idx="189">
                  <c:v>0.23717646415233187</c:v>
                </c:pt>
                <c:pt idx="190">
                  <c:v>0.24464613306728583</c:v>
                </c:pt>
                <c:pt idx="191">
                  <c:v>0.25223161080262668</c:v>
                </c:pt>
                <c:pt idx="192">
                  <c:v>0.25993289735835406</c:v>
                </c:pt>
                <c:pt idx="193">
                  <c:v>0.26774999273446859</c:v>
                </c:pt>
                <c:pt idx="194">
                  <c:v>0.27568289693096976</c:v>
                </c:pt>
                <c:pt idx="195">
                  <c:v>0.28373160994785812</c:v>
                </c:pt>
                <c:pt idx="196">
                  <c:v>0.29189613178513341</c:v>
                </c:pt>
                <c:pt idx="197">
                  <c:v>0.30017646244279511</c:v>
                </c:pt>
                <c:pt idx="198">
                  <c:v>0.30857260192084418</c:v>
                </c:pt>
                <c:pt idx="199">
                  <c:v>0.31708455021927967</c:v>
                </c:pt>
                <c:pt idx="200">
                  <c:v>0.32571230733810247</c:v>
                </c:pt>
                <c:pt idx="201">
                  <c:v>0.3344558732773118</c:v>
                </c:pt>
                <c:pt idx="202">
                  <c:v>0.34331524803690827</c:v>
                </c:pt>
                <c:pt idx="203">
                  <c:v>0.35229043161689133</c:v>
                </c:pt>
                <c:pt idx="204">
                  <c:v>0.36138142401726164</c:v>
                </c:pt>
                <c:pt idx="205">
                  <c:v>0.37058822523801849</c:v>
                </c:pt>
                <c:pt idx="206">
                  <c:v>0.37991083527916292</c:v>
                </c:pt>
                <c:pt idx="207">
                  <c:v>0.38934925414069343</c:v>
                </c:pt>
                <c:pt idx="208">
                  <c:v>0.39890348182261132</c:v>
                </c:pt>
                <c:pt idx="209">
                  <c:v>0.40857351832491562</c:v>
                </c:pt>
                <c:pt idx="210">
                  <c:v>0.41835936364760723</c:v>
                </c:pt>
                <c:pt idx="211">
                  <c:v>0.42826101779068532</c:v>
                </c:pt>
                <c:pt idx="212">
                  <c:v>0.43827848075415066</c:v>
                </c:pt>
                <c:pt idx="213">
                  <c:v>0.44841175253800247</c:v>
                </c:pt>
                <c:pt idx="214">
                  <c:v>0.4586608331422416</c:v>
                </c:pt>
                <c:pt idx="215">
                  <c:v>0.46902572256686764</c:v>
                </c:pt>
                <c:pt idx="216">
                  <c:v>0.47950642081188055</c:v>
                </c:pt>
                <c:pt idx="217">
                  <c:v>0.49010292787727988</c:v>
                </c:pt>
                <c:pt idx="218">
                  <c:v>0.50081524376306652</c:v>
                </c:pt>
                <c:pt idx="219">
                  <c:v>0.51164336846923963</c:v>
                </c:pt>
                <c:pt idx="220">
                  <c:v>0.52258730199580006</c:v>
                </c:pt>
                <c:pt idx="221">
                  <c:v>0.5336470443427469</c:v>
                </c:pt>
                <c:pt idx="222">
                  <c:v>0.54482259551008116</c:v>
                </c:pt>
                <c:pt idx="223">
                  <c:v>0.55611395549780174</c:v>
                </c:pt>
                <c:pt idx="224">
                  <c:v>0.56752112430591017</c:v>
                </c:pt>
                <c:pt idx="225">
                  <c:v>0.57904410193440448</c:v>
                </c:pt>
                <c:pt idx="226">
                  <c:v>0.59068288838328575</c:v>
                </c:pt>
                <c:pt idx="227">
                  <c:v>0.60243748365255445</c:v>
                </c:pt>
                <c:pt idx="228">
                  <c:v>0.61430788774220935</c:v>
                </c:pt>
                <c:pt idx="229">
                  <c:v>0.62629410065225177</c:v>
                </c:pt>
                <c:pt idx="230">
                  <c:v>0.63839612238268051</c:v>
                </c:pt>
                <c:pt idx="231">
                  <c:v>0.65061395293349666</c:v>
                </c:pt>
                <c:pt idx="232">
                  <c:v>0.66294759230469913</c:v>
                </c:pt>
                <c:pt idx="233">
                  <c:v>0.67539704049628912</c:v>
                </c:pt>
                <c:pt idx="234">
                  <c:v>0.68796229750826587</c:v>
                </c:pt>
                <c:pt idx="235">
                  <c:v>0.70064336334062949</c:v>
                </c:pt>
                <c:pt idx="236">
                  <c:v>0.71344023799337952</c:v>
                </c:pt>
                <c:pt idx="237">
                  <c:v>0.72635292146651698</c:v>
                </c:pt>
                <c:pt idx="238">
                  <c:v>0.73938141376004085</c:v>
                </c:pt>
                <c:pt idx="239">
                  <c:v>0.75252571487395192</c:v>
                </c:pt>
                <c:pt idx="240">
                  <c:v>0.76578582480824953</c:v>
                </c:pt>
                <c:pt idx="241">
                  <c:v>0.77916174356293455</c:v>
                </c:pt>
                <c:pt idx="242">
                  <c:v>0.79265347113800577</c:v>
                </c:pt>
                <c:pt idx="243">
                  <c:v>0.80626100753346508</c:v>
                </c:pt>
                <c:pt idx="244">
                  <c:v>0.81998435274931014</c:v>
                </c:pt>
                <c:pt idx="245">
                  <c:v>0.83382350678554262</c:v>
                </c:pt>
                <c:pt idx="246">
                  <c:v>0.84777846964216141</c:v>
                </c:pt>
                <c:pt idx="247">
                  <c:v>0.86184924131916774</c:v>
                </c:pt>
                <c:pt idx="248">
                  <c:v>0.87603582181656026</c:v>
                </c:pt>
                <c:pt idx="249">
                  <c:v>0.89033821113434031</c:v>
                </c:pt>
                <c:pt idx="250">
                  <c:v>0.90475640927250667</c:v>
                </c:pt>
                <c:pt idx="251">
                  <c:v>0.91917460741067303</c:v>
                </c:pt>
                <c:pt idx="252">
                  <c:v>0.93347699672845308</c:v>
                </c:pt>
                <c:pt idx="253">
                  <c:v>0.94766357722584627</c:v>
                </c:pt>
                <c:pt idx="254">
                  <c:v>0.96173434890285248</c:v>
                </c:pt>
                <c:pt idx="255">
                  <c:v>0.97568931175947127</c:v>
                </c:pt>
                <c:pt idx="256">
                  <c:v>0.98952846579570375</c:v>
                </c:pt>
                <c:pt idx="257">
                  <c:v>1.0032518110115489</c:v>
                </c:pt>
                <c:pt idx="258">
                  <c:v>1.0168593474070076</c:v>
                </c:pt>
                <c:pt idx="259">
                  <c:v>1.0303510749820788</c:v>
                </c:pt>
                <c:pt idx="260">
                  <c:v>1.0437269937367637</c:v>
                </c:pt>
                <c:pt idx="261">
                  <c:v>1.0569871036710612</c:v>
                </c:pt>
                <c:pt idx="262">
                  <c:v>1.070131404784973</c:v>
                </c:pt>
                <c:pt idx="263">
                  <c:v>1.0831598970784968</c:v>
                </c:pt>
                <c:pt idx="264">
                  <c:v>1.0960725805516345</c:v>
                </c:pt>
                <c:pt idx="265">
                  <c:v>1.1088694552043843</c:v>
                </c:pt>
                <c:pt idx="266">
                  <c:v>1.121550521036748</c:v>
                </c:pt>
                <c:pt idx="267">
                  <c:v>1.1341157780487243</c:v>
                </c:pt>
                <c:pt idx="268">
                  <c:v>1.1465652262403141</c:v>
                </c:pt>
                <c:pt idx="269">
                  <c:v>1.1588988656115169</c:v>
                </c:pt>
                <c:pt idx="270">
                  <c:v>1.1711166961623327</c:v>
                </c:pt>
                <c:pt idx="271">
                  <c:v>1.1832187178927616</c:v>
                </c:pt>
                <c:pt idx="272">
                  <c:v>1.1952049308028045</c:v>
                </c:pt>
                <c:pt idx="273">
                  <c:v>1.2070753348924594</c:v>
                </c:pt>
                <c:pt idx="274">
                  <c:v>1.218829930161728</c:v>
                </c:pt>
                <c:pt idx="275">
                  <c:v>1.2304687166106094</c:v>
                </c:pt>
                <c:pt idx="276">
                  <c:v>1.2419916942391036</c:v>
                </c:pt>
                <c:pt idx="277">
                  <c:v>1.2533988630472117</c:v>
                </c:pt>
                <c:pt idx="278">
                  <c:v>1.2646902230349322</c:v>
                </c:pt>
                <c:pt idx="279">
                  <c:v>1.2758657742022665</c:v>
                </c:pt>
                <c:pt idx="280">
                  <c:v>1.2869255165492133</c:v>
                </c:pt>
                <c:pt idx="281">
                  <c:v>1.2978694500757741</c:v>
                </c:pt>
                <c:pt idx="282">
                  <c:v>1.3086975747819471</c:v>
                </c:pt>
                <c:pt idx="283">
                  <c:v>1.3194098906677338</c:v>
                </c:pt>
                <c:pt idx="284">
                  <c:v>1.3300063977331333</c:v>
                </c:pt>
                <c:pt idx="285">
                  <c:v>1.3404870959781461</c:v>
                </c:pt>
                <c:pt idx="286">
                  <c:v>1.3508519854027718</c:v>
                </c:pt>
                <c:pt idx="287">
                  <c:v>1.3611010660070109</c:v>
                </c:pt>
                <c:pt idx="288">
                  <c:v>1.3712343377908627</c:v>
                </c:pt>
                <c:pt idx="289">
                  <c:v>1.3812518007543282</c:v>
                </c:pt>
                <c:pt idx="290">
                  <c:v>1.3911534548974063</c:v>
                </c:pt>
                <c:pt idx="291">
                  <c:v>1.400939300220098</c:v>
                </c:pt>
                <c:pt idx="292">
                  <c:v>1.4106093367224024</c:v>
                </c:pt>
                <c:pt idx="293">
                  <c:v>1.4201635644043202</c:v>
                </c:pt>
                <c:pt idx="294">
                  <c:v>1.4296019832658509</c:v>
                </c:pt>
                <c:pt idx="295">
                  <c:v>1.438924593306995</c:v>
                </c:pt>
                <c:pt idx="296">
                  <c:v>1.4481313945277516</c:v>
                </c:pt>
                <c:pt idx="297">
                  <c:v>1.457222386928122</c:v>
                </c:pt>
                <c:pt idx="298">
                  <c:v>1.4661975705081052</c:v>
                </c:pt>
                <c:pt idx="299">
                  <c:v>1.4750569452677016</c:v>
                </c:pt>
                <c:pt idx="300">
                  <c:v>1.4838005112069115</c:v>
                </c:pt>
                <c:pt idx="301">
                  <c:v>1.4924282683257337</c:v>
                </c:pt>
                <c:pt idx="302">
                  <c:v>1.5009402166241697</c:v>
                </c:pt>
                <c:pt idx="303">
                  <c:v>1.5093363561022184</c:v>
                </c:pt>
                <c:pt idx="304">
                  <c:v>1.5176166867598804</c:v>
                </c:pt>
                <c:pt idx="305">
                  <c:v>1.5257812085971552</c:v>
                </c:pt>
                <c:pt idx="306">
                  <c:v>1.5338299216140436</c:v>
                </c:pt>
                <c:pt idx="307">
                  <c:v>1.5417628258105447</c:v>
                </c:pt>
                <c:pt idx="308">
                  <c:v>1.5495799211866594</c:v>
                </c:pt>
                <c:pt idx="309">
                  <c:v>1.5572812077423868</c:v>
                </c:pt>
                <c:pt idx="310">
                  <c:v>1.564866685477728</c:v>
                </c:pt>
                <c:pt idx="311">
                  <c:v>1.5723363543926816</c:v>
                </c:pt>
                <c:pt idx="312">
                  <c:v>1.5796902144872487</c:v>
                </c:pt>
                <c:pt idx="313">
                  <c:v>1.5869282657614285</c:v>
                </c:pt>
                <c:pt idx="314">
                  <c:v>1.5940505082152219</c:v>
                </c:pt>
                <c:pt idx="315">
                  <c:v>1.601056941848628</c:v>
                </c:pt>
                <c:pt idx="316">
                  <c:v>1.6079475666616472</c:v>
                </c:pt>
                <c:pt idx="317">
                  <c:v>1.6147223826542796</c:v>
                </c:pt>
                <c:pt idx="318">
                  <c:v>1.6213813898265255</c:v>
                </c:pt>
                <c:pt idx="319">
                  <c:v>1.6279245881783841</c:v>
                </c:pt>
                <c:pt idx="320">
                  <c:v>1.6343519777098565</c:v>
                </c:pt>
                <c:pt idx="321">
                  <c:v>1.6406635584209412</c:v>
                </c:pt>
                <c:pt idx="322">
                  <c:v>1.6468593303116397</c:v>
                </c:pt>
                <c:pt idx="323">
                  <c:v>1.6529392933819507</c:v>
                </c:pt>
                <c:pt idx="324">
                  <c:v>1.6589034476318751</c:v>
                </c:pt>
                <c:pt idx="325">
                  <c:v>1.6647517930614124</c:v>
                </c:pt>
                <c:pt idx="326">
                  <c:v>1.6704843296705627</c:v>
                </c:pt>
                <c:pt idx="327">
                  <c:v>1.6761010574593267</c:v>
                </c:pt>
                <c:pt idx="328">
                  <c:v>1.6816019764277035</c:v>
                </c:pt>
                <c:pt idx="329">
                  <c:v>1.686987086575694</c:v>
                </c:pt>
                <c:pt idx="330">
                  <c:v>1.6922563879032968</c:v>
                </c:pt>
                <c:pt idx="331">
                  <c:v>1.6974098804105129</c:v>
                </c:pt>
                <c:pt idx="332">
                  <c:v>1.702447564097342</c:v>
                </c:pt>
                <c:pt idx="333">
                  <c:v>1.7073694389637843</c:v>
                </c:pt>
                <c:pt idx="334">
                  <c:v>1.7121755050098399</c:v>
                </c:pt>
                <c:pt idx="335">
                  <c:v>1.7168657622355088</c:v>
                </c:pt>
                <c:pt idx="336">
                  <c:v>1.7214402106407904</c:v>
                </c:pt>
                <c:pt idx="337">
                  <c:v>1.7258988502256853</c:v>
                </c:pt>
                <c:pt idx="338">
                  <c:v>1.7302416809901933</c:v>
                </c:pt>
                <c:pt idx="339">
                  <c:v>1.7344687029343149</c:v>
                </c:pt>
                <c:pt idx="340">
                  <c:v>1.7385799160580488</c:v>
                </c:pt>
                <c:pt idx="341">
                  <c:v>1.7425753203613965</c:v>
                </c:pt>
                <c:pt idx="342">
                  <c:v>1.746454915844357</c:v>
                </c:pt>
                <c:pt idx="343">
                  <c:v>1.7502187025069307</c:v>
                </c:pt>
                <c:pt idx="344">
                  <c:v>1.7538666803491172</c:v>
                </c:pt>
                <c:pt idx="345">
                  <c:v>1.7573988493709169</c:v>
                </c:pt>
                <c:pt idx="346">
                  <c:v>1.7608152095723297</c:v>
                </c:pt>
                <c:pt idx="347">
                  <c:v>1.7641157609533562</c:v>
                </c:pt>
                <c:pt idx="348">
                  <c:v>1.7673005035139955</c:v>
                </c:pt>
                <c:pt idx="349">
                  <c:v>1.770369437254248</c:v>
                </c:pt>
                <c:pt idx="350">
                  <c:v>1.7733225621741133</c:v>
                </c:pt>
                <c:pt idx="351">
                  <c:v>1.7761598782735919</c:v>
                </c:pt>
                <c:pt idx="352">
                  <c:v>1.7788813855526833</c:v>
                </c:pt>
                <c:pt idx="353">
                  <c:v>1.7814870840113883</c:v>
                </c:pt>
                <c:pt idx="354">
                  <c:v>1.7839769736497064</c:v>
                </c:pt>
                <c:pt idx="355">
                  <c:v>1.7863510544676373</c:v>
                </c:pt>
                <c:pt idx="356">
                  <c:v>1.7886093264651814</c:v>
                </c:pt>
                <c:pt idx="357">
                  <c:v>1.7907517896423388</c:v>
                </c:pt>
                <c:pt idx="358">
                  <c:v>1.7927784439991092</c:v>
                </c:pt>
                <c:pt idx="359">
                  <c:v>1.7946892895354929</c:v>
                </c:pt>
                <c:pt idx="360">
                  <c:v>1.7964843262514893</c:v>
                </c:pt>
                <c:pt idx="361">
                  <c:v>1.7981635541470991</c:v>
                </c:pt>
                <c:pt idx="362">
                  <c:v>1.7997269732223222</c:v>
                </c:pt>
                <c:pt idx="363">
                  <c:v>1.8011745834771582</c:v>
                </c:pt>
                <c:pt idx="364">
                  <c:v>1.8025063849116072</c:v>
                </c:pt>
                <c:pt idx="365">
                  <c:v>1.8037223775256694</c:v>
                </c:pt>
                <c:pt idx="366">
                  <c:v>1.8048225613193449</c:v>
                </c:pt>
                <c:pt idx="367">
                  <c:v>1.8058069362926332</c:v>
                </c:pt>
                <c:pt idx="368">
                  <c:v>1.8066755024455348</c:v>
                </c:pt>
                <c:pt idx="369">
                  <c:v>1.8074282597780496</c:v>
                </c:pt>
                <c:pt idx="370">
                  <c:v>1.8080652082901776</c:v>
                </c:pt>
                <c:pt idx="371">
                  <c:v>1.8085863479819184</c:v>
                </c:pt>
                <c:pt idx="372">
                  <c:v>1.8089916788532725</c:v>
                </c:pt>
                <c:pt idx="373">
                  <c:v>1.8092812009042396</c:v>
                </c:pt>
                <c:pt idx="374">
                  <c:v>1.8094549141348195</c:v>
                </c:pt>
                <c:pt idx="375">
                  <c:v>1.8095128185450129</c:v>
                </c:pt>
                <c:pt idx="376">
                  <c:v>1.8095128185450133</c:v>
                </c:pt>
                <c:pt idx="377">
                  <c:v>1.8095128185450133</c:v>
                </c:pt>
                <c:pt idx="378">
                  <c:v>1.8095128185450133</c:v>
                </c:pt>
                <c:pt idx="379">
                  <c:v>1.8095128185450133</c:v>
                </c:pt>
                <c:pt idx="380">
                  <c:v>1.8095128185450133</c:v>
                </c:pt>
                <c:pt idx="381">
                  <c:v>1.8095128185450133</c:v>
                </c:pt>
                <c:pt idx="382">
                  <c:v>1.8095128185450133</c:v>
                </c:pt>
                <c:pt idx="383">
                  <c:v>1.8095128185450133</c:v>
                </c:pt>
                <c:pt idx="384">
                  <c:v>1.8095128185450133</c:v>
                </c:pt>
                <c:pt idx="385">
                  <c:v>1.8095128185450133</c:v>
                </c:pt>
                <c:pt idx="386">
                  <c:v>1.8095128185450133</c:v>
                </c:pt>
                <c:pt idx="387">
                  <c:v>1.8095128185450133</c:v>
                </c:pt>
                <c:pt idx="388">
                  <c:v>1.8095128185450133</c:v>
                </c:pt>
                <c:pt idx="389">
                  <c:v>1.8095128185450133</c:v>
                </c:pt>
                <c:pt idx="390">
                  <c:v>1.8095128185450133</c:v>
                </c:pt>
                <c:pt idx="391">
                  <c:v>1.8095128185450133</c:v>
                </c:pt>
                <c:pt idx="392">
                  <c:v>1.8095128185450133</c:v>
                </c:pt>
                <c:pt idx="393">
                  <c:v>1.8095128185450133</c:v>
                </c:pt>
                <c:pt idx="394">
                  <c:v>1.8095128185450133</c:v>
                </c:pt>
                <c:pt idx="395">
                  <c:v>1.8095128185450133</c:v>
                </c:pt>
                <c:pt idx="396">
                  <c:v>1.8095128185450133</c:v>
                </c:pt>
                <c:pt idx="397">
                  <c:v>1.8095128185450133</c:v>
                </c:pt>
                <c:pt idx="398">
                  <c:v>1.8095128185450133</c:v>
                </c:pt>
                <c:pt idx="399">
                  <c:v>1.8095128185450133</c:v>
                </c:pt>
                <c:pt idx="400">
                  <c:v>1.8095128185450133</c:v>
                </c:pt>
                <c:pt idx="401">
                  <c:v>1.8095128185450133</c:v>
                </c:pt>
                <c:pt idx="402">
                  <c:v>1.8095128185450133</c:v>
                </c:pt>
                <c:pt idx="403">
                  <c:v>1.8095128185450133</c:v>
                </c:pt>
                <c:pt idx="404">
                  <c:v>1.8095128185450133</c:v>
                </c:pt>
                <c:pt idx="405">
                  <c:v>1.8095128185450133</c:v>
                </c:pt>
                <c:pt idx="406">
                  <c:v>1.8095128185450133</c:v>
                </c:pt>
                <c:pt idx="407">
                  <c:v>1.8095128185450133</c:v>
                </c:pt>
                <c:pt idx="408">
                  <c:v>1.8095128185450133</c:v>
                </c:pt>
                <c:pt idx="409">
                  <c:v>1.8095128185450133</c:v>
                </c:pt>
                <c:pt idx="410">
                  <c:v>1.8095128185450133</c:v>
                </c:pt>
                <c:pt idx="411">
                  <c:v>1.8095128185450133</c:v>
                </c:pt>
                <c:pt idx="412">
                  <c:v>1.8095128185450133</c:v>
                </c:pt>
                <c:pt idx="413">
                  <c:v>1.8095128185450133</c:v>
                </c:pt>
                <c:pt idx="414">
                  <c:v>1.8095128185450133</c:v>
                </c:pt>
                <c:pt idx="415">
                  <c:v>1.8095128185450133</c:v>
                </c:pt>
                <c:pt idx="416">
                  <c:v>1.8095128185450133</c:v>
                </c:pt>
                <c:pt idx="417">
                  <c:v>1.8095128185450133</c:v>
                </c:pt>
                <c:pt idx="418">
                  <c:v>1.8095128185450133</c:v>
                </c:pt>
                <c:pt idx="419">
                  <c:v>1.8095128185450133</c:v>
                </c:pt>
                <c:pt idx="420">
                  <c:v>1.8095128185450133</c:v>
                </c:pt>
                <c:pt idx="421">
                  <c:v>1.8095128185450133</c:v>
                </c:pt>
                <c:pt idx="422">
                  <c:v>1.8095128185450133</c:v>
                </c:pt>
                <c:pt idx="423">
                  <c:v>1.8095128185450133</c:v>
                </c:pt>
                <c:pt idx="424">
                  <c:v>1.8095128185450133</c:v>
                </c:pt>
                <c:pt idx="425">
                  <c:v>1.8095128185450133</c:v>
                </c:pt>
                <c:pt idx="426">
                  <c:v>1.8095128185450133</c:v>
                </c:pt>
                <c:pt idx="427">
                  <c:v>1.8095128185450133</c:v>
                </c:pt>
                <c:pt idx="428">
                  <c:v>1.8095128185450133</c:v>
                </c:pt>
                <c:pt idx="429">
                  <c:v>1.8095128185450133</c:v>
                </c:pt>
                <c:pt idx="430">
                  <c:v>1.8095128185450133</c:v>
                </c:pt>
                <c:pt idx="431">
                  <c:v>1.8095128185450133</c:v>
                </c:pt>
                <c:pt idx="432">
                  <c:v>1.8095128185450133</c:v>
                </c:pt>
                <c:pt idx="433">
                  <c:v>1.8095128185450133</c:v>
                </c:pt>
                <c:pt idx="434">
                  <c:v>1.8095128185450133</c:v>
                </c:pt>
                <c:pt idx="435">
                  <c:v>1.8095128185450133</c:v>
                </c:pt>
                <c:pt idx="436">
                  <c:v>1.8095128185450133</c:v>
                </c:pt>
                <c:pt idx="437">
                  <c:v>1.8095128185450133</c:v>
                </c:pt>
                <c:pt idx="438">
                  <c:v>1.8095128185450133</c:v>
                </c:pt>
                <c:pt idx="439">
                  <c:v>1.8095128185450133</c:v>
                </c:pt>
                <c:pt idx="440">
                  <c:v>1.8095128185450133</c:v>
                </c:pt>
                <c:pt idx="441">
                  <c:v>1.8095128185450133</c:v>
                </c:pt>
                <c:pt idx="442">
                  <c:v>1.8095128185450133</c:v>
                </c:pt>
                <c:pt idx="443">
                  <c:v>1.8095128185450133</c:v>
                </c:pt>
                <c:pt idx="444">
                  <c:v>1.8095128185450133</c:v>
                </c:pt>
                <c:pt idx="445">
                  <c:v>1.8095128185450133</c:v>
                </c:pt>
                <c:pt idx="446">
                  <c:v>1.8095128185450133</c:v>
                </c:pt>
                <c:pt idx="447">
                  <c:v>1.8095128185450133</c:v>
                </c:pt>
                <c:pt idx="448">
                  <c:v>1.8095128185450133</c:v>
                </c:pt>
                <c:pt idx="449">
                  <c:v>1.8095128185450133</c:v>
                </c:pt>
                <c:pt idx="450">
                  <c:v>1.8095128185450133</c:v>
                </c:pt>
                <c:pt idx="451">
                  <c:v>1.8095128185450133</c:v>
                </c:pt>
                <c:pt idx="452">
                  <c:v>1.8095128185450133</c:v>
                </c:pt>
                <c:pt idx="453">
                  <c:v>1.8095128185450133</c:v>
                </c:pt>
                <c:pt idx="454">
                  <c:v>1.8095128185450133</c:v>
                </c:pt>
                <c:pt idx="455">
                  <c:v>1.8095128185450133</c:v>
                </c:pt>
                <c:pt idx="456">
                  <c:v>1.8095128185450133</c:v>
                </c:pt>
                <c:pt idx="457">
                  <c:v>1.8095128185450133</c:v>
                </c:pt>
                <c:pt idx="458">
                  <c:v>1.8095128185450133</c:v>
                </c:pt>
                <c:pt idx="459">
                  <c:v>1.8095128185450133</c:v>
                </c:pt>
                <c:pt idx="460">
                  <c:v>1.8095128185450133</c:v>
                </c:pt>
                <c:pt idx="461">
                  <c:v>1.8095128185450133</c:v>
                </c:pt>
                <c:pt idx="462">
                  <c:v>1.8095128185450133</c:v>
                </c:pt>
                <c:pt idx="463">
                  <c:v>1.8095128185450133</c:v>
                </c:pt>
                <c:pt idx="464">
                  <c:v>1.8095128185450133</c:v>
                </c:pt>
                <c:pt idx="465">
                  <c:v>1.8095128185450133</c:v>
                </c:pt>
                <c:pt idx="466">
                  <c:v>1.8095128185450133</c:v>
                </c:pt>
                <c:pt idx="467">
                  <c:v>1.8095128185450133</c:v>
                </c:pt>
                <c:pt idx="468">
                  <c:v>1.8095128185450133</c:v>
                </c:pt>
                <c:pt idx="469">
                  <c:v>1.8095128185450133</c:v>
                </c:pt>
                <c:pt idx="470">
                  <c:v>1.8095128185450133</c:v>
                </c:pt>
                <c:pt idx="471">
                  <c:v>1.8095128185450133</c:v>
                </c:pt>
                <c:pt idx="472">
                  <c:v>1.8095128185450133</c:v>
                </c:pt>
                <c:pt idx="473">
                  <c:v>1.8095128185450133</c:v>
                </c:pt>
                <c:pt idx="474">
                  <c:v>1.8095128185450133</c:v>
                </c:pt>
                <c:pt idx="475">
                  <c:v>1.8095128185450133</c:v>
                </c:pt>
                <c:pt idx="476">
                  <c:v>1.8095128185450133</c:v>
                </c:pt>
                <c:pt idx="477">
                  <c:v>1.8095128185450133</c:v>
                </c:pt>
                <c:pt idx="478">
                  <c:v>1.8095128185450133</c:v>
                </c:pt>
                <c:pt idx="479">
                  <c:v>1.8095128185450133</c:v>
                </c:pt>
                <c:pt idx="480">
                  <c:v>1.8095128185450133</c:v>
                </c:pt>
                <c:pt idx="481">
                  <c:v>1.8095128185450133</c:v>
                </c:pt>
                <c:pt idx="482">
                  <c:v>1.8095128185450133</c:v>
                </c:pt>
                <c:pt idx="483">
                  <c:v>1.8095128185450133</c:v>
                </c:pt>
                <c:pt idx="484">
                  <c:v>1.8095128185450133</c:v>
                </c:pt>
                <c:pt idx="485">
                  <c:v>1.8095128185450133</c:v>
                </c:pt>
                <c:pt idx="486">
                  <c:v>1.8095128185450133</c:v>
                </c:pt>
                <c:pt idx="487">
                  <c:v>1.8095128185450133</c:v>
                </c:pt>
                <c:pt idx="488">
                  <c:v>1.8095128185450133</c:v>
                </c:pt>
                <c:pt idx="489">
                  <c:v>1.8095128185450133</c:v>
                </c:pt>
                <c:pt idx="490">
                  <c:v>1.8095128185450133</c:v>
                </c:pt>
                <c:pt idx="491">
                  <c:v>1.8095128185450133</c:v>
                </c:pt>
                <c:pt idx="492">
                  <c:v>1.8095128185450133</c:v>
                </c:pt>
                <c:pt idx="493">
                  <c:v>1.8095128185450133</c:v>
                </c:pt>
                <c:pt idx="494">
                  <c:v>1.8095128185450133</c:v>
                </c:pt>
                <c:pt idx="495">
                  <c:v>1.8095128185450133</c:v>
                </c:pt>
                <c:pt idx="496">
                  <c:v>1.8095128185450133</c:v>
                </c:pt>
                <c:pt idx="497">
                  <c:v>1.8095128185450133</c:v>
                </c:pt>
                <c:pt idx="498">
                  <c:v>1.8095128185450133</c:v>
                </c:pt>
                <c:pt idx="499">
                  <c:v>1.8095128185450133</c:v>
                </c:pt>
                <c:pt idx="500">
                  <c:v>1.8095128185450133</c:v>
                </c:pt>
              </c:numCache>
            </c:numRef>
          </c:yVal>
          <c:smooth val="1"/>
          <c:extLst>
            <c:ext xmlns:c16="http://schemas.microsoft.com/office/drawing/2014/chart" uri="{C3380CC4-5D6E-409C-BE32-E72D297353CC}">
              <c16:uniqueId val="{00000000-7732-40D0-8BE4-1D54BD5285C3}"/>
            </c:ext>
          </c:extLst>
        </c:ser>
        <c:dLbls>
          <c:showLegendKey val="0"/>
          <c:showVal val="0"/>
          <c:showCatName val="0"/>
          <c:showSerName val="0"/>
          <c:showPercent val="0"/>
          <c:showBubbleSize val="0"/>
        </c:dLbls>
        <c:axId val="2125293487"/>
        <c:axId val="2125293967"/>
      </c:scatterChart>
      <c:valAx>
        <c:axId val="2125293487"/>
        <c:scaling>
          <c:orientation val="minMax"/>
          <c:max val="40"/>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Distance</a:t>
                </a:r>
                <a:r>
                  <a:rPr lang="en-US" b="1" baseline="0"/>
                  <a:t> along p-n junction (nm)</a:t>
                </a:r>
                <a:endParaRPr lang="en-US"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in"/>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293967"/>
        <c:crosses val="autoZero"/>
        <c:crossBetween val="midCat"/>
      </c:valAx>
      <c:valAx>
        <c:axId val="2125293967"/>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baseline="0"/>
                  <a:t>Voltage (V)</a:t>
                </a:r>
                <a:endParaRPr lang="en-GB"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in"/>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293487"/>
        <c:crosses val="autoZero"/>
        <c:crossBetween val="midCat"/>
      </c:valAx>
      <c:spPr>
        <a:noFill/>
        <a:ln>
          <a:solidFill>
            <a:sysClr val="windowText" lastClr="00000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444225721784779"/>
          <c:y val="5.0925925925925923E-2"/>
          <c:w val="0.85622440944881884"/>
          <c:h val="0.86479148439778364"/>
        </c:manualLayout>
      </c:layout>
      <c:scatterChart>
        <c:scatterStyle val="smoothMarker"/>
        <c:varyColors val="0"/>
        <c:ser>
          <c:idx val="0"/>
          <c:order val="0"/>
          <c:tx>
            <c:v>Extremely Fine</c:v>
          </c:tx>
          <c:spPr>
            <a:ln w="19050" cap="rnd">
              <a:solidFill>
                <a:schemeClr val="accent1"/>
              </a:solidFill>
              <a:round/>
            </a:ln>
            <a:effectLst/>
          </c:spPr>
          <c:marker>
            <c:symbol val="none"/>
          </c:marker>
          <c:xVal>
            <c:numRef>
              <c:f>'2.3.1'!$N$3:$N$503</c:f>
              <c:numCache>
                <c:formatCode>General</c:formatCode>
                <c:ptCount val="501"/>
                <c:pt idx="0">
                  <c:v>0</c:v>
                </c:pt>
                <c:pt idx="1">
                  <c:v>7.9999999999999905E-2</c:v>
                </c:pt>
                <c:pt idx="2">
                  <c:v>0.159999999999999</c:v>
                </c:pt>
                <c:pt idx="3">
                  <c:v>0.23999999999999899</c:v>
                </c:pt>
                <c:pt idx="4">
                  <c:v>0.31999999999999901</c:v>
                </c:pt>
                <c:pt idx="5">
                  <c:v>0.39999999999999902</c:v>
                </c:pt>
                <c:pt idx="6">
                  <c:v>0.47999999999999898</c:v>
                </c:pt>
                <c:pt idx="7">
                  <c:v>0.55999999999999905</c:v>
                </c:pt>
                <c:pt idx="8">
                  <c:v>0.63999999999999901</c:v>
                </c:pt>
                <c:pt idx="9">
                  <c:v>0.71999999999999897</c:v>
                </c:pt>
                <c:pt idx="10">
                  <c:v>0.79999999999999905</c:v>
                </c:pt>
                <c:pt idx="11">
                  <c:v>0.87999999999999901</c:v>
                </c:pt>
                <c:pt idx="12">
                  <c:v>0.95999999999999897</c:v>
                </c:pt>
                <c:pt idx="13">
                  <c:v>1.03999999999999</c:v>
                </c:pt>
                <c:pt idx="14">
                  <c:v>1.1199999999999899</c:v>
                </c:pt>
                <c:pt idx="15">
                  <c:v>1.19999999999999</c:v>
                </c:pt>
                <c:pt idx="16">
                  <c:v>1.27999999999999</c:v>
                </c:pt>
                <c:pt idx="17">
                  <c:v>1.3599999999999901</c:v>
                </c:pt>
                <c:pt idx="18">
                  <c:v>1.43999999999999</c:v>
                </c:pt>
                <c:pt idx="19">
                  <c:v>1.51999999999999</c:v>
                </c:pt>
                <c:pt idx="20">
                  <c:v>1.5999999999999901</c:v>
                </c:pt>
                <c:pt idx="21">
                  <c:v>1.6799999999999899</c:v>
                </c:pt>
                <c:pt idx="22">
                  <c:v>1.75999999999999</c:v>
                </c:pt>
                <c:pt idx="23">
                  <c:v>1.8399999999999901</c:v>
                </c:pt>
                <c:pt idx="24">
                  <c:v>1.9199999999999899</c:v>
                </c:pt>
                <c:pt idx="25">
                  <c:v>1.99999999999999</c:v>
                </c:pt>
                <c:pt idx="26">
                  <c:v>2.0799999999999899</c:v>
                </c:pt>
                <c:pt idx="27">
                  <c:v>2.1599999999999899</c:v>
                </c:pt>
                <c:pt idx="28">
                  <c:v>2.23999999999999</c:v>
                </c:pt>
                <c:pt idx="29">
                  <c:v>2.3199999999999901</c:v>
                </c:pt>
                <c:pt idx="30">
                  <c:v>2.3999999999999901</c:v>
                </c:pt>
                <c:pt idx="31">
                  <c:v>2.4799999999999902</c:v>
                </c:pt>
                <c:pt idx="32">
                  <c:v>2.5599999999999898</c:v>
                </c:pt>
                <c:pt idx="33">
                  <c:v>2.6399999999999899</c:v>
                </c:pt>
                <c:pt idx="34">
                  <c:v>2.71999999999999</c:v>
                </c:pt>
                <c:pt idx="35">
                  <c:v>2.7999999999999901</c:v>
                </c:pt>
                <c:pt idx="36">
                  <c:v>2.8799999999999901</c:v>
                </c:pt>
                <c:pt idx="37">
                  <c:v>2.9599999999999902</c:v>
                </c:pt>
                <c:pt idx="38">
                  <c:v>3.0399999999999898</c:v>
                </c:pt>
                <c:pt idx="39">
                  <c:v>3.1199999999999899</c:v>
                </c:pt>
                <c:pt idx="40">
                  <c:v>3.19999999999999</c:v>
                </c:pt>
                <c:pt idx="41">
                  <c:v>3.27999999999999</c:v>
                </c:pt>
                <c:pt idx="42">
                  <c:v>3.3599999999999901</c:v>
                </c:pt>
                <c:pt idx="43">
                  <c:v>3.4399999999999902</c:v>
                </c:pt>
                <c:pt idx="44">
                  <c:v>3.5199999999999898</c:v>
                </c:pt>
                <c:pt idx="45">
                  <c:v>3.5999999999999899</c:v>
                </c:pt>
                <c:pt idx="46">
                  <c:v>3.6799999999999899</c:v>
                </c:pt>
                <c:pt idx="47">
                  <c:v>3.75999999999999</c:v>
                </c:pt>
                <c:pt idx="48">
                  <c:v>3.8399999999999901</c:v>
                </c:pt>
                <c:pt idx="49">
                  <c:v>3.9199999999999902</c:v>
                </c:pt>
                <c:pt idx="50">
                  <c:v>3.9999999999999898</c:v>
                </c:pt>
                <c:pt idx="51">
                  <c:v>4.0799999999999903</c:v>
                </c:pt>
                <c:pt idx="52">
                  <c:v>4.1599999999999904</c:v>
                </c:pt>
                <c:pt idx="53">
                  <c:v>4.2399999999999904</c:v>
                </c:pt>
                <c:pt idx="54">
                  <c:v>4.3199999999999896</c:v>
                </c:pt>
                <c:pt idx="55">
                  <c:v>4.3999999999999897</c:v>
                </c:pt>
                <c:pt idx="56">
                  <c:v>4.4799999999999898</c:v>
                </c:pt>
                <c:pt idx="57">
                  <c:v>4.5599999999999898</c:v>
                </c:pt>
                <c:pt idx="58">
                  <c:v>4.6399999999999899</c:v>
                </c:pt>
                <c:pt idx="59">
                  <c:v>4.71999999999999</c:v>
                </c:pt>
                <c:pt idx="60">
                  <c:v>4.7999999999999901</c:v>
                </c:pt>
                <c:pt idx="61">
                  <c:v>4.8799999999999901</c:v>
                </c:pt>
                <c:pt idx="62">
                  <c:v>4.9599999999999902</c:v>
                </c:pt>
                <c:pt idx="63">
                  <c:v>5.0399999999999903</c:v>
                </c:pt>
                <c:pt idx="64">
                  <c:v>5.1199999999999903</c:v>
                </c:pt>
                <c:pt idx="65">
                  <c:v>5.1999999999999904</c:v>
                </c:pt>
                <c:pt idx="66">
                  <c:v>5.2799999999999896</c:v>
                </c:pt>
                <c:pt idx="67">
                  <c:v>5.3599999999999897</c:v>
                </c:pt>
                <c:pt idx="68">
                  <c:v>5.4399999999999897</c:v>
                </c:pt>
                <c:pt idx="69">
                  <c:v>5.5199999999999898</c:v>
                </c:pt>
                <c:pt idx="70">
                  <c:v>5.5999999999999899</c:v>
                </c:pt>
                <c:pt idx="71">
                  <c:v>5.6799999999999899</c:v>
                </c:pt>
                <c:pt idx="72">
                  <c:v>5.75999999999999</c:v>
                </c:pt>
                <c:pt idx="73">
                  <c:v>5.8399999999999901</c:v>
                </c:pt>
                <c:pt idx="74">
                  <c:v>5.9199999999999902</c:v>
                </c:pt>
                <c:pt idx="75">
                  <c:v>5.9999999999999902</c:v>
                </c:pt>
                <c:pt idx="76">
                  <c:v>6.0799999999999903</c:v>
                </c:pt>
                <c:pt idx="77">
                  <c:v>6.1599999999999904</c:v>
                </c:pt>
                <c:pt idx="78">
                  <c:v>6.2399999999999904</c:v>
                </c:pt>
                <c:pt idx="79">
                  <c:v>6.3199999999999896</c:v>
                </c:pt>
                <c:pt idx="80">
                  <c:v>6.3999999999999897</c:v>
                </c:pt>
                <c:pt idx="81">
                  <c:v>6.4799999999999898</c:v>
                </c:pt>
                <c:pt idx="82">
                  <c:v>6.5599999999999898</c:v>
                </c:pt>
                <c:pt idx="83">
                  <c:v>6.6399999999999899</c:v>
                </c:pt>
                <c:pt idx="84">
                  <c:v>6.71999999999999</c:v>
                </c:pt>
                <c:pt idx="85">
                  <c:v>6.7999999999999901</c:v>
                </c:pt>
                <c:pt idx="86">
                  <c:v>6.8799999999999901</c:v>
                </c:pt>
                <c:pt idx="87">
                  <c:v>6.9599999999999902</c:v>
                </c:pt>
                <c:pt idx="88">
                  <c:v>7.0399999999999903</c:v>
                </c:pt>
                <c:pt idx="89">
                  <c:v>7.1199999999999903</c:v>
                </c:pt>
                <c:pt idx="90">
                  <c:v>7.1999999999999904</c:v>
                </c:pt>
                <c:pt idx="91">
                  <c:v>7.2799999999999896</c:v>
                </c:pt>
                <c:pt idx="92">
                  <c:v>7.3599999999999897</c:v>
                </c:pt>
                <c:pt idx="93">
                  <c:v>7.4399999999999897</c:v>
                </c:pt>
                <c:pt idx="94">
                  <c:v>7.5199999999999898</c:v>
                </c:pt>
                <c:pt idx="95">
                  <c:v>7.5999999999999899</c:v>
                </c:pt>
                <c:pt idx="96">
                  <c:v>7.6799999999999899</c:v>
                </c:pt>
                <c:pt idx="97">
                  <c:v>7.75999999999999</c:v>
                </c:pt>
                <c:pt idx="98">
                  <c:v>7.8399999999999901</c:v>
                </c:pt>
                <c:pt idx="99">
                  <c:v>7.9199999999999902</c:v>
                </c:pt>
                <c:pt idx="100">
                  <c:v>7.9999999999999902</c:v>
                </c:pt>
                <c:pt idx="101">
                  <c:v>8.0799999999999894</c:v>
                </c:pt>
                <c:pt idx="102">
                  <c:v>8.1599999999999895</c:v>
                </c:pt>
                <c:pt idx="103">
                  <c:v>8.2399999999999896</c:v>
                </c:pt>
                <c:pt idx="104">
                  <c:v>8.3199999999999896</c:v>
                </c:pt>
                <c:pt idx="105">
                  <c:v>8.3999999999999897</c:v>
                </c:pt>
                <c:pt idx="106">
                  <c:v>8.4799999999999898</c:v>
                </c:pt>
                <c:pt idx="107">
                  <c:v>8.5599999999999898</c:v>
                </c:pt>
                <c:pt idx="108">
                  <c:v>8.6399999999999899</c:v>
                </c:pt>
                <c:pt idx="109">
                  <c:v>8.71999999999999</c:v>
                </c:pt>
                <c:pt idx="110">
                  <c:v>8.7999999999999901</c:v>
                </c:pt>
                <c:pt idx="111">
                  <c:v>8.8799999999999901</c:v>
                </c:pt>
                <c:pt idx="112">
                  <c:v>8.9599999999999902</c:v>
                </c:pt>
                <c:pt idx="113">
                  <c:v>9.0399999999999903</c:v>
                </c:pt>
                <c:pt idx="114">
                  <c:v>9.1199999999999903</c:v>
                </c:pt>
                <c:pt idx="115">
                  <c:v>9.1999999999999904</c:v>
                </c:pt>
                <c:pt idx="116">
                  <c:v>9.2799999999999905</c:v>
                </c:pt>
                <c:pt idx="117">
                  <c:v>9.3599999999999905</c:v>
                </c:pt>
                <c:pt idx="118">
                  <c:v>9.4399999999999906</c:v>
                </c:pt>
                <c:pt idx="119">
                  <c:v>9.5199999999999907</c:v>
                </c:pt>
                <c:pt idx="120">
                  <c:v>9.5999999999999908</c:v>
                </c:pt>
                <c:pt idx="121">
                  <c:v>9.6799999999999908</c:v>
                </c:pt>
                <c:pt idx="122">
                  <c:v>9.7599999999999891</c:v>
                </c:pt>
                <c:pt idx="123">
                  <c:v>9.8399999999999892</c:v>
                </c:pt>
                <c:pt idx="124">
                  <c:v>9.9199999999999893</c:v>
                </c:pt>
                <c:pt idx="125">
                  <c:v>9.9999999999999893</c:v>
                </c:pt>
                <c:pt idx="126">
                  <c:v>10.079999999999901</c:v>
                </c:pt>
                <c:pt idx="127">
                  <c:v>10.159999999999901</c:v>
                </c:pt>
                <c:pt idx="128">
                  <c:v>10.239999999999901</c:v>
                </c:pt>
                <c:pt idx="129">
                  <c:v>10.319999999999901</c:v>
                </c:pt>
                <c:pt idx="130">
                  <c:v>10.399999999999901</c:v>
                </c:pt>
                <c:pt idx="131">
                  <c:v>10.479999999999899</c:v>
                </c:pt>
                <c:pt idx="132">
                  <c:v>10.559999999999899</c:v>
                </c:pt>
                <c:pt idx="133">
                  <c:v>10.639999999999899</c:v>
                </c:pt>
                <c:pt idx="134">
                  <c:v>10.719999999999899</c:v>
                </c:pt>
                <c:pt idx="135">
                  <c:v>10.799999999999899</c:v>
                </c:pt>
                <c:pt idx="136">
                  <c:v>10.8799999999999</c:v>
                </c:pt>
                <c:pt idx="137">
                  <c:v>10.9599999999999</c:v>
                </c:pt>
                <c:pt idx="138">
                  <c:v>11.0399999999999</c:v>
                </c:pt>
                <c:pt idx="139">
                  <c:v>11.1199999999999</c:v>
                </c:pt>
                <c:pt idx="140">
                  <c:v>11.1999999999999</c:v>
                </c:pt>
                <c:pt idx="141">
                  <c:v>11.2799999999999</c:v>
                </c:pt>
                <c:pt idx="142">
                  <c:v>11.3599999999999</c:v>
                </c:pt>
                <c:pt idx="143">
                  <c:v>11.4399999999999</c:v>
                </c:pt>
                <c:pt idx="144">
                  <c:v>11.5199999999999</c:v>
                </c:pt>
                <c:pt idx="145">
                  <c:v>11.5999999999999</c:v>
                </c:pt>
                <c:pt idx="146">
                  <c:v>11.6799999999999</c:v>
                </c:pt>
                <c:pt idx="147">
                  <c:v>11.7599999999999</c:v>
                </c:pt>
                <c:pt idx="148">
                  <c:v>11.8399999999999</c:v>
                </c:pt>
                <c:pt idx="149">
                  <c:v>11.9199999999999</c:v>
                </c:pt>
                <c:pt idx="150">
                  <c:v>11.999999999999901</c:v>
                </c:pt>
                <c:pt idx="151">
                  <c:v>12.079999999999901</c:v>
                </c:pt>
                <c:pt idx="152">
                  <c:v>12.159999999999901</c:v>
                </c:pt>
                <c:pt idx="153">
                  <c:v>12.239999999999901</c:v>
                </c:pt>
                <c:pt idx="154">
                  <c:v>12.319999999999901</c:v>
                </c:pt>
                <c:pt idx="155">
                  <c:v>12.399999999999901</c:v>
                </c:pt>
                <c:pt idx="156">
                  <c:v>12.479999999999899</c:v>
                </c:pt>
                <c:pt idx="157">
                  <c:v>12.559999999999899</c:v>
                </c:pt>
                <c:pt idx="158">
                  <c:v>12.639999999999899</c:v>
                </c:pt>
                <c:pt idx="159">
                  <c:v>12.719999999999899</c:v>
                </c:pt>
                <c:pt idx="160">
                  <c:v>12.799999999999899</c:v>
                </c:pt>
                <c:pt idx="161">
                  <c:v>12.8799999999999</c:v>
                </c:pt>
                <c:pt idx="162">
                  <c:v>12.9599999999999</c:v>
                </c:pt>
                <c:pt idx="163">
                  <c:v>13.0399999999999</c:v>
                </c:pt>
                <c:pt idx="164">
                  <c:v>13.1199999999999</c:v>
                </c:pt>
                <c:pt idx="165">
                  <c:v>13.1999999999999</c:v>
                </c:pt>
                <c:pt idx="166">
                  <c:v>13.2799999999999</c:v>
                </c:pt>
                <c:pt idx="167">
                  <c:v>13.3599999999999</c:v>
                </c:pt>
                <c:pt idx="168">
                  <c:v>13.4399999999999</c:v>
                </c:pt>
                <c:pt idx="169">
                  <c:v>13.5199999999999</c:v>
                </c:pt>
                <c:pt idx="170">
                  <c:v>13.5999999999999</c:v>
                </c:pt>
                <c:pt idx="171">
                  <c:v>13.6799999999999</c:v>
                </c:pt>
                <c:pt idx="172">
                  <c:v>13.7599999999999</c:v>
                </c:pt>
                <c:pt idx="173">
                  <c:v>13.8399999999999</c:v>
                </c:pt>
                <c:pt idx="174">
                  <c:v>13.9199999999999</c:v>
                </c:pt>
                <c:pt idx="175">
                  <c:v>13.999999999999901</c:v>
                </c:pt>
                <c:pt idx="176">
                  <c:v>14.079999999999901</c:v>
                </c:pt>
                <c:pt idx="177">
                  <c:v>14.159999999999901</c:v>
                </c:pt>
                <c:pt idx="178">
                  <c:v>14.239999999999901</c:v>
                </c:pt>
                <c:pt idx="179">
                  <c:v>14.319999999999901</c:v>
                </c:pt>
                <c:pt idx="180">
                  <c:v>14.399999999999901</c:v>
                </c:pt>
                <c:pt idx="181">
                  <c:v>14.479999999999899</c:v>
                </c:pt>
                <c:pt idx="182">
                  <c:v>14.559999999999899</c:v>
                </c:pt>
                <c:pt idx="183">
                  <c:v>14.639999999999899</c:v>
                </c:pt>
                <c:pt idx="184">
                  <c:v>14.719999999999899</c:v>
                </c:pt>
                <c:pt idx="185">
                  <c:v>14.799999999999899</c:v>
                </c:pt>
                <c:pt idx="186">
                  <c:v>14.8799999999999</c:v>
                </c:pt>
                <c:pt idx="187">
                  <c:v>14.9599999999999</c:v>
                </c:pt>
                <c:pt idx="188">
                  <c:v>15.0399999999999</c:v>
                </c:pt>
                <c:pt idx="189">
                  <c:v>15.1199999999999</c:v>
                </c:pt>
                <c:pt idx="190">
                  <c:v>15.1999999999999</c:v>
                </c:pt>
                <c:pt idx="191">
                  <c:v>15.2799999999999</c:v>
                </c:pt>
                <c:pt idx="192">
                  <c:v>15.3599999999999</c:v>
                </c:pt>
                <c:pt idx="193">
                  <c:v>15.4399999999999</c:v>
                </c:pt>
                <c:pt idx="194">
                  <c:v>15.5199999999999</c:v>
                </c:pt>
                <c:pt idx="195">
                  <c:v>15.5999999999999</c:v>
                </c:pt>
                <c:pt idx="196">
                  <c:v>15.6799999999999</c:v>
                </c:pt>
                <c:pt idx="197">
                  <c:v>15.7599999999999</c:v>
                </c:pt>
                <c:pt idx="198">
                  <c:v>15.8399999999999</c:v>
                </c:pt>
                <c:pt idx="199">
                  <c:v>15.9199999999999</c:v>
                </c:pt>
                <c:pt idx="200">
                  <c:v>15.999999999999901</c:v>
                </c:pt>
                <c:pt idx="201">
                  <c:v>16.079999999999899</c:v>
                </c:pt>
                <c:pt idx="202">
                  <c:v>16.159999999999901</c:v>
                </c:pt>
                <c:pt idx="203">
                  <c:v>16.239999999999899</c:v>
                </c:pt>
                <c:pt idx="204">
                  <c:v>16.319999999999901</c:v>
                </c:pt>
                <c:pt idx="205">
                  <c:v>16.399999999999899</c:v>
                </c:pt>
                <c:pt idx="206">
                  <c:v>16.479999999999901</c:v>
                </c:pt>
                <c:pt idx="207">
                  <c:v>16.559999999999899</c:v>
                </c:pt>
                <c:pt idx="208">
                  <c:v>16.639999999999901</c:v>
                </c:pt>
                <c:pt idx="209">
                  <c:v>16.719999999999899</c:v>
                </c:pt>
                <c:pt idx="210">
                  <c:v>16.799999999999901</c:v>
                </c:pt>
                <c:pt idx="211">
                  <c:v>16.8799999999999</c:v>
                </c:pt>
                <c:pt idx="212">
                  <c:v>16.959999999999901</c:v>
                </c:pt>
                <c:pt idx="213">
                  <c:v>17.0399999999999</c:v>
                </c:pt>
                <c:pt idx="214">
                  <c:v>17.119999999999902</c:v>
                </c:pt>
                <c:pt idx="215">
                  <c:v>17.1999999999999</c:v>
                </c:pt>
                <c:pt idx="216">
                  <c:v>17.279999999999902</c:v>
                </c:pt>
                <c:pt idx="217">
                  <c:v>17.3599999999999</c:v>
                </c:pt>
                <c:pt idx="218">
                  <c:v>17.439999999999898</c:v>
                </c:pt>
                <c:pt idx="219">
                  <c:v>17.5199999999999</c:v>
                </c:pt>
                <c:pt idx="220">
                  <c:v>17.599999999999898</c:v>
                </c:pt>
                <c:pt idx="221">
                  <c:v>17.6799999999999</c:v>
                </c:pt>
                <c:pt idx="222">
                  <c:v>17.759999999999899</c:v>
                </c:pt>
                <c:pt idx="223">
                  <c:v>17.8399999999999</c:v>
                </c:pt>
                <c:pt idx="224">
                  <c:v>17.919999999999899</c:v>
                </c:pt>
                <c:pt idx="225">
                  <c:v>17.999999999999901</c:v>
                </c:pt>
                <c:pt idx="226">
                  <c:v>18.079999999999899</c:v>
                </c:pt>
                <c:pt idx="227">
                  <c:v>18.159999999999901</c:v>
                </c:pt>
                <c:pt idx="228">
                  <c:v>18.239999999999899</c:v>
                </c:pt>
                <c:pt idx="229">
                  <c:v>18.319999999999901</c:v>
                </c:pt>
                <c:pt idx="230">
                  <c:v>18.399999999999899</c:v>
                </c:pt>
                <c:pt idx="231">
                  <c:v>18.479999999999901</c:v>
                </c:pt>
                <c:pt idx="232">
                  <c:v>18.559999999999899</c:v>
                </c:pt>
                <c:pt idx="233">
                  <c:v>18.639999999999901</c:v>
                </c:pt>
                <c:pt idx="234">
                  <c:v>18.719999999999899</c:v>
                </c:pt>
                <c:pt idx="235">
                  <c:v>18.799999999999901</c:v>
                </c:pt>
                <c:pt idx="236">
                  <c:v>18.8799999999999</c:v>
                </c:pt>
                <c:pt idx="237">
                  <c:v>18.959999999999901</c:v>
                </c:pt>
                <c:pt idx="238">
                  <c:v>19.0399999999999</c:v>
                </c:pt>
                <c:pt idx="239">
                  <c:v>19.119999999999902</c:v>
                </c:pt>
                <c:pt idx="240">
                  <c:v>19.1999999999999</c:v>
                </c:pt>
                <c:pt idx="241">
                  <c:v>19.279999999999902</c:v>
                </c:pt>
                <c:pt idx="242">
                  <c:v>19.3599999999999</c:v>
                </c:pt>
                <c:pt idx="243">
                  <c:v>19.439999999999898</c:v>
                </c:pt>
                <c:pt idx="244">
                  <c:v>19.5199999999999</c:v>
                </c:pt>
                <c:pt idx="245">
                  <c:v>19.599999999999898</c:v>
                </c:pt>
                <c:pt idx="246">
                  <c:v>19.6799999999999</c:v>
                </c:pt>
                <c:pt idx="247">
                  <c:v>19.759999999999899</c:v>
                </c:pt>
                <c:pt idx="248">
                  <c:v>19.8399999999999</c:v>
                </c:pt>
                <c:pt idx="249">
                  <c:v>19.919999999999899</c:v>
                </c:pt>
                <c:pt idx="250">
                  <c:v>19.999999999999901</c:v>
                </c:pt>
                <c:pt idx="251">
                  <c:v>20.079999999999899</c:v>
                </c:pt>
                <c:pt idx="252">
                  <c:v>20.159999999999901</c:v>
                </c:pt>
                <c:pt idx="253">
                  <c:v>20.239999999999899</c:v>
                </c:pt>
                <c:pt idx="254">
                  <c:v>20.319999999999901</c:v>
                </c:pt>
                <c:pt idx="255">
                  <c:v>20.399999999999899</c:v>
                </c:pt>
                <c:pt idx="256">
                  <c:v>20.479999999999901</c:v>
                </c:pt>
                <c:pt idx="257">
                  <c:v>20.559999999999899</c:v>
                </c:pt>
                <c:pt idx="258">
                  <c:v>20.639999999999901</c:v>
                </c:pt>
                <c:pt idx="259">
                  <c:v>20.719999999999899</c:v>
                </c:pt>
                <c:pt idx="260">
                  <c:v>20.799999999999901</c:v>
                </c:pt>
                <c:pt idx="261">
                  <c:v>20.8799999999999</c:v>
                </c:pt>
                <c:pt idx="262">
                  <c:v>20.959999999999901</c:v>
                </c:pt>
                <c:pt idx="263">
                  <c:v>21.0399999999999</c:v>
                </c:pt>
                <c:pt idx="264">
                  <c:v>21.119999999999902</c:v>
                </c:pt>
                <c:pt idx="265">
                  <c:v>21.1999999999999</c:v>
                </c:pt>
                <c:pt idx="266">
                  <c:v>21.279999999999902</c:v>
                </c:pt>
                <c:pt idx="267">
                  <c:v>21.3599999999999</c:v>
                </c:pt>
                <c:pt idx="268">
                  <c:v>21.439999999999898</c:v>
                </c:pt>
                <c:pt idx="269">
                  <c:v>21.5199999999999</c:v>
                </c:pt>
                <c:pt idx="270">
                  <c:v>21.599999999999898</c:v>
                </c:pt>
                <c:pt idx="271">
                  <c:v>21.6799999999999</c:v>
                </c:pt>
                <c:pt idx="272">
                  <c:v>21.759999999999899</c:v>
                </c:pt>
                <c:pt idx="273">
                  <c:v>21.8399999999999</c:v>
                </c:pt>
                <c:pt idx="274">
                  <c:v>21.919999999999899</c:v>
                </c:pt>
                <c:pt idx="275">
                  <c:v>21.999999999999901</c:v>
                </c:pt>
                <c:pt idx="276">
                  <c:v>22.079999999999899</c:v>
                </c:pt>
                <c:pt idx="277">
                  <c:v>22.159999999999901</c:v>
                </c:pt>
                <c:pt idx="278">
                  <c:v>22.239999999999899</c:v>
                </c:pt>
                <c:pt idx="279">
                  <c:v>22.319999999999901</c:v>
                </c:pt>
                <c:pt idx="280">
                  <c:v>22.399999999999899</c:v>
                </c:pt>
                <c:pt idx="281">
                  <c:v>22.479999999999901</c:v>
                </c:pt>
                <c:pt idx="282">
                  <c:v>22.559999999999899</c:v>
                </c:pt>
                <c:pt idx="283">
                  <c:v>22.639999999999901</c:v>
                </c:pt>
                <c:pt idx="284">
                  <c:v>22.719999999999899</c:v>
                </c:pt>
                <c:pt idx="285">
                  <c:v>22.799999999999901</c:v>
                </c:pt>
                <c:pt idx="286">
                  <c:v>22.8799999999999</c:v>
                </c:pt>
                <c:pt idx="287">
                  <c:v>22.959999999999901</c:v>
                </c:pt>
                <c:pt idx="288">
                  <c:v>23.0399999999999</c:v>
                </c:pt>
                <c:pt idx="289">
                  <c:v>23.119999999999902</c:v>
                </c:pt>
                <c:pt idx="290">
                  <c:v>23.1999999999999</c:v>
                </c:pt>
                <c:pt idx="291">
                  <c:v>23.279999999999902</c:v>
                </c:pt>
                <c:pt idx="292">
                  <c:v>23.3599999999999</c:v>
                </c:pt>
                <c:pt idx="293">
                  <c:v>23.439999999999898</c:v>
                </c:pt>
                <c:pt idx="294">
                  <c:v>23.5199999999999</c:v>
                </c:pt>
                <c:pt idx="295">
                  <c:v>23.599999999999898</c:v>
                </c:pt>
                <c:pt idx="296">
                  <c:v>23.6799999999999</c:v>
                </c:pt>
                <c:pt idx="297">
                  <c:v>23.759999999999899</c:v>
                </c:pt>
                <c:pt idx="298">
                  <c:v>23.8399999999999</c:v>
                </c:pt>
                <c:pt idx="299">
                  <c:v>23.919999999999899</c:v>
                </c:pt>
                <c:pt idx="300">
                  <c:v>23.999999999999901</c:v>
                </c:pt>
                <c:pt idx="301">
                  <c:v>24.079999999999899</c:v>
                </c:pt>
                <c:pt idx="302">
                  <c:v>24.159999999999901</c:v>
                </c:pt>
                <c:pt idx="303">
                  <c:v>24.239999999999899</c:v>
                </c:pt>
                <c:pt idx="304">
                  <c:v>24.319999999999901</c:v>
                </c:pt>
                <c:pt idx="305">
                  <c:v>24.399999999999899</c:v>
                </c:pt>
                <c:pt idx="306">
                  <c:v>24.479999999999901</c:v>
                </c:pt>
                <c:pt idx="307">
                  <c:v>24.559999999999899</c:v>
                </c:pt>
                <c:pt idx="308">
                  <c:v>24.639999999999901</c:v>
                </c:pt>
                <c:pt idx="309">
                  <c:v>24.719999999999899</c:v>
                </c:pt>
                <c:pt idx="310">
                  <c:v>24.799999999999901</c:v>
                </c:pt>
                <c:pt idx="311">
                  <c:v>24.8799999999999</c:v>
                </c:pt>
                <c:pt idx="312">
                  <c:v>24.959999999999901</c:v>
                </c:pt>
                <c:pt idx="313">
                  <c:v>25.0399999999999</c:v>
                </c:pt>
                <c:pt idx="314">
                  <c:v>25.119999999999902</c:v>
                </c:pt>
                <c:pt idx="315">
                  <c:v>25.1999999999999</c:v>
                </c:pt>
                <c:pt idx="316">
                  <c:v>25.279999999999902</c:v>
                </c:pt>
                <c:pt idx="317">
                  <c:v>25.3599999999999</c:v>
                </c:pt>
                <c:pt idx="318">
                  <c:v>25.439999999999898</c:v>
                </c:pt>
                <c:pt idx="319">
                  <c:v>25.5199999999999</c:v>
                </c:pt>
                <c:pt idx="320">
                  <c:v>25.599999999999898</c:v>
                </c:pt>
                <c:pt idx="321">
                  <c:v>25.6799999999999</c:v>
                </c:pt>
                <c:pt idx="322">
                  <c:v>25.759999999999899</c:v>
                </c:pt>
                <c:pt idx="323">
                  <c:v>25.8399999999999</c:v>
                </c:pt>
                <c:pt idx="324">
                  <c:v>25.919999999999899</c:v>
                </c:pt>
                <c:pt idx="325">
                  <c:v>25.999999999999901</c:v>
                </c:pt>
                <c:pt idx="326">
                  <c:v>26.079999999999899</c:v>
                </c:pt>
                <c:pt idx="327">
                  <c:v>26.159999999999901</c:v>
                </c:pt>
                <c:pt idx="328">
                  <c:v>26.239999999999899</c:v>
                </c:pt>
                <c:pt idx="329">
                  <c:v>26.319999999999901</c:v>
                </c:pt>
                <c:pt idx="330">
                  <c:v>26.399999999999899</c:v>
                </c:pt>
                <c:pt idx="331">
                  <c:v>26.479999999999901</c:v>
                </c:pt>
                <c:pt idx="332">
                  <c:v>26.559999999999899</c:v>
                </c:pt>
                <c:pt idx="333">
                  <c:v>26.639999999999901</c:v>
                </c:pt>
                <c:pt idx="334">
                  <c:v>26.719999999999899</c:v>
                </c:pt>
                <c:pt idx="335">
                  <c:v>26.799999999999901</c:v>
                </c:pt>
                <c:pt idx="336">
                  <c:v>26.8799999999999</c:v>
                </c:pt>
                <c:pt idx="337">
                  <c:v>26.959999999999901</c:v>
                </c:pt>
                <c:pt idx="338">
                  <c:v>27.0399999999999</c:v>
                </c:pt>
                <c:pt idx="339">
                  <c:v>27.119999999999902</c:v>
                </c:pt>
                <c:pt idx="340">
                  <c:v>27.1999999999999</c:v>
                </c:pt>
                <c:pt idx="341">
                  <c:v>27.279999999999902</c:v>
                </c:pt>
                <c:pt idx="342">
                  <c:v>27.3599999999999</c:v>
                </c:pt>
                <c:pt idx="343">
                  <c:v>27.439999999999898</c:v>
                </c:pt>
                <c:pt idx="344">
                  <c:v>27.5199999999999</c:v>
                </c:pt>
                <c:pt idx="345">
                  <c:v>27.599999999999898</c:v>
                </c:pt>
                <c:pt idx="346">
                  <c:v>27.6799999999999</c:v>
                </c:pt>
                <c:pt idx="347">
                  <c:v>27.759999999999899</c:v>
                </c:pt>
                <c:pt idx="348">
                  <c:v>27.8399999999999</c:v>
                </c:pt>
                <c:pt idx="349">
                  <c:v>27.919999999999899</c:v>
                </c:pt>
                <c:pt idx="350">
                  <c:v>27.999999999999901</c:v>
                </c:pt>
                <c:pt idx="351">
                  <c:v>28.079999999999899</c:v>
                </c:pt>
                <c:pt idx="352">
                  <c:v>28.159999999999901</c:v>
                </c:pt>
                <c:pt idx="353">
                  <c:v>28.239999999999899</c:v>
                </c:pt>
                <c:pt idx="354">
                  <c:v>28.319999999999901</c:v>
                </c:pt>
                <c:pt idx="355">
                  <c:v>28.399999999999899</c:v>
                </c:pt>
                <c:pt idx="356">
                  <c:v>28.479999999999901</c:v>
                </c:pt>
                <c:pt idx="357">
                  <c:v>28.559999999999899</c:v>
                </c:pt>
                <c:pt idx="358">
                  <c:v>28.639999999999901</c:v>
                </c:pt>
                <c:pt idx="359">
                  <c:v>28.719999999999899</c:v>
                </c:pt>
                <c:pt idx="360">
                  <c:v>28.799999999999901</c:v>
                </c:pt>
                <c:pt idx="361">
                  <c:v>28.8799999999999</c:v>
                </c:pt>
                <c:pt idx="362">
                  <c:v>28.959999999999901</c:v>
                </c:pt>
                <c:pt idx="363">
                  <c:v>29.0399999999999</c:v>
                </c:pt>
                <c:pt idx="364">
                  <c:v>29.119999999999902</c:v>
                </c:pt>
                <c:pt idx="365">
                  <c:v>29.1999999999999</c:v>
                </c:pt>
                <c:pt idx="366">
                  <c:v>29.279999999999902</c:v>
                </c:pt>
                <c:pt idx="367">
                  <c:v>29.3599999999999</c:v>
                </c:pt>
                <c:pt idx="368">
                  <c:v>29.439999999999898</c:v>
                </c:pt>
                <c:pt idx="369">
                  <c:v>29.5199999999999</c:v>
                </c:pt>
                <c:pt idx="370">
                  <c:v>29.599999999999898</c:v>
                </c:pt>
                <c:pt idx="371">
                  <c:v>29.6799999999999</c:v>
                </c:pt>
                <c:pt idx="372">
                  <c:v>29.759999999999899</c:v>
                </c:pt>
                <c:pt idx="373">
                  <c:v>29.8399999999999</c:v>
                </c:pt>
                <c:pt idx="374">
                  <c:v>29.919999999999899</c:v>
                </c:pt>
                <c:pt idx="375">
                  <c:v>29.999999999999901</c:v>
                </c:pt>
                <c:pt idx="376">
                  <c:v>30.079999999999899</c:v>
                </c:pt>
                <c:pt idx="377">
                  <c:v>30.159999999999901</c:v>
                </c:pt>
                <c:pt idx="378">
                  <c:v>30.239999999999899</c:v>
                </c:pt>
                <c:pt idx="379">
                  <c:v>30.319999999999901</c:v>
                </c:pt>
                <c:pt idx="380">
                  <c:v>30.399999999999899</c:v>
                </c:pt>
                <c:pt idx="381">
                  <c:v>30.479999999999901</c:v>
                </c:pt>
                <c:pt idx="382">
                  <c:v>30.559999999999899</c:v>
                </c:pt>
                <c:pt idx="383">
                  <c:v>30.639999999999901</c:v>
                </c:pt>
                <c:pt idx="384">
                  <c:v>30.719999999999899</c:v>
                </c:pt>
                <c:pt idx="385">
                  <c:v>30.799999999999901</c:v>
                </c:pt>
                <c:pt idx="386">
                  <c:v>30.8799999999999</c:v>
                </c:pt>
                <c:pt idx="387">
                  <c:v>30.959999999999901</c:v>
                </c:pt>
                <c:pt idx="388">
                  <c:v>31.0399999999999</c:v>
                </c:pt>
                <c:pt idx="389">
                  <c:v>31.119999999999902</c:v>
                </c:pt>
                <c:pt idx="390">
                  <c:v>31.1999999999999</c:v>
                </c:pt>
                <c:pt idx="391">
                  <c:v>31.279999999999902</c:v>
                </c:pt>
                <c:pt idx="392">
                  <c:v>31.3599999999999</c:v>
                </c:pt>
                <c:pt idx="393">
                  <c:v>31.439999999999898</c:v>
                </c:pt>
                <c:pt idx="394">
                  <c:v>31.5199999999999</c:v>
                </c:pt>
                <c:pt idx="395">
                  <c:v>31.599999999999898</c:v>
                </c:pt>
                <c:pt idx="396">
                  <c:v>31.6799999999999</c:v>
                </c:pt>
                <c:pt idx="397">
                  <c:v>31.759999999999899</c:v>
                </c:pt>
                <c:pt idx="398">
                  <c:v>31.8399999999999</c:v>
                </c:pt>
                <c:pt idx="399">
                  <c:v>31.919999999999899</c:v>
                </c:pt>
                <c:pt idx="400">
                  <c:v>31.999999999999901</c:v>
                </c:pt>
                <c:pt idx="401">
                  <c:v>32.079999999999899</c:v>
                </c:pt>
                <c:pt idx="402">
                  <c:v>32.159999999999897</c:v>
                </c:pt>
                <c:pt idx="403">
                  <c:v>32.239999999999903</c:v>
                </c:pt>
                <c:pt idx="404">
                  <c:v>32.319999999999901</c:v>
                </c:pt>
                <c:pt idx="405">
                  <c:v>32.399999999999899</c:v>
                </c:pt>
                <c:pt idx="406">
                  <c:v>32.479999999999897</c:v>
                </c:pt>
                <c:pt idx="407">
                  <c:v>32.559999999999903</c:v>
                </c:pt>
                <c:pt idx="408">
                  <c:v>32.639999999999901</c:v>
                </c:pt>
                <c:pt idx="409">
                  <c:v>32.719999999999899</c:v>
                </c:pt>
                <c:pt idx="410">
                  <c:v>32.799999999999898</c:v>
                </c:pt>
                <c:pt idx="411">
                  <c:v>32.879999999999903</c:v>
                </c:pt>
                <c:pt idx="412">
                  <c:v>32.959999999999901</c:v>
                </c:pt>
                <c:pt idx="413">
                  <c:v>33.0399999999999</c:v>
                </c:pt>
                <c:pt idx="414">
                  <c:v>33.119999999999898</c:v>
                </c:pt>
                <c:pt idx="415">
                  <c:v>33.199999999999903</c:v>
                </c:pt>
                <c:pt idx="416">
                  <c:v>33.28</c:v>
                </c:pt>
                <c:pt idx="417">
                  <c:v>33.36</c:v>
                </c:pt>
                <c:pt idx="418">
                  <c:v>33.44</c:v>
                </c:pt>
                <c:pt idx="419">
                  <c:v>33.519999999999897</c:v>
                </c:pt>
                <c:pt idx="420">
                  <c:v>33.599999999999902</c:v>
                </c:pt>
                <c:pt idx="421">
                  <c:v>33.6799999999999</c:v>
                </c:pt>
                <c:pt idx="422">
                  <c:v>33.759999999999899</c:v>
                </c:pt>
                <c:pt idx="423">
                  <c:v>33.839999999999897</c:v>
                </c:pt>
                <c:pt idx="424">
                  <c:v>33.919999999999902</c:v>
                </c:pt>
                <c:pt idx="425">
                  <c:v>33.999999999999901</c:v>
                </c:pt>
                <c:pt idx="426">
                  <c:v>34.079999999999899</c:v>
                </c:pt>
                <c:pt idx="427">
                  <c:v>34.159999999999897</c:v>
                </c:pt>
                <c:pt idx="428">
                  <c:v>34.239999999999903</c:v>
                </c:pt>
                <c:pt idx="429">
                  <c:v>34.319999999999901</c:v>
                </c:pt>
                <c:pt idx="430">
                  <c:v>34.399999999999899</c:v>
                </c:pt>
                <c:pt idx="431">
                  <c:v>34.479999999999897</c:v>
                </c:pt>
                <c:pt idx="432">
                  <c:v>34.559999999999903</c:v>
                </c:pt>
                <c:pt idx="433">
                  <c:v>34.639999999999901</c:v>
                </c:pt>
                <c:pt idx="434">
                  <c:v>34.719999999999899</c:v>
                </c:pt>
                <c:pt idx="435">
                  <c:v>34.799999999999898</c:v>
                </c:pt>
                <c:pt idx="436">
                  <c:v>34.879999999999903</c:v>
                </c:pt>
                <c:pt idx="437">
                  <c:v>34.959999999999901</c:v>
                </c:pt>
                <c:pt idx="438">
                  <c:v>35.0399999999999</c:v>
                </c:pt>
                <c:pt idx="439">
                  <c:v>35.119999999999898</c:v>
                </c:pt>
                <c:pt idx="440">
                  <c:v>35.199999999999903</c:v>
                </c:pt>
                <c:pt idx="441">
                  <c:v>35.279999999999902</c:v>
                </c:pt>
                <c:pt idx="442">
                  <c:v>35.3599999999999</c:v>
                </c:pt>
                <c:pt idx="443">
                  <c:v>35.439999999999898</c:v>
                </c:pt>
                <c:pt idx="444">
                  <c:v>35.519999999999897</c:v>
                </c:pt>
                <c:pt idx="445">
                  <c:v>35.599999999999902</c:v>
                </c:pt>
                <c:pt idx="446">
                  <c:v>35.6799999999999</c:v>
                </c:pt>
                <c:pt idx="447">
                  <c:v>35.759999999999899</c:v>
                </c:pt>
                <c:pt idx="448">
                  <c:v>35.839999999999897</c:v>
                </c:pt>
                <c:pt idx="449">
                  <c:v>35.919999999999902</c:v>
                </c:pt>
                <c:pt idx="450">
                  <c:v>35.999999999999901</c:v>
                </c:pt>
                <c:pt idx="451">
                  <c:v>36.079999999999899</c:v>
                </c:pt>
                <c:pt idx="452">
                  <c:v>36.159999999999897</c:v>
                </c:pt>
                <c:pt idx="453">
                  <c:v>36.239999999999903</c:v>
                </c:pt>
                <c:pt idx="454">
                  <c:v>36.319999999999901</c:v>
                </c:pt>
                <c:pt idx="455">
                  <c:v>36.399999999999899</c:v>
                </c:pt>
                <c:pt idx="456">
                  <c:v>36.479999999999997</c:v>
                </c:pt>
                <c:pt idx="457">
                  <c:v>36.559999999999903</c:v>
                </c:pt>
                <c:pt idx="458">
                  <c:v>36.639999999999901</c:v>
                </c:pt>
                <c:pt idx="459">
                  <c:v>36.719999999999899</c:v>
                </c:pt>
                <c:pt idx="460">
                  <c:v>36.799999999999898</c:v>
                </c:pt>
                <c:pt idx="461">
                  <c:v>36.879999999999903</c:v>
                </c:pt>
                <c:pt idx="462">
                  <c:v>36.959999999999901</c:v>
                </c:pt>
                <c:pt idx="463">
                  <c:v>37.0399999999999</c:v>
                </c:pt>
                <c:pt idx="464">
                  <c:v>37.119999999999898</c:v>
                </c:pt>
                <c:pt idx="465">
                  <c:v>37.199999999999903</c:v>
                </c:pt>
                <c:pt idx="466">
                  <c:v>37.279999999999902</c:v>
                </c:pt>
                <c:pt idx="467">
                  <c:v>37.3599999999999</c:v>
                </c:pt>
                <c:pt idx="468">
                  <c:v>37.439999999999898</c:v>
                </c:pt>
                <c:pt idx="469">
                  <c:v>37.519999999999897</c:v>
                </c:pt>
                <c:pt idx="470">
                  <c:v>37.599999999999902</c:v>
                </c:pt>
                <c:pt idx="471">
                  <c:v>37.6799999999999</c:v>
                </c:pt>
                <c:pt idx="472">
                  <c:v>37.759999999999899</c:v>
                </c:pt>
                <c:pt idx="473">
                  <c:v>37.839999999999897</c:v>
                </c:pt>
                <c:pt idx="474">
                  <c:v>37.919999999999902</c:v>
                </c:pt>
                <c:pt idx="475">
                  <c:v>37.999999999999901</c:v>
                </c:pt>
                <c:pt idx="476">
                  <c:v>38.079999999999899</c:v>
                </c:pt>
                <c:pt idx="477">
                  <c:v>38.159999999999897</c:v>
                </c:pt>
                <c:pt idx="478">
                  <c:v>38.239999999999903</c:v>
                </c:pt>
                <c:pt idx="479">
                  <c:v>38.319999999999901</c:v>
                </c:pt>
                <c:pt idx="480">
                  <c:v>38.399999999999899</c:v>
                </c:pt>
                <c:pt idx="481">
                  <c:v>38.479999999999897</c:v>
                </c:pt>
                <c:pt idx="482">
                  <c:v>38.559999999999903</c:v>
                </c:pt>
                <c:pt idx="483">
                  <c:v>38.639999999999901</c:v>
                </c:pt>
                <c:pt idx="484">
                  <c:v>38.719999999999899</c:v>
                </c:pt>
                <c:pt idx="485">
                  <c:v>38.799999999999898</c:v>
                </c:pt>
                <c:pt idx="486">
                  <c:v>38.879999999999903</c:v>
                </c:pt>
                <c:pt idx="487">
                  <c:v>38.959999999999901</c:v>
                </c:pt>
                <c:pt idx="488">
                  <c:v>39.0399999999999</c:v>
                </c:pt>
                <c:pt idx="489">
                  <c:v>39.119999999999898</c:v>
                </c:pt>
                <c:pt idx="490">
                  <c:v>39.199999999999903</c:v>
                </c:pt>
                <c:pt idx="491">
                  <c:v>39.279999999999902</c:v>
                </c:pt>
                <c:pt idx="492">
                  <c:v>39.3599999999999</c:v>
                </c:pt>
                <c:pt idx="493">
                  <c:v>39.439999999999898</c:v>
                </c:pt>
                <c:pt idx="494">
                  <c:v>39.519999999999897</c:v>
                </c:pt>
                <c:pt idx="495">
                  <c:v>39.599999999999902</c:v>
                </c:pt>
                <c:pt idx="496">
                  <c:v>39.6799999999999</c:v>
                </c:pt>
                <c:pt idx="497">
                  <c:v>39.759999999999899</c:v>
                </c:pt>
                <c:pt idx="498">
                  <c:v>39.839999999999897</c:v>
                </c:pt>
                <c:pt idx="499">
                  <c:v>39.919999999999902</c:v>
                </c:pt>
                <c:pt idx="500">
                  <c:v>39.999999999999901</c:v>
                </c:pt>
              </c:numCache>
            </c:numRef>
          </c:xVal>
          <c:yVal>
            <c:numRef>
              <c:f>'2.3.1'!$O$3:$O$503</c:f>
              <c:numCache>
                <c:formatCode>0.00E+00</c:formatCode>
                <c:ptCount val="501"/>
                <c:pt idx="0" formatCode="General">
                  <c:v>0</c:v>
                </c:pt>
                <c:pt idx="1">
                  <c:v>-1.22966647501116E-14</c:v>
                </c:pt>
                <c:pt idx="2">
                  <c:v>-2.4593329500223301E-14</c:v>
                </c:pt>
                <c:pt idx="3">
                  <c:v>-3.6889994250335001E-14</c:v>
                </c:pt>
                <c:pt idx="4">
                  <c:v>-4.9186659000446702E-14</c:v>
                </c:pt>
                <c:pt idx="5">
                  <c:v>-6.1483323750558397E-14</c:v>
                </c:pt>
                <c:pt idx="6">
                  <c:v>-7.3779988500670104E-14</c:v>
                </c:pt>
                <c:pt idx="7">
                  <c:v>-8.6076653250781798E-14</c:v>
                </c:pt>
                <c:pt idx="8">
                  <c:v>-9.8373318000893505E-14</c:v>
                </c:pt>
                <c:pt idx="9">
                  <c:v>-1.10669982751005E-13</c:v>
                </c:pt>
                <c:pt idx="10">
                  <c:v>-1.2296664750111601E-13</c:v>
                </c:pt>
                <c:pt idx="11">
                  <c:v>-1.35263312251228E-13</c:v>
                </c:pt>
                <c:pt idx="12">
                  <c:v>-1.4755997700134001E-13</c:v>
                </c:pt>
                <c:pt idx="13">
                  <c:v>-1.5985664175145101E-13</c:v>
                </c:pt>
                <c:pt idx="14">
                  <c:v>-1.7215330650156299E-13</c:v>
                </c:pt>
                <c:pt idx="15">
                  <c:v>-1.84449971251675E-13</c:v>
                </c:pt>
                <c:pt idx="16">
                  <c:v>-1.9674663600178701E-13</c:v>
                </c:pt>
                <c:pt idx="17">
                  <c:v>-2.0904330075189801E-13</c:v>
                </c:pt>
                <c:pt idx="18">
                  <c:v>-2.2133996550201E-13</c:v>
                </c:pt>
                <c:pt idx="19">
                  <c:v>-2.3363663025212198E-13</c:v>
                </c:pt>
                <c:pt idx="20">
                  <c:v>-2.4593329500223298E-13</c:v>
                </c:pt>
                <c:pt idx="21">
                  <c:v>-2.5822995975234499E-13</c:v>
                </c:pt>
                <c:pt idx="22">
                  <c:v>-2.7052662450245599E-13</c:v>
                </c:pt>
                <c:pt idx="23">
                  <c:v>-2.82823289252568E-13</c:v>
                </c:pt>
                <c:pt idx="24">
                  <c:v>-2.9511995400268001E-13</c:v>
                </c:pt>
                <c:pt idx="25">
                  <c:v>-3.0741661875279101E-13</c:v>
                </c:pt>
                <c:pt idx="26">
                  <c:v>-3.1971328350290302E-13</c:v>
                </c:pt>
                <c:pt idx="27">
                  <c:v>-3.3200994825301498E-13</c:v>
                </c:pt>
                <c:pt idx="28">
                  <c:v>-3.4430661300312598E-13</c:v>
                </c:pt>
                <c:pt idx="29">
                  <c:v>-3.5660327775323799E-13</c:v>
                </c:pt>
                <c:pt idx="30">
                  <c:v>-3.6889994250334899E-13</c:v>
                </c:pt>
                <c:pt idx="31">
                  <c:v>-3.81196607253461E-13</c:v>
                </c:pt>
                <c:pt idx="32">
                  <c:v>-3.9349327200357301E-13</c:v>
                </c:pt>
                <c:pt idx="33">
                  <c:v>-4.0578993675368401E-13</c:v>
                </c:pt>
                <c:pt idx="34">
                  <c:v>-4.1808660150379602E-13</c:v>
                </c:pt>
                <c:pt idx="35">
                  <c:v>-4.3038326625390798E-13</c:v>
                </c:pt>
                <c:pt idx="36">
                  <c:v>-4.4267993100401999E-13</c:v>
                </c:pt>
                <c:pt idx="37">
                  <c:v>-4.5497659575413099E-13</c:v>
                </c:pt>
                <c:pt idx="38">
                  <c:v>-4.6727326050424295E-13</c:v>
                </c:pt>
                <c:pt idx="39">
                  <c:v>-4.7956992525435501E-13</c:v>
                </c:pt>
                <c:pt idx="40">
                  <c:v>-4.9186659000446697E-13</c:v>
                </c:pt>
                <c:pt idx="41">
                  <c:v>-5.0416325475457903E-13</c:v>
                </c:pt>
                <c:pt idx="42">
                  <c:v>-5.1645991950469099E-13</c:v>
                </c:pt>
                <c:pt idx="43">
                  <c:v>-5.2875658425480204E-13</c:v>
                </c:pt>
                <c:pt idx="44">
                  <c:v>-5.41053249004914E-13</c:v>
                </c:pt>
                <c:pt idx="45">
                  <c:v>-5.5334991375502596E-13</c:v>
                </c:pt>
                <c:pt idx="46">
                  <c:v>-5.6564657850513802E-13</c:v>
                </c:pt>
                <c:pt idx="47">
                  <c:v>-5.7794324325524998E-13</c:v>
                </c:pt>
                <c:pt idx="48">
                  <c:v>-5.9023990800536204E-13</c:v>
                </c:pt>
                <c:pt idx="49">
                  <c:v>-6.02536572755474E-13</c:v>
                </c:pt>
                <c:pt idx="50">
                  <c:v>-6.1483323750558495E-13</c:v>
                </c:pt>
                <c:pt idx="51">
                  <c:v>-6.2712990225569701E-13</c:v>
                </c:pt>
                <c:pt idx="52">
                  <c:v>-6.3942656700580897E-13</c:v>
                </c:pt>
                <c:pt idx="53">
                  <c:v>-6.5172323175592002E-13</c:v>
                </c:pt>
                <c:pt idx="54">
                  <c:v>-6.6401989650603198E-13</c:v>
                </c:pt>
                <c:pt idx="55">
                  <c:v>-6.7631656125614404E-13</c:v>
                </c:pt>
                <c:pt idx="56">
                  <c:v>-6.88613226006256E-13</c:v>
                </c:pt>
                <c:pt idx="57">
                  <c:v>-7.0090989075636695E-13</c:v>
                </c:pt>
                <c:pt idx="58">
                  <c:v>-7.1320655550647901E-13</c:v>
                </c:pt>
                <c:pt idx="59">
                  <c:v>-7.2550322025659097E-13</c:v>
                </c:pt>
                <c:pt idx="60">
                  <c:v>-7.3779988500670303E-13</c:v>
                </c:pt>
                <c:pt idx="61">
                  <c:v>-7.5009654975681398E-13</c:v>
                </c:pt>
                <c:pt idx="62">
                  <c:v>-7.6239321450692604E-13</c:v>
                </c:pt>
                <c:pt idx="63">
                  <c:v>-7.7468987925703699E-13</c:v>
                </c:pt>
                <c:pt idx="64">
                  <c:v>-7.8698654400714895E-13</c:v>
                </c:pt>
                <c:pt idx="65">
                  <c:v>-7.9928320875726101E-13</c:v>
                </c:pt>
                <c:pt idx="66">
                  <c:v>-8.1157987350737297E-13</c:v>
                </c:pt>
                <c:pt idx="67">
                  <c:v>-8.2387653825748503E-13</c:v>
                </c:pt>
                <c:pt idx="68">
                  <c:v>-8.3617320300759699E-13</c:v>
                </c:pt>
                <c:pt idx="69">
                  <c:v>-8.4846986775770804E-13</c:v>
                </c:pt>
                <c:pt idx="70">
                  <c:v>-8.6076653250782E-13</c:v>
                </c:pt>
                <c:pt idx="71">
                  <c:v>-8.7306319725793196E-13</c:v>
                </c:pt>
                <c:pt idx="72">
                  <c:v>-8.8535986200804301E-13</c:v>
                </c:pt>
                <c:pt idx="73">
                  <c:v>-8.9765652675815497E-13</c:v>
                </c:pt>
                <c:pt idx="74">
                  <c:v>-9.0995319150826703E-13</c:v>
                </c:pt>
                <c:pt idx="75">
                  <c:v>-9.2224985625837899E-13</c:v>
                </c:pt>
                <c:pt idx="76">
                  <c:v>-9.3454652100849095E-13</c:v>
                </c:pt>
                <c:pt idx="77">
                  <c:v>-9.4684318575860291E-13</c:v>
                </c:pt>
                <c:pt idx="78">
                  <c:v>-9.5913985050871406E-13</c:v>
                </c:pt>
                <c:pt idx="79">
                  <c:v>-9.7143651525882703E-13</c:v>
                </c:pt>
                <c:pt idx="80">
                  <c:v>-9.8373318000893798E-13</c:v>
                </c:pt>
                <c:pt idx="81">
                  <c:v>-9.9602984475904994E-13</c:v>
                </c:pt>
                <c:pt idx="82">
                  <c:v>-1.0083265095091601E-12</c:v>
                </c:pt>
                <c:pt idx="83">
                  <c:v>-1.02062317425927E-12</c:v>
                </c:pt>
                <c:pt idx="84">
                  <c:v>-1.03291983900938E-12</c:v>
                </c:pt>
                <c:pt idx="85">
                  <c:v>-1.0452165037594899E-12</c:v>
                </c:pt>
                <c:pt idx="86">
                  <c:v>-1.0575131685096E-12</c:v>
                </c:pt>
                <c:pt idx="87">
                  <c:v>-1.06980983325971E-12</c:v>
                </c:pt>
                <c:pt idx="88">
                  <c:v>-1.08210649800983E-12</c:v>
                </c:pt>
                <c:pt idx="89">
                  <c:v>-1.09440316275994E-12</c:v>
                </c:pt>
                <c:pt idx="90">
                  <c:v>-1.1066998275100499E-12</c:v>
                </c:pt>
                <c:pt idx="91">
                  <c:v>-1.11899649226016E-12</c:v>
                </c:pt>
                <c:pt idx="92">
                  <c:v>-1.13129315701027E-12</c:v>
                </c:pt>
                <c:pt idx="93">
                  <c:v>-1.14358982176039E-12</c:v>
                </c:pt>
                <c:pt idx="94">
                  <c:v>-1.1558864865105E-12</c:v>
                </c:pt>
                <c:pt idx="95">
                  <c:v>-1.1681831512606099E-12</c:v>
                </c:pt>
                <c:pt idx="96">
                  <c:v>-1.18047981601072E-12</c:v>
                </c:pt>
                <c:pt idx="97">
                  <c:v>-1.19277648076083E-12</c:v>
                </c:pt>
                <c:pt idx="98">
                  <c:v>-1.2050731455109399E-12</c:v>
                </c:pt>
                <c:pt idx="99">
                  <c:v>-1.21736981026106E-12</c:v>
                </c:pt>
                <c:pt idx="100">
                  <c:v>-1.2296664750111699E-12</c:v>
                </c:pt>
                <c:pt idx="101">
                  <c:v>-1.24196313976128E-12</c:v>
                </c:pt>
                <c:pt idx="102">
                  <c:v>-1.25425980451139E-12</c:v>
                </c:pt>
                <c:pt idx="103">
                  <c:v>-1.2665564692614999E-12</c:v>
                </c:pt>
                <c:pt idx="104">
                  <c:v>-1.2788531340116101E-12</c:v>
                </c:pt>
                <c:pt idx="105">
                  <c:v>-1.29114979876172E-12</c:v>
                </c:pt>
                <c:pt idx="106">
                  <c:v>-1.30344646351184E-12</c:v>
                </c:pt>
                <c:pt idx="107">
                  <c:v>-1.31574312826195E-12</c:v>
                </c:pt>
                <c:pt idx="108">
                  <c:v>-1.3280397930120599E-12</c:v>
                </c:pt>
                <c:pt idx="109">
                  <c:v>-1.3403364577621701E-12</c:v>
                </c:pt>
                <c:pt idx="110">
                  <c:v>-1.35263312251228E-12</c:v>
                </c:pt>
                <c:pt idx="111">
                  <c:v>-1.3649297872623899E-12</c:v>
                </c:pt>
                <c:pt idx="112">
                  <c:v>-1.3772264520125001E-12</c:v>
                </c:pt>
                <c:pt idx="113">
                  <c:v>-1.38952311676261E-12</c:v>
                </c:pt>
                <c:pt idx="114">
                  <c:v>-1.4018197815127301E-12</c:v>
                </c:pt>
                <c:pt idx="115">
                  <c:v>-1.41411644626284E-12</c:v>
                </c:pt>
                <c:pt idx="116">
                  <c:v>-1.4264131110129499E-12</c:v>
                </c:pt>
                <c:pt idx="117">
                  <c:v>-1.4387097757630601E-12</c:v>
                </c:pt>
                <c:pt idx="118">
                  <c:v>-1.45100644051317E-12</c:v>
                </c:pt>
                <c:pt idx="119">
                  <c:v>-1.46330310526328E-12</c:v>
                </c:pt>
                <c:pt idx="120">
                  <c:v>-1.4755997700133899E-12</c:v>
                </c:pt>
                <c:pt idx="121">
                  <c:v>-1.4878964347635E-12</c:v>
                </c:pt>
                <c:pt idx="122">
                  <c:v>-1.50019309951361E-12</c:v>
                </c:pt>
                <c:pt idx="123">
                  <c:v>-1.51248976426373E-12</c:v>
                </c:pt>
                <c:pt idx="124">
                  <c:v>-1.52478642901384E-12</c:v>
                </c:pt>
                <c:pt idx="125">
                  <c:v>-1.5370830937639499E-12</c:v>
                </c:pt>
                <c:pt idx="126">
                  <c:v>5.7902277382289002E-5</c:v>
                </c:pt>
                <c:pt idx="127">
                  <c:v>2.3160911416499801E-4</c:v>
                </c:pt>
                <c:pt idx="128">
                  <c:v>5.2112050881104497E-4</c:v>
                </c:pt>
                <c:pt idx="129">
                  <c:v>9.2643646132042901E-4</c:v>
                </c:pt>
                <c:pt idx="130" formatCode="General">
                  <c:v>1.44755697169315E-3</c:v>
                </c:pt>
                <c:pt idx="131" formatCode="General">
                  <c:v>2.0844820399292001E-3</c:v>
                </c:pt>
                <c:pt idx="132" formatCode="General">
                  <c:v>2.83721166602859E-3</c:v>
                </c:pt>
                <c:pt idx="133" formatCode="General">
                  <c:v>3.7057458499913098E-3</c:v>
                </c:pt>
                <c:pt idx="134" formatCode="General">
                  <c:v>4.69008459181737E-3</c:v>
                </c:pt>
                <c:pt idx="135" formatCode="General">
                  <c:v>5.7902278915067697E-3</c:v>
                </c:pt>
                <c:pt idx="136" formatCode="General">
                  <c:v>7.0061757490595096E-3</c:v>
                </c:pt>
                <c:pt idx="137" formatCode="General">
                  <c:v>8.3379281644755908E-3</c:v>
                </c:pt>
                <c:pt idx="138" formatCode="General">
                  <c:v>9.7854851377550001E-3</c:v>
                </c:pt>
                <c:pt idx="139" formatCode="General">
                  <c:v>1.13488466688977E-2</c:v>
                </c:pt>
                <c:pt idx="140" formatCode="General">
                  <c:v>1.3028012757903801E-2</c:v>
                </c:pt>
                <c:pt idx="141" formatCode="General">
                  <c:v>1.4822983404773201E-2</c:v>
                </c:pt>
                <c:pt idx="142" formatCode="General">
                  <c:v>1.6733758609505999E-2</c:v>
                </c:pt>
                <c:pt idx="143" formatCode="General">
                  <c:v>1.8760338372102101E-2</c:v>
                </c:pt>
                <c:pt idx="144" formatCode="General">
                  <c:v>2.09027226925616E-2</c:v>
                </c:pt>
                <c:pt idx="145" formatCode="General">
                  <c:v>2.3160911570884301E-2</c:v>
                </c:pt>
                <c:pt idx="146" formatCode="General">
                  <c:v>2.5534905007070501E-2</c:v>
                </c:pt>
                <c:pt idx="147" formatCode="General">
                  <c:v>2.8024703001119901E-2</c:v>
                </c:pt>
                <c:pt idx="148" formatCode="General">
                  <c:v>3.06303055530327E-2</c:v>
                </c:pt>
                <c:pt idx="149" formatCode="General">
                  <c:v>3.3351712662808897E-2</c:v>
                </c:pt>
                <c:pt idx="150" formatCode="General">
                  <c:v>3.6188924330448298E-2</c:v>
                </c:pt>
                <c:pt idx="151" formatCode="General">
                  <c:v>3.9141940555951098E-2</c:v>
                </c:pt>
                <c:pt idx="152" formatCode="General">
                  <c:v>4.2210761339317303E-2</c:v>
                </c:pt>
                <c:pt idx="153" formatCode="General">
                  <c:v>4.5395386680546802E-2</c:v>
                </c:pt>
                <c:pt idx="154" formatCode="General">
                  <c:v>4.8695816579639603E-2</c:v>
                </c:pt>
                <c:pt idx="155" formatCode="General">
                  <c:v>5.2112051036595802E-2</c:v>
                </c:pt>
                <c:pt idx="156" formatCode="General">
                  <c:v>5.5644090051415303E-2</c:v>
                </c:pt>
                <c:pt idx="157" formatCode="General">
                  <c:v>5.9291933624098098E-2</c:v>
                </c:pt>
                <c:pt idx="158" formatCode="General">
                  <c:v>6.3055581754644305E-2</c:v>
                </c:pt>
                <c:pt idx="159" formatCode="General">
                  <c:v>6.6935034443053903E-2</c:v>
                </c:pt>
                <c:pt idx="160" formatCode="General">
                  <c:v>7.0930291689326699E-2</c:v>
                </c:pt>
                <c:pt idx="161" formatCode="General">
                  <c:v>7.5041353493462901E-2</c:v>
                </c:pt>
                <c:pt idx="162" formatCode="General">
                  <c:v>7.9268219855462396E-2</c:v>
                </c:pt>
                <c:pt idx="163" formatCode="General">
                  <c:v>8.36108907753252E-2</c:v>
                </c:pt>
                <c:pt idx="164" formatCode="General">
                  <c:v>8.8069366253051298E-2</c:v>
                </c:pt>
                <c:pt idx="165" formatCode="General">
                  <c:v>9.2643646288640802E-2</c:v>
                </c:pt>
                <c:pt idx="166" formatCode="General">
                  <c:v>9.7333730882093697E-2</c:v>
                </c:pt>
                <c:pt idx="167" formatCode="General">
                  <c:v>0.102139620033409</c:v>
                </c:pt>
                <c:pt idx="168" formatCode="General">
                  <c:v>0.107061313742589</c:v>
                </c:pt>
                <c:pt idx="169" formatCode="General">
                  <c:v>0.112098812009632</c:v>
                </c:pt>
                <c:pt idx="170" formatCode="General">
                  <c:v>0.117252114834538</c:v>
                </c:pt>
                <c:pt idx="171" formatCode="General">
                  <c:v>0.122521222217308</c:v>
                </c:pt>
                <c:pt idx="172" formatCode="General">
                  <c:v>0.127906134157941</c:v>
                </c:pt>
                <c:pt idx="173" formatCode="General">
                  <c:v>0.13340685065643701</c:v>
                </c:pt>
                <c:pt idx="174" formatCode="General">
                  <c:v>0.13902337171279699</c:v>
                </c:pt>
                <c:pt idx="175" formatCode="General">
                  <c:v>0.14475569732702001</c:v>
                </c:pt>
                <c:pt idx="176" formatCode="General">
                  <c:v>0.150603827499106</c:v>
                </c:pt>
                <c:pt idx="177" formatCode="General">
                  <c:v>0.156567762229056</c:v>
                </c:pt>
                <c:pt idx="178" formatCode="General">
                  <c:v>0.16264750151686899</c:v>
                </c:pt>
                <c:pt idx="179" formatCode="General">
                  <c:v>0.16884304536254499</c:v>
                </c:pt>
                <c:pt idx="180" formatCode="General">
                  <c:v>0.17515439376608499</c:v>
                </c:pt>
                <c:pt idx="181" formatCode="General">
                  <c:v>0.181581546727488</c:v>
                </c:pt>
                <c:pt idx="182" formatCode="General">
                  <c:v>0.188124504246754</c:v>
                </c:pt>
                <c:pt idx="183" formatCode="General">
                  <c:v>0.19478326632388401</c:v>
                </c:pt>
                <c:pt idx="184" formatCode="General">
                  <c:v>0.201557832958877</c:v>
                </c:pt>
                <c:pt idx="185" formatCode="General">
                  <c:v>0.20844820415173301</c:v>
                </c:pt>
                <c:pt idx="186" formatCode="General">
                  <c:v>0.215454379902453</c:v>
                </c:pt>
                <c:pt idx="187" formatCode="General">
                  <c:v>0.222576360211036</c:v>
                </c:pt>
                <c:pt idx="188" formatCode="General">
                  <c:v>0.22981414507748199</c:v>
                </c:pt>
                <c:pt idx="189" formatCode="General">
                  <c:v>0.23716773450179199</c:v>
                </c:pt>
                <c:pt idx="190" formatCode="General">
                  <c:v>0.24463712848396499</c:v>
                </c:pt>
                <c:pt idx="191" formatCode="General">
                  <c:v>0.25222232702400199</c:v>
                </c:pt>
                <c:pt idx="192" formatCode="General">
                  <c:v>0.259923330121901</c:v>
                </c:pt>
                <c:pt idx="193" formatCode="General">
                  <c:v>0.26774013777766398</c:v>
                </c:pt>
                <c:pt idx="194" formatCode="General">
                  <c:v>0.27567274999129099</c:v>
                </c:pt>
                <c:pt idx="195" formatCode="General">
                  <c:v>0.28372116676278097</c:v>
                </c:pt>
                <c:pt idx="196" formatCode="General">
                  <c:v>0.29188538809213399</c:v>
                </c:pt>
                <c:pt idx="197" formatCode="General">
                  <c:v>0.30016541397934998</c:v>
                </c:pt>
                <c:pt idx="198" formatCode="General">
                  <c:v>0.30856124442443</c:v>
                </c:pt>
                <c:pt idx="199" formatCode="General">
                  <c:v>0.317072879427373</c:v>
                </c:pt>
                <c:pt idx="200" formatCode="General">
                  <c:v>0.32570031898818003</c:v>
                </c:pt>
                <c:pt idx="201" formatCode="General">
                  <c:v>0.33444356310684997</c:v>
                </c:pt>
                <c:pt idx="202" formatCode="General">
                  <c:v>0.343302611783383</c:v>
                </c:pt>
                <c:pt idx="203" formatCode="General">
                  <c:v>0.35227746501778001</c:v>
                </c:pt>
                <c:pt idx="204" formatCode="General">
                  <c:v>0.36136812281003999</c:v>
                </c:pt>
                <c:pt idx="205" formatCode="General">
                  <c:v>0.37057458516016301</c:v>
                </c:pt>
                <c:pt idx="206" formatCode="General">
                  <c:v>0.37989685206814899</c:v>
                </c:pt>
                <c:pt idx="207" formatCode="General">
                  <c:v>0.38933492353399901</c:v>
                </c:pt>
                <c:pt idx="208" formatCode="General">
                  <c:v>0.398888799557713</c:v>
                </c:pt>
                <c:pt idx="209" formatCode="General">
                  <c:v>0.40855848013928903</c:v>
                </c:pt>
                <c:pt idx="210" formatCode="General">
                  <c:v>0.41834396527872902</c:v>
                </c:pt>
                <c:pt idx="211" formatCode="General">
                  <c:v>0.428245254976033</c:v>
                </c:pt>
                <c:pt idx="212" formatCode="General">
                  <c:v>0.438262349231199</c:v>
                </c:pt>
                <c:pt idx="213" formatCode="General">
                  <c:v>0.44839524804422998</c:v>
                </c:pt>
                <c:pt idx="214" formatCode="General">
                  <c:v>0.45864395141512299</c:v>
                </c:pt>
                <c:pt idx="215" formatCode="General">
                  <c:v>0.46900845934388002</c:v>
                </c:pt>
                <c:pt idx="216" formatCode="General">
                  <c:v>0.47948877183049998</c:v>
                </c:pt>
                <c:pt idx="217" formatCode="General">
                  <c:v>0.49008488887498303</c:v>
                </c:pt>
                <c:pt idx="218" formatCode="General">
                  <c:v>0.50079681047733005</c:v>
                </c:pt>
                <c:pt idx="219" formatCode="General">
                  <c:v>0.51162453663754004</c:v>
                </c:pt>
                <c:pt idx="220" formatCode="General">
                  <c:v>0.52256806735561401</c:v>
                </c:pt>
                <c:pt idx="221" formatCode="General">
                  <c:v>0.53362740263154995</c:v>
                </c:pt>
                <c:pt idx="222" formatCode="General">
                  <c:v>0.54480254246534998</c:v>
                </c:pt>
                <c:pt idx="223" formatCode="General">
                  <c:v>0.55609348685701399</c:v>
                </c:pt>
                <c:pt idx="224" formatCode="General">
                  <c:v>0.56750023580654096</c:v>
                </c:pt>
                <c:pt idx="225" formatCode="General">
                  <c:v>0.57902278931393103</c:v>
                </c:pt>
                <c:pt idx="226" formatCode="General">
                  <c:v>0.59066114737918496</c:v>
                </c:pt>
                <c:pt idx="227" formatCode="General">
                  <c:v>0.60241531000230197</c:v>
                </c:pt>
                <c:pt idx="228" formatCode="General">
                  <c:v>0.61428527718328196</c:v>
                </c:pt>
                <c:pt idx="229" formatCode="General">
                  <c:v>0.62627104892212604</c:v>
                </c:pt>
                <c:pt idx="230" formatCode="General">
                  <c:v>0.63837262521883298</c:v>
                </c:pt>
                <c:pt idx="231" formatCode="General">
                  <c:v>0.650590006073403</c:v>
                </c:pt>
                <c:pt idx="232" formatCode="General">
                  <c:v>0.66292319148583601</c:v>
                </c:pt>
                <c:pt idx="233" formatCode="General">
                  <c:v>0.67537218145613398</c:v>
                </c:pt>
                <c:pt idx="234" formatCode="General">
                  <c:v>0.68793697598429404</c:v>
                </c:pt>
                <c:pt idx="235" formatCode="General">
                  <c:v>0.70061757507031797</c:v>
                </c:pt>
                <c:pt idx="236" formatCode="General">
                  <c:v>0.71341397871420498</c:v>
                </c:pt>
                <c:pt idx="237" formatCode="General">
                  <c:v>0.72632618691595596</c:v>
                </c:pt>
                <c:pt idx="238" formatCode="General">
                  <c:v>0.73935419967557003</c:v>
                </c:pt>
                <c:pt idx="239" formatCode="General">
                  <c:v>0.75249801699304697</c:v>
                </c:pt>
                <c:pt idx="240" formatCode="General">
                  <c:v>0.76575763886838799</c:v>
                </c:pt>
                <c:pt idx="241" formatCode="General">
                  <c:v>0.77913306530159099</c:v>
                </c:pt>
                <c:pt idx="242" formatCode="General">
                  <c:v>0.79262429629265796</c:v>
                </c:pt>
                <c:pt idx="243" formatCode="General">
                  <c:v>0.80623133184158902</c:v>
                </c:pt>
                <c:pt idx="244" formatCode="General">
                  <c:v>0.81995417194838205</c:v>
                </c:pt>
                <c:pt idx="245" formatCode="General">
                  <c:v>0.83379281661303895</c:v>
                </c:pt>
                <c:pt idx="246" formatCode="General">
                  <c:v>0.84774726583556004</c:v>
                </c:pt>
                <c:pt idx="247" formatCode="General">
                  <c:v>0.86181751961594399</c:v>
                </c:pt>
                <c:pt idx="248" formatCode="General">
                  <c:v>0.87600357795419104</c:v>
                </c:pt>
                <c:pt idx="249" formatCode="General">
                  <c:v>0.89030544085030205</c:v>
                </c:pt>
                <c:pt idx="250" formatCode="General">
                  <c:v>0.90472310830427605</c:v>
                </c:pt>
                <c:pt idx="251" formatCode="General">
                  <c:v>0.91914077575825004</c:v>
                </c:pt>
                <c:pt idx="252" formatCode="General">
                  <c:v>0.93344263865436095</c:v>
                </c:pt>
                <c:pt idx="253" formatCode="General">
                  <c:v>0.94762869699260899</c:v>
                </c:pt>
                <c:pt idx="254" formatCode="General">
                  <c:v>0.96169895077299306</c:v>
                </c:pt>
                <c:pt idx="255" formatCode="General">
                  <c:v>0.97565339999551404</c:v>
                </c:pt>
                <c:pt idx="256" formatCode="General">
                  <c:v>0.98949204466017204</c:v>
                </c:pt>
                <c:pt idx="257" formatCode="General">
                  <c:v>1.00321488476696</c:v>
                </c:pt>
                <c:pt idx="258" formatCode="General">
                  <c:v>1.0168219203158899</c:v>
                </c:pt>
                <c:pt idx="259" formatCode="General">
                  <c:v>1.0303131513069601</c:v>
                </c:pt>
                <c:pt idx="260" formatCode="General">
                  <c:v>1.0436885777401601</c:v>
                </c:pt>
                <c:pt idx="261" formatCode="General">
                  <c:v>1.0569481996154999</c:v>
                </c:pt>
                <c:pt idx="262" formatCode="General">
                  <c:v>1.07009201693298</c:v>
                </c:pt>
                <c:pt idx="263" formatCode="General">
                  <c:v>1.0831200296926</c:v>
                </c:pt>
                <c:pt idx="264" formatCode="General">
                  <c:v>1.0960322378943499</c:v>
                </c:pt>
                <c:pt idx="265" formatCode="General">
                  <c:v>1.10882864153824</c:v>
                </c:pt>
                <c:pt idx="266" formatCode="General">
                  <c:v>1.1215092406242599</c:v>
                </c:pt>
                <c:pt idx="267" formatCode="General">
                  <c:v>1.1340740351524199</c:v>
                </c:pt>
                <c:pt idx="268" formatCode="General">
                  <c:v>1.1465230251227201</c:v>
                </c:pt>
                <c:pt idx="269" formatCode="General">
                  <c:v>1.1588562105351501</c:v>
                </c:pt>
                <c:pt idx="270" formatCode="General">
                  <c:v>1.1710735913897199</c:v>
                </c:pt>
                <c:pt idx="271" formatCode="General">
                  <c:v>1.1831751676864299</c:v>
                </c:pt>
                <c:pt idx="272" formatCode="General">
                  <c:v>1.19516093942527</c:v>
                </c:pt>
                <c:pt idx="273" formatCode="General">
                  <c:v>1.2070309066062599</c:v>
                </c:pt>
                <c:pt idx="274" formatCode="General">
                  <c:v>1.21878506922937</c:v>
                </c:pt>
                <c:pt idx="275" formatCode="General">
                  <c:v>1.2304234272946299</c:v>
                </c:pt>
                <c:pt idx="276" formatCode="General">
                  <c:v>1.2419459808020199</c:v>
                </c:pt>
                <c:pt idx="277" formatCode="General">
                  <c:v>1.2533527297515501</c:v>
                </c:pt>
                <c:pt idx="278" formatCode="General">
                  <c:v>1.2646436741432101</c:v>
                </c:pt>
                <c:pt idx="279" formatCode="General">
                  <c:v>1.2758188139770099</c:v>
                </c:pt>
                <c:pt idx="280" formatCode="General">
                  <c:v>1.28687814925295</c:v>
                </c:pt>
                <c:pt idx="281" formatCode="General">
                  <c:v>1.29782167997103</c:v>
                </c:pt>
                <c:pt idx="282" formatCode="General">
                  <c:v>1.3086494061312399</c:v>
                </c:pt>
                <c:pt idx="283" formatCode="General">
                  <c:v>1.3193613277335901</c:v>
                </c:pt>
                <c:pt idx="284" formatCode="General">
                  <c:v>1.32995744477807</c:v>
                </c:pt>
                <c:pt idx="285" formatCode="General">
                  <c:v>1.3404377572646899</c:v>
                </c:pt>
                <c:pt idx="286" formatCode="General">
                  <c:v>1.3508022651934499</c:v>
                </c:pt>
                <c:pt idx="287" formatCode="General">
                  <c:v>1.3610509685643399</c:v>
                </c:pt>
                <c:pt idx="288" formatCode="General">
                  <c:v>1.37118386737738</c:v>
                </c:pt>
                <c:pt idx="289" formatCode="General">
                  <c:v>1.38120096163254</c:v>
                </c:pt>
                <c:pt idx="290" formatCode="General">
                  <c:v>1.3911022513298501</c:v>
                </c:pt>
                <c:pt idx="291" formatCode="General">
                  <c:v>1.40088773646929</c:v>
                </c:pt>
                <c:pt idx="292" formatCode="General">
                  <c:v>1.4105574170508699</c:v>
                </c:pt>
                <c:pt idx="293" formatCode="General">
                  <c:v>1.4201112930745801</c:v>
                </c:pt>
                <c:pt idx="294" formatCode="General">
                  <c:v>1.42954936454044</c:v>
                </c:pt>
                <c:pt idx="295" formatCode="General">
                  <c:v>1.43887163144842</c:v>
                </c:pt>
                <c:pt idx="296" formatCode="General">
                  <c:v>1.44807809379855</c:v>
                </c:pt>
                <c:pt idx="297" formatCode="General">
                  <c:v>1.4571687515908101</c:v>
                </c:pt>
                <c:pt idx="298" formatCode="General">
                  <c:v>1.4661436048252099</c:v>
                </c:pt>
                <c:pt idx="299" formatCode="General">
                  <c:v>1.47500265350175</c:v>
                </c:pt>
                <c:pt idx="300" formatCode="General">
                  <c:v>1.4837458976204201</c:v>
                </c:pt>
                <c:pt idx="301" formatCode="General">
                  <c:v>1.49237333718123</c:v>
                </c:pt>
                <c:pt idx="302" formatCode="General">
                  <c:v>1.5008849721841699</c:v>
                </c:pt>
                <c:pt idx="303" formatCode="General">
                  <c:v>1.5092808026292499</c:v>
                </c:pt>
                <c:pt idx="304" formatCode="General">
                  <c:v>1.5175608285164699</c:v>
                </c:pt>
                <c:pt idx="305" formatCode="General">
                  <c:v>1.5257250498458299</c:v>
                </c:pt>
                <c:pt idx="306" formatCode="General">
                  <c:v>1.5337734666173199</c:v>
                </c:pt>
                <c:pt idx="307" formatCode="General">
                  <c:v>1.54170607883095</c:v>
                </c:pt>
                <c:pt idx="308" formatCode="General">
                  <c:v>1.5495228864867101</c:v>
                </c:pt>
                <c:pt idx="309" formatCode="General">
                  <c:v>1.55722388958462</c:v>
                </c:pt>
                <c:pt idx="310" formatCode="General">
                  <c:v>1.5648090881246499</c:v>
                </c:pt>
                <c:pt idx="311" formatCode="General">
                  <c:v>1.5722784821068301</c:v>
                </c:pt>
                <c:pt idx="312" formatCode="General">
                  <c:v>1.57963207153114</c:v>
                </c:pt>
                <c:pt idx="313" formatCode="General">
                  <c:v>1.58686985639759</c:v>
                </c:pt>
                <c:pt idx="314" formatCode="General">
                  <c:v>1.5939918367061801</c:v>
                </c:pt>
                <c:pt idx="315" formatCode="General">
                  <c:v>1.6009980124569001</c:v>
                </c:pt>
                <c:pt idx="316" formatCode="General">
                  <c:v>1.6078883836497599</c:v>
                </c:pt>
                <c:pt idx="317" formatCode="General">
                  <c:v>1.61466295028476</c:v>
                </c:pt>
                <c:pt idx="318" formatCode="General">
                  <c:v>1.6213217123618899</c:v>
                </c:pt>
                <c:pt idx="319" formatCode="General">
                  <c:v>1.6278646698811601</c:v>
                </c:pt>
                <c:pt idx="320" formatCode="General">
                  <c:v>1.63429182284256</c:v>
                </c:pt>
                <c:pt idx="321" formatCode="General">
                  <c:v>1.64060317124611</c:v>
                </c:pt>
                <c:pt idx="322" formatCode="General">
                  <c:v>1.64679871509179</c:v>
                </c:pt>
                <c:pt idx="323" formatCode="General">
                  <c:v>1.6528784543796</c:v>
                </c:pt>
                <c:pt idx="324" formatCode="General">
                  <c:v>1.6588423891095601</c:v>
                </c:pt>
                <c:pt idx="325" formatCode="General">
                  <c:v>1.6646905192816499</c:v>
                </c:pt>
                <c:pt idx="326" formatCode="General">
                  <c:v>1.67042284489587</c:v>
                </c:pt>
                <c:pt idx="327" formatCode="General">
                  <c:v>1.6760393659522399</c:v>
                </c:pt>
                <c:pt idx="328" formatCode="General">
                  <c:v>1.68154008245074</c:v>
                </c:pt>
                <c:pt idx="329" formatCode="General">
                  <c:v>1.68692499439137</c:v>
                </c:pt>
                <c:pt idx="330" formatCode="General">
                  <c:v>1.69219410177415</c:v>
                </c:pt>
                <c:pt idx="331" formatCode="General">
                  <c:v>1.69734740459906</c:v>
                </c:pt>
                <c:pt idx="332" formatCode="General">
                  <c:v>1.7023849028661</c:v>
                </c:pt>
                <c:pt idx="333" formatCode="General">
                  <c:v>1.70730659657529</c:v>
                </c:pt>
                <c:pt idx="334" formatCode="General">
                  <c:v>1.7121124857266099</c:v>
                </c:pt>
                <c:pt idx="335" formatCode="General">
                  <c:v>1.71680257032006</c:v>
                </c:pt>
                <c:pt idx="336" formatCode="General">
                  <c:v>1.7213768503556599</c:v>
                </c:pt>
                <c:pt idx="337" formatCode="General">
                  <c:v>1.7258353258333901</c:v>
                </c:pt>
                <c:pt idx="338" formatCode="General">
                  <c:v>1.73017799675325</c:v>
                </c:pt>
                <c:pt idx="339" formatCode="General">
                  <c:v>1.73440486311526</c:v>
                </c:pt>
                <c:pt idx="340" formatCode="General">
                  <c:v>1.7385159249194</c:v>
                </c:pt>
                <c:pt idx="341" formatCode="General">
                  <c:v>1.74251118216568</c:v>
                </c:pt>
                <c:pt idx="342" formatCode="General">
                  <c:v>1.7463906348540901</c:v>
                </c:pt>
                <c:pt idx="343" formatCode="General">
                  <c:v>1.7501542829846399</c:v>
                </c:pt>
                <c:pt idx="344" formatCode="General">
                  <c:v>1.75380212655733</c:v>
                </c:pt>
                <c:pt idx="345" formatCode="General">
                  <c:v>1.7573341655721499</c:v>
                </c:pt>
                <c:pt idx="346" formatCode="General">
                  <c:v>1.7607504000291101</c:v>
                </c:pt>
                <c:pt idx="347" formatCode="General">
                  <c:v>1.7640508299282101</c:v>
                </c:pt>
                <c:pt idx="348" formatCode="General">
                  <c:v>1.76723545526944</c:v>
                </c:pt>
                <c:pt idx="349" formatCode="General">
                  <c:v>1.77030427605281</c:v>
                </c:pt>
                <c:pt idx="350" formatCode="General">
                  <c:v>1.7732572922783201</c:v>
                </c:pt>
                <c:pt idx="351" formatCode="General">
                  <c:v>1.7760945039459599</c:v>
                </c:pt>
                <c:pt idx="352" formatCode="General">
                  <c:v>1.77881591105574</c:v>
                </c:pt>
                <c:pt idx="353" formatCode="General">
                  <c:v>1.7814215136076601</c:v>
                </c:pt>
                <c:pt idx="354" formatCode="General">
                  <c:v>1.78391131160171</c:v>
                </c:pt>
                <c:pt idx="355" formatCode="General">
                  <c:v>1.7862853050379</c:v>
                </c:pt>
                <c:pt idx="356" formatCode="General">
                  <c:v>1.7885434939162299</c:v>
                </c:pt>
                <c:pt idx="357" formatCode="General">
                  <c:v>1.7906858782366899</c:v>
                </c:pt>
                <c:pt idx="358" formatCode="General">
                  <c:v>1.7927124579992899</c:v>
                </c:pt>
                <c:pt idx="359" formatCode="General">
                  <c:v>1.7946232332040299</c:v>
                </c:pt>
                <c:pt idx="360" formatCode="General">
                  <c:v>1.79641820385091</c:v>
                </c:pt>
                <c:pt idx="361" formatCode="General">
                  <c:v>1.7980973699399201</c:v>
                </c:pt>
                <c:pt idx="362" formatCode="General">
                  <c:v>1.79966073147107</c:v>
                </c:pt>
                <c:pt idx="363" formatCode="General">
                  <c:v>1.8011082884443499</c:v>
                </c:pt>
                <c:pt idx="364" formatCode="General">
                  <c:v>1.8024400408597701</c:v>
                </c:pt>
                <c:pt idx="365" formatCode="General">
                  <c:v>1.80365598871733</c:v>
                </c:pt>
                <c:pt idx="366" formatCode="General">
                  <c:v>1.80475613201702</c:v>
                </c:pt>
                <c:pt idx="367" formatCode="General">
                  <c:v>1.80574047075885</c:v>
                </c:pt>
                <c:pt idx="368" formatCode="General">
                  <c:v>1.8066090049428201</c:v>
                </c:pt>
                <c:pt idx="369" formatCode="General">
                  <c:v>1.8073617345689299</c:v>
                </c:pt>
                <c:pt idx="370" formatCode="General">
                  <c:v>1.80799865963717</c:v>
                </c:pt>
                <c:pt idx="371" formatCode="General">
                  <c:v>1.8085197801475501</c:v>
                </c:pt>
                <c:pt idx="372" formatCode="General">
                  <c:v>1.80892509610006</c:v>
                </c:pt>
                <c:pt idx="373" formatCode="General">
                  <c:v>1.80921460749471</c:v>
                </c:pt>
                <c:pt idx="374" formatCode="General">
                  <c:v>1.8093883143314999</c:v>
                </c:pt>
                <c:pt idx="375" formatCode="General">
                  <c:v>1.8094462166104199</c:v>
                </c:pt>
                <c:pt idx="376" formatCode="General">
                  <c:v>1.8094462166104199</c:v>
                </c:pt>
                <c:pt idx="377" formatCode="General">
                  <c:v>1.8094462166104099</c:v>
                </c:pt>
                <c:pt idx="378" formatCode="General">
                  <c:v>1.8094462166103999</c:v>
                </c:pt>
                <c:pt idx="379" formatCode="General">
                  <c:v>1.8094462166103999</c:v>
                </c:pt>
                <c:pt idx="380" formatCode="General">
                  <c:v>1.80944621661039</c:v>
                </c:pt>
                <c:pt idx="381" formatCode="General">
                  <c:v>1.80944621661038</c:v>
                </c:pt>
                <c:pt idx="382" formatCode="General">
                  <c:v>1.80944621661038</c:v>
                </c:pt>
                <c:pt idx="383" formatCode="General">
                  <c:v>1.80944621661037</c:v>
                </c:pt>
                <c:pt idx="384" formatCode="General">
                  <c:v>1.80944621661036</c:v>
                </c:pt>
                <c:pt idx="385" formatCode="General">
                  <c:v>1.80944621661036</c:v>
                </c:pt>
                <c:pt idx="386" formatCode="General">
                  <c:v>1.80944621661035</c:v>
                </c:pt>
                <c:pt idx="387" formatCode="General">
                  <c:v>1.80944621661034</c:v>
                </c:pt>
                <c:pt idx="388" formatCode="General">
                  <c:v>1.80944621661034</c:v>
                </c:pt>
                <c:pt idx="389" formatCode="General">
                  <c:v>1.80944621661033</c:v>
                </c:pt>
                <c:pt idx="390" formatCode="General">
                  <c:v>1.80944621661032</c:v>
                </c:pt>
                <c:pt idx="391" formatCode="General">
                  <c:v>1.80944621661032</c:v>
                </c:pt>
                <c:pt idx="392" formatCode="General">
                  <c:v>1.80944621661031</c:v>
                </c:pt>
                <c:pt idx="393" formatCode="General">
                  <c:v>1.80944621661031</c:v>
                </c:pt>
                <c:pt idx="394" formatCode="General">
                  <c:v>1.8094462166103</c:v>
                </c:pt>
                <c:pt idx="395" formatCode="General">
                  <c:v>1.80944621661029</c:v>
                </c:pt>
                <c:pt idx="396" formatCode="General">
                  <c:v>1.80944621661029</c:v>
                </c:pt>
                <c:pt idx="397" formatCode="General">
                  <c:v>1.80944621661028</c:v>
                </c:pt>
                <c:pt idx="398" formatCode="General">
                  <c:v>1.80944621661028</c:v>
                </c:pt>
                <c:pt idx="399" formatCode="General">
                  <c:v>1.8094462166102701</c:v>
                </c:pt>
                <c:pt idx="400" formatCode="General">
                  <c:v>1.8094462166102601</c:v>
                </c:pt>
                <c:pt idx="401" formatCode="General">
                  <c:v>1.8094462166102601</c:v>
                </c:pt>
                <c:pt idx="402" formatCode="General">
                  <c:v>1.8094462166102501</c:v>
                </c:pt>
                <c:pt idx="403" formatCode="General">
                  <c:v>1.8094462166102501</c:v>
                </c:pt>
                <c:pt idx="404" formatCode="General">
                  <c:v>1.8094462166102401</c:v>
                </c:pt>
                <c:pt idx="405" formatCode="General">
                  <c:v>1.8094462166102401</c:v>
                </c:pt>
                <c:pt idx="406" formatCode="General">
                  <c:v>1.8094462166102301</c:v>
                </c:pt>
                <c:pt idx="407" formatCode="General">
                  <c:v>1.8094462166102201</c:v>
                </c:pt>
                <c:pt idx="408" formatCode="General">
                  <c:v>1.8094462166102201</c:v>
                </c:pt>
                <c:pt idx="409" formatCode="General">
                  <c:v>1.8094462166102101</c:v>
                </c:pt>
                <c:pt idx="410" formatCode="General">
                  <c:v>1.8094462166102101</c:v>
                </c:pt>
                <c:pt idx="411" formatCode="General">
                  <c:v>1.8094462166102001</c:v>
                </c:pt>
                <c:pt idx="412" formatCode="General">
                  <c:v>1.8094462166102001</c:v>
                </c:pt>
                <c:pt idx="413" formatCode="General">
                  <c:v>1.8094462166101899</c:v>
                </c:pt>
                <c:pt idx="414" formatCode="General">
                  <c:v>1.8094462166101899</c:v>
                </c:pt>
                <c:pt idx="415" formatCode="General">
                  <c:v>1.8094462166101799</c:v>
                </c:pt>
                <c:pt idx="416" formatCode="General">
                  <c:v>1.8094462166101799</c:v>
                </c:pt>
                <c:pt idx="417" formatCode="General">
                  <c:v>1.8094462166101699</c:v>
                </c:pt>
                <c:pt idx="418" formatCode="General">
                  <c:v>1.8094462166101699</c:v>
                </c:pt>
                <c:pt idx="419" formatCode="General">
                  <c:v>1.8094462166101599</c:v>
                </c:pt>
                <c:pt idx="420" formatCode="General">
                  <c:v>1.8094462166101599</c:v>
                </c:pt>
                <c:pt idx="421" formatCode="General">
                  <c:v>1.8094462166101599</c:v>
                </c:pt>
                <c:pt idx="422" formatCode="General">
                  <c:v>1.8094462166101499</c:v>
                </c:pt>
                <c:pt idx="423" formatCode="General">
                  <c:v>1.8094462166101499</c:v>
                </c:pt>
                <c:pt idx="424" formatCode="General">
                  <c:v>1.8094462166101399</c:v>
                </c:pt>
                <c:pt idx="425" formatCode="General">
                  <c:v>1.8094462166101399</c:v>
                </c:pt>
                <c:pt idx="426" formatCode="General">
                  <c:v>1.8094462166101299</c:v>
                </c:pt>
                <c:pt idx="427" formatCode="General">
                  <c:v>1.8094462166101299</c:v>
                </c:pt>
                <c:pt idx="428" formatCode="General">
                  <c:v>1.80944621661012</c:v>
                </c:pt>
                <c:pt idx="429" formatCode="General">
                  <c:v>1.80944621661012</c:v>
                </c:pt>
                <c:pt idx="430" formatCode="General">
                  <c:v>1.80944621661011</c:v>
                </c:pt>
                <c:pt idx="431" formatCode="General">
                  <c:v>1.80944621661011</c:v>
                </c:pt>
                <c:pt idx="432" formatCode="General">
                  <c:v>1.8094462166101</c:v>
                </c:pt>
                <c:pt idx="433" formatCode="General">
                  <c:v>1.8094462166101</c:v>
                </c:pt>
                <c:pt idx="434" formatCode="General">
                  <c:v>1.8094462166101</c:v>
                </c:pt>
                <c:pt idx="435" formatCode="General">
                  <c:v>1.80944621661009</c:v>
                </c:pt>
                <c:pt idx="436" formatCode="General">
                  <c:v>1.80944621661009</c:v>
                </c:pt>
                <c:pt idx="437" formatCode="General">
                  <c:v>1.80944621661008</c:v>
                </c:pt>
                <c:pt idx="438" formatCode="General">
                  <c:v>1.80944621661008</c:v>
                </c:pt>
                <c:pt idx="439" formatCode="General">
                  <c:v>1.80944621661008</c:v>
                </c:pt>
                <c:pt idx="440" formatCode="General">
                  <c:v>1.80944621661007</c:v>
                </c:pt>
                <c:pt idx="441" formatCode="General">
                  <c:v>1.80944621661007</c:v>
                </c:pt>
                <c:pt idx="442" formatCode="General">
                  <c:v>1.80944621661007</c:v>
                </c:pt>
                <c:pt idx="443" formatCode="General">
                  <c:v>1.80944621661006</c:v>
                </c:pt>
                <c:pt idx="444" formatCode="General">
                  <c:v>1.80944621661006</c:v>
                </c:pt>
                <c:pt idx="445" formatCode="General">
                  <c:v>1.80944621661006</c:v>
                </c:pt>
                <c:pt idx="446" formatCode="General">
                  <c:v>1.80944621661005</c:v>
                </c:pt>
                <c:pt idx="447" formatCode="General">
                  <c:v>1.80944621661005</c:v>
                </c:pt>
                <c:pt idx="448" formatCode="General">
                  <c:v>1.80944621661005</c:v>
                </c:pt>
                <c:pt idx="449" formatCode="General">
                  <c:v>1.80944621661004</c:v>
                </c:pt>
                <c:pt idx="450" formatCode="General">
                  <c:v>1.80944621661004</c:v>
                </c:pt>
                <c:pt idx="451" formatCode="General">
                  <c:v>1.80944621661004</c:v>
                </c:pt>
                <c:pt idx="452" formatCode="General">
                  <c:v>1.80944621661004</c:v>
                </c:pt>
                <c:pt idx="453" formatCode="General">
                  <c:v>1.80944621661003</c:v>
                </c:pt>
                <c:pt idx="454" formatCode="General">
                  <c:v>1.80944621661003</c:v>
                </c:pt>
                <c:pt idx="455" formatCode="General">
                  <c:v>1.80944621661003</c:v>
                </c:pt>
                <c:pt idx="456" formatCode="General">
                  <c:v>1.80944621661002</c:v>
                </c:pt>
                <c:pt idx="457" formatCode="General">
                  <c:v>1.80944621661002</c:v>
                </c:pt>
                <c:pt idx="458" formatCode="General">
                  <c:v>1.80944621661002</c:v>
                </c:pt>
                <c:pt idx="459" formatCode="General">
                  <c:v>1.80944621661002</c:v>
                </c:pt>
                <c:pt idx="460" formatCode="General">
                  <c:v>1.80944621661001</c:v>
                </c:pt>
                <c:pt idx="461" formatCode="General">
                  <c:v>1.80944621661001</c:v>
                </c:pt>
                <c:pt idx="462" formatCode="General">
                  <c:v>1.80944621661001</c:v>
                </c:pt>
                <c:pt idx="463" formatCode="General">
                  <c:v>1.80944621661</c:v>
                </c:pt>
                <c:pt idx="464" formatCode="General">
                  <c:v>1.80944621661</c:v>
                </c:pt>
                <c:pt idx="465" formatCode="General">
                  <c:v>1.80944621661</c:v>
                </c:pt>
                <c:pt idx="466" formatCode="General">
                  <c:v>1.80944621661</c:v>
                </c:pt>
                <c:pt idx="467" formatCode="General">
                  <c:v>1.80944621661</c:v>
                </c:pt>
                <c:pt idx="468" formatCode="General">
                  <c:v>1.8094462166099901</c:v>
                </c:pt>
                <c:pt idx="469" formatCode="General">
                  <c:v>1.8094462166099901</c:v>
                </c:pt>
                <c:pt idx="470" formatCode="General">
                  <c:v>1.8094462166099901</c:v>
                </c:pt>
                <c:pt idx="471" formatCode="General">
                  <c:v>1.8094462166099901</c:v>
                </c:pt>
                <c:pt idx="472" formatCode="General">
                  <c:v>1.8094462166099901</c:v>
                </c:pt>
                <c:pt idx="473" formatCode="General">
                  <c:v>1.8094462166099801</c:v>
                </c:pt>
                <c:pt idx="474" formatCode="General">
                  <c:v>1.8094462166099801</c:v>
                </c:pt>
                <c:pt idx="475" formatCode="General">
                  <c:v>1.8094462166099801</c:v>
                </c:pt>
                <c:pt idx="476" formatCode="General">
                  <c:v>1.8094462166099801</c:v>
                </c:pt>
                <c:pt idx="477" formatCode="General">
                  <c:v>1.8094462166099801</c:v>
                </c:pt>
                <c:pt idx="478" formatCode="General">
                  <c:v>1.8094462166099801</c:v>
                </c:pt>
                <c:pt idx="479" formatCode="General">
                  <c:v>1.8094462166099801</c:v>
                </c:pt>
                <c:pt idx="480" formatCode="General">
                  <c:v>1.8094462166099701</c:v>
                </c:pt>
                <c:pt idx="481" formatCode="General">
                  <c:v>1.8094462166099701</c:v>
                </c:pt>
                <c:pt idx="482" formatCode="General">
                  <c:v>1.8094462166099701</c:v>
                </c:pt>
                <c:pt idx="483" formatCode="General">
                  <c:v>1.8094462166099701</c:v>
                </c:pt>
                <c:pt idx="484" formatCode="General">
                  <c:v>1.8094462166099701</c:v>
                </c:pt>
                <c:pt idx="485" formatCode="General">
                  <c:v>1.8094462166099701</c:v>
                </c:pt>
                <c:pt idx="486" formatCode="General">
                  <c:v>1.8094462166099701</c:v>
                </c:pt>
                <c:pt idx="487" formatCode="General">
                  <c:v>1.8094462166099701</c:v>
                </c:pt>
                <c:pt idx="488" formatCode="General">
                  <c:v>1.8094462166099701</c:v>
                </c:pt>
                <c:pt idx="489" formatCode="General">
                  <c:v>1.8094462166099701</c:v>
                </c:pt>
                <c:pt idx="490" formatCode="General">
                  <c:v>1.8094462166099701</c:v>
                </c:pt>
                <c:pt idx="491" formatCode="General">
                  <c:v>1.8094462166099701</c:v>
                </c:pt>
                <c:pt idx="492" formatCode="General">
                  <c:v>1.8094462166099701</c:v>
                </c:pt>
                <c:pt idx="493" formatCode="General">
                  <c:v>1.8094462166099701</c:v>
                </c:pt>
                <c:pt idx="494" formatCode="General">
                  <c:v>1.8094462166099701</c:v>
                </c:pt>
                <c:pt idx="495" formatCode="General">
                  <c:v>1.8094462166099701</c:v>
                </c:pt>
                <c:pt idx="496" formatCode="General">
                  <c:v>1.8094462166099701</c:v>
                </c:pt>
                <c:pt idx="497" formatCode="General">
                  <c:v>1.8094462166099701</c:v>
                </c:pt>
                <c:pt idx="498" formatCode="General">
                  <c:v>1.8094462166099701</c:v>
                </c:pt>
                <c:pt idx="499" formatCode="General">
                  <c:v>1.8094462166099701</c:v>
                </c:pt>
                <c:pt idx="500" formatCode="General">
                  <c:v>1.8094462166099701</c:v>
                </c:pt>
              </c:numCache>
            </c:numRef>
          </c:yVal>
          <c:smooth val="1"/>
          <c:extLst>
            <c:ext xmlns:c16="http://schemas.microsoft.com/office/drawing/2014/chart" uri="{C3380CC4-5D6E-409C-BE32-E72D297353CC}">
              <c16:uniqueId val="{00000000-FF52-422D-B2CB-75DFDB23A5C9}"/>
            </c:ext>
          </c:extLst>
        </c:ser>
        <c:ser>
          <c:idx val="1"/>
          <c:order val="1"/>
          <c:tx>
            <c:v>Finer</c:v>
          </c:tx>
          <c:spPr>
            <a:ln w="19050" cap="rnd">
              <a:solidFill>
                <a:schemeClr val="accent2"/>
              </a:solidFill>
              <a:round/>
            </a:ln>
            <a:effectLst/>
          </c:spPr>
          <c:marker>
            <c:symbol val="none"/>
          </c:marker>
          <c:xVal>
            <c:numRef>
              <c:f>'2.3.1'!$Q$3:$Q$219</c:f>
              <c:numCache>
                <c:formatCode>General</c:formatCode>
                <c:ptCount val="217"/>
                <c:pt idx="0">
                  <c:v>0</c:v>
                </c:pt>
                <c:pt idx="1">
                  <c:v>0.18518518518518501</c:v>
                </c:pt>
                <c:pt idx="2">
                  <c:v>0.37037037037037002</c:v>
                </c:pt>
                <c:pt idx="3">
                  <c:v>0.55555555555555503</c:v>
                </c:pt>
                <c:pt idx="4">
                  <c:v>0.74074074074074003</c:v>
                </c:pt>
                <c:pt idx="5">
                  <c:v>0.92592592592592504</c:v>
                </c:pt>
                <c:pt idx="6">
                  <c:v>1.1111111111111101</c:v>
                </c:pt>
                <c:pt idx="7">
                  <c:v>1.2962962962962901</c:v>
                </c:pt>
                <c:pt idx="8">
                  <c:v>1.4814814814814801</c:v>
                </c:pt>
                <c:pt idx="9">
                  <c:v>1.6666666666666601</c:v>
                </c:pt>
                <c:pt idx="10">
                  <c:v>1.8518518518518501</c:v>
                </c:pt>
                <c:pt idx="11">
                  <c:v>2.0370370370370301</c:v>
                </c:pt>
                <c:pt idx="12">
                  <c:v>2.2222222222222201</c:v>
                </c:pt>
                <c:pt idx="13">
                  <c:v>2.4074074074073999</c:v>
                </c:pt>
                <c:pt idx="14">
                  <c:v>2.5925925925925899</c:v>
                </c:pt>
                <c:pt idx="15">
                  <c:v>2.7777777777777701</c:v>
                </c:pt>
                <c:pt idx="16">
                  <c:v>2.9629629629629601</c:v>
                </c:pt>
                <c:pt idx="17">
                  <c:v>3.1481481481481399</c:v>
                </c:pt>
                <c:pt idx="18">
                  <c:v>3.3333333333333299</c:v>
                </c:pt>
                <c:pt idx="19">
                  <c:v>3.5185185185185102</c:v>
                </c:pt>
                <c:pt idx="20">
                  <c:v>3.7037037037037002</c:v>
                </c:pt>
                <c:pt idx="21">
                  <c:v>3.88888888888888</c:v>
                </c:pt>
                <c:pt idx="22">
                  <c:v>4.07407407407407</c:v>
                </c:pt>
                <c:pt idx="23">
                  <c:v>4.2592592592592498</c:v>
                </c:pt>
                <c:pt idx="24">
                  <c:v>4.4444444444444402</c:v>
                </c:pt>
                <c:pt idx="25">
                  <c:v>4.62962962962962</c:v>
                </c:pt>
                <c:pt idx="26">
                  <c:v>4.8148148148148104</c:v>
                </c:pt>
                <c:pt idx="27">
                  <c:v>4.9999999999999902</c:v>
                </c:pt>
                <c:pt idx="28">
                  <c:v>5.1851851851851798</c:v>
                </c:pt>
                <c:pt idx="29">
                  <c:v>5.3703703703703596</c:v>
                </c:pt>
                <c:pt idx="30">
                  <c:v>5.55555555555555</c:v>
                </c:pt>
                <c:pt idx="31">
                  <c:v>5.7407407407407298</c:v>
                </c:pt>
                <c:pt idx="32">
                  <c:v>5.9259259259259203</c:v>
                </c:pt>
                <c:pt idx="33">
                  <c:v>6.1111111111111001</c:v>
                </c:pt>
                <c:pt idx="34">
                  <c:v>6.2962962962962896</c:v>
                </c:pt>
                <c:pt idx="35">
                  <c:v>6.4814814814814703</c:v>
                </c:pt>
                <c:pt idx="36">
                  <c:v>6.6666666666666599</c:v>
                </c:pt>
                <c:pt idx="37">
                  <c:v>6.8518518518518396</c:v>
                </c:pt>
                <c:pt idx="38">
                  <c:v>7.0370370370370301</c:v>
                </c:pt>
                <c:pt idx="39">
                  <c:v>7.2222222222222099</c:v>
                </c:pt>
                <c:pt idx="40">
                  <c:v>7.4074074074074003</c:v>
                </c:pt>
                <c:pt idx="41">
                  <c:v>7.5925925925925899</c:v>
                </c:pt>
                <c:pt idx="42">
                  <c:v>7.7777777777777697</c:v>
                </c:pt>
                <c:pt idx="43">
                  <c:v>7.9629629629629504</c:v>
                </c:pt>
                <c:pt idx="44">
                  <c:v>8.1481481481481399</c:v>
                </c:pt>
                <c:pt idx="45">
                  <c:v>8.3333333333333304</c:v>
                </c:pt>
                <c:pt idx="46">
                  <c:v>8.5185185185185102</c:v>
                </c:pt>
                <c:pt idx="47">
                  <c:v>8.7037037037037006</c:v>
                </c:pt>
                <c:pt idx="48">
                  <c:v>8.8888888888888804</c:v>
                </c:pt>
                <c:pt idx="49">
                  <c:v>9.0740740740740709</c:v>
                </c:pt>
                <c:pt idx="50">
                  <c:v>9.2592592592592506</c:v>
                </c:pt>
                <c:pt idx="51">
                  <c:v>9.4444444444444393</c:v>
                </c:pt>
                <c:pt idx="52">
                  <c:v>9.6296296296296209</c:v>
                </c:pt>
                <c:pt idx="53">
                  <c:v>9.8148148148148096</c:v>
                </c:pt>
                <c:pt idx="54">
                  <c:v>9.9999999999999893</c:v>
                </c:pt>
                <c:pt idx="55">
                  <c:v>10.1851851851851</c:v>
                </c:pt>
                <c:pt idx="56">
                  <c:v>10.370370370370299</c:v>
                </c:pt>
                <c:pt idx="57">
                  <c:v>10.5555555555555</c:v>
                </c:pt>
                <c:pt idx="58">
                  <c:v>10.7407407407407</c:v>
                </c:pt>
                <c:pt idx="59">
                  <c:v>10.925925925925901</c:v>
                </c:pt>
                <c:pt idx="60">
                  <c:v>11.1111111111111</c:v>
                </c:pt>
                <c:pt idx="61">
                  <c:v>11.2962962962962</c:v>
                </c:pt>
                <c:pt idx="62">
                  <c:v>11.481481481481399</c:v>
                </c:pt>
                <c:pt idx="63">
                  <c:v>11.6666666666666</c:v>
                </c:pt>
                <c:pt idx="64">
                  <c:v>11.8518518518518</c:v>
                </c:pt>
                <c:pt idx="65">
                  <c:v>12.037037037037001</c:v>
                </c:pt>
                <c:pt idx="66">
                  <c:v>12.2222222222222</c:v>
                </c:pt>
                <c:pt idx="67">
                  <c:v>12.4074074074073</c:v>
                </c:pt>
                <c:pt idx="68">
                  <c:v>12.592592592592499</c:v>
                </c:pt>
                <c:pt idx="69">
                  <c:v>12.7777777777777</c:v>
                </c:pt>
                <c:pt idx="70">
                  <c:v>12.9629629629629</c:v>
                </c:pt>
                <c:pt idx="71">
                  <c:v>13.148148148148101</c:v>
                </c:pt>
                <c:pt idx="72">
                  <c:v>13.3333333333333</c:v>
                </c:pt>
                <c:pt idx="73">
                  <c:v>13.5185185185185</c:v>
                </c:pt>
                <c:pt idx="74">
                  <c:v>13.703703703703599</c:v>
                </c:pt>
                <c:pt idx="75">
                  <c:v>13.8888888888888</c:v>
                </c:pt>
                <c:pt idx="76">
                  <c:v>14.074074074074</c:v>
                </c:pt>
                <c:pt idx="77">
                  <c:v>14.259259259259199</c:v>
                </c:pt>
                <c:pt idx="78">
                  <c:v>14.4444444444444</c:v>
                </c:pt>
                <c:pt idx="79">
                  <c:v>14.6296296296296</c:v>
                </c:pt>
                <c:pt idx="80">
                  <c:v>14.814814814814801</c:v>
                </c:pt>
                <c:pt idx="81">
                  <c:v>14.999999999999901</c:v>
                </c:pt>
                <c:pt idx="82">
                  <c:v>15.1851851851851</c:v>
                </c:pt>
                <c:pt idx="83">
                  <c:v>15.370370370370299</c:v>
                </c:pt>
                <c:pt idx="84">
                  <c:v>15.5555555555555</c:v>
                </c:pt>
                <c:pt idx="85">
                  <c:v>15.7407407407407</c:v>
                </c:pt>
                <c:pt idx="86">
                  <c:v>15.925925925925901</c:v>
                </c:pt>
                <c:pt idx="87">
                  <c:v>16.1111111111111</c:v>
                </c:pt>
                <c:pt idx="88">
                  <c:v>16.296296296296202</c:v>
                </c:pt>
                <c:pt idx="89">
                  <c:v>16.481481481481399</c:v>
                </c:pt>
                <c:pt idx="90">
                  <c:v>16.6666666666666</c:v>
                </c:pt>
                <c:pt idx="91">
                  <c:v>16.851851851851801</c:v>
                </c:pt>
                <c:pt idx="92">
                  <c:v>17.037037037036999</c:v>
                </c:pt>
                <c:pt idx="93">
                  <c:v>17.2222222222222</c:v>
                </c:pt>
                <c:pt idx="94">
                  <c:v>17.407407407407302</c:v>
                </c:pt>
                <c:pt idx="95">
                  <c:v>17.592592592592499</c:v>
                </c:pt>
                <c:pt idx="96">
                  <c:v>17.7777777777777</c:v>
                </c:pt>
                <c:pt idx="97">
                  <c:v>17.962962962962902</c:v>
                </c:pt>
                <c:pt idx="98">
                  <c:v>18.148148148148099</c:v>
                </c:pt>
                <c:pt idx="99">
                  <c:v>18.3333333333333</c:v>
                </c:pt>
                <c:pt idx="100">
                  <c:v>18.518518518518501</c:v>
                </c:pt>
                <c:pt idx="101">
                  <c:v>18.703703703703599</c:v>
                </c:pt>
                <c:pt idx="102">
                  <c:v>18.8888888888888</c:v>
                </c:pt>
                <c:pt idx="103">
                  <c:v>19.074074074074002</c:v>
                </c:pt>
                <c:pt idx="104">
                  <c:v>19.259259259259199</c:v>
                </c:pt>
                <c:pt idx="105">
                  <c:v>19.4444444444444</c:v>
                </c:pt>
                <c:pt idx="106">
                  <c:v>19.629629629629601</c:v>
                </c:pt>
                <c:pt idx="107">
                  <c:v>19.814814814814799</c:v>
                </c:pt>
                <c:pt idx="108">
                  <c:v>19.999999999999901</c:v>
                </c:pt>
                <c:pt idx="109">
                  <c:v>20.185185185185102</c:v>
                </c:pt>
                <c:pt idx="110">
                  <c:v>20.370370370370299</c:v>
                </c:pt>
                <c:pt idx="111">
                  <c:v>20.5555555555555</c:v>
                </c:pt>
                <c:pt idx="112">
                  <c:v>20.740740740740701</c:v>
                </c:pt>
                <c:pt idx="113">
                  <c:v>20.925925925925899</c:v>
                </c:pt>
                <c:pt idx="114">
                  <c:v>21.111111111111001</c:v>
                </c:pt>
                <c:pt idx="115">
                  <c:v>21.296296296296202</c:v>
                </c:pt>
                <c:pt idx="116">
                  <c:v>21.481481481481399</c:v>
                </c:pt>
                <c:pt idx="117">
                  <c:v>21.6666666666666</c:v>
                </c:pt>
                <c:pt idx="118">
                  <c:v>21.851851851851801</c:v>
                </c:pt>
                <c:pt idx="119">
                  <c:v>22.037037037036999</c:v>
                </c:pt>
                <c:pt idx="120">
                  <c:v>22.2222222222222</c:v>
                </c:pt>
                <c:pt idx="121">
                  <c:v>22.407407407407302</c:v>
                </c:pt>
                <c:pt idx="122">
                  <c:v>22.592592592592499</c:v>
                </c:pt>
                <c:pt idx="123">
                  <c:v>22.7777777777777</c:v>
                </c:pt>
                <c:pt idx="124">
                  <c:v>22.962962962962902</c:v>
                </c:pt>
                <c:pt idx="125">
                  <c:v>23.148148148148099</c:v>
                </c:pt>
                <c:pt idx="126">
                  <c:v>23.3333333333333</c:v>
                </c:pt>
                <c:pt idx="127">
                  <c:v>23.518518518518501</c:v>
                </c:pt>
                <c:pt idx="128">
                  <c:v>23.703703703703599</c:v>
                </c:pt>
                <c:pt idx="129">
                  <c:v>23.8888888888888</c:v>
                </c:pt>
                <c:pt idx="130">
                  <c:v>24.074074074074002</c:v>
                </c:pt>
                <c:pt idx="131">
                  <c:v>24.259259259259199</c:v>
                </c:pt>
                <c:pt idx="132">
                  <c:v>24.4444444444444</c:v>
                </c:pt>
                <c:pt idx="133">
                  <c:v>24.629629629629601</c:v>
                </c:pt>
                <c:pt idx="134">
                  <c:v>24.814814814814799</c:v>
                </c:pt>
                <c:pt idx="135">
                  <c:v>24.999999999999901</c:v>
                </c:pt>
                <c:pt idx="136">
                  <c:v>25.185185185185102</c:v>
                </c:pt>
                <c:pt idx="137">
                  <c:v>25.370370370370299</c:v>
                </c:pt>
                <c:pt idx="138">
                  <c:v>25.5555555555555</c:v>
                </c:pt>
                <c:pt idx="139">
                  <c:v>25.740740740740701</c:v>
                </c:pt>
                <c:pt idx="140">
                  <c:v>25.925925925925899</c:v>
                </c:pt>
                <c:pt idx="141">
                  <c:v>26.1111111111111</c:v>
                </c:pt>
                <c:pt idx="142">
                  <c:v>26.296296296296202</c:v>
                </c:pt>
                <c:pt idx="143">
                  <c:v>26.481481481481399</c:v>
                </c:pt>
                <c:pt idx="144">
                  <c:v>26.6666666666666</c:v>
                </c:pt>
                <c:pt idx="145">
                  <c:v>26.851851851851801</c:v>
                </c:pt>
                <c:pt idx="146">
                  <c:v>27.037037037036999</c:v>
                </c:pt>
                <c:pt idx="147">
                  <c:v>27.2222222222222</c:v>
                </c:pt>
                <c:pt idx="148">
                  <c:v>27.407407407407302</c:v>
                </c:pt>
                <c:pt idx="149">
                  <c:v>27.592592592592499</c:v>
                </c:pt>
                <c:pt idx="150">
                  <c:v>27.7777777777777</c:v>
                </c:pt>
                <c:pt idx="151">
                  <c:v>27.962962962962902</c:v>
                </c:pt>
                <c:pt idx="152">
                  <c:v>28.148148148148099</c:v>
                </c:pt>
                <c:pt idx="153">
                  <c:v>28.3333333333333</c:v>
                </c:pt>
                <c:pt idx="154">
                  <c:v>28.518518518518501</c:v>
                </c:pt>
                <c:pt idx="155">
                  <c:v>28.703703703703599</c:v>
                </c:pt>
                <c:pt idx="156">
                  <c:v>28.8888888888888</c:v>
                </c:pt>
                <c:pt idx="157">
                  <c:v>29.074074074074002</c:v>
                </c:pt>
                <c:pt idx="158">
                  <c:v>29.259259259259199</c:v>
                </c:pt>
                <c:pt idx="159">
                  <c:v>29.4444444444444</c:v>
                </c:pt>
                <c:pt idx="160">
                  <c:v>29.629629629629601</c:v>
                </c:pt>
                <c:pt idx="161">
                  <c:v>29.814814814814799</c:v>
                </c:pt>
                <c:pt idx="162">
                  <c:v>29.999999999999901</c:v>
                </c:pt>
                <c:pt idx="163">
                  <c:v>30.185185185185102</c:v>
                </c:pt>
                <c:pt idx="164">
                  <c:v>30.370370370370299</c:v>
                </c:pt>
                <c:pt idx="165">
                  <c:v>30.5555555555555</c:v>
                </c:pt>
                <c:pt idx="166">
                  <c:v>30.740740740740701</c:v>
                </c:pt>
                <c:pt idx="167">
                  <c:v>30.925925925925899</c:v>
                </c:pt>
                <c:pt idx="168">
                  <c:v>31.111111111111001</c:v>
                </c:pt>
                <c:pt idx="169">
                  <c:v>31.296296296296202</c:v>
                </c:pt>
                <c:pt idx="170">
                  <c:v>31.481481481481399</c:v>
                </c:pt>
                <c:pt idx="171">
                  <c:v>31.6666666666666</c:v>
                </c:pt>
                <c:pt idx="172">
                  <c:v>31.851851851851801</c:v>
                </c:pt>
                <c:pt idx="173">
                  <c:v>32.037037037037003</c:v>
                </c:pt>
                <c:pt idx="174">
                  <c:v>32.2222222222222</c:v>
                </c:pt>
                <c:pt idx="175">
                  <c:v>32.407407407407298</c:v>
                </c:pt>
                <c:pt idx="176">
                  <c:v>32.592592592592503</c:v>
                </c:pt>
                <c:pt idx="177">
                  <c:v>32.7777777777777</c:v>
                </c:pt>
                <c:pt idx="178">
                  <c:v>32.962962962962898</c:v>
                </c:pt>
                <c:pt idx="179">
                  <c:v>33.148148148148103</c:v>
                </c:pt>
                <c:pt idx="180">
                  <c:v>33.3333333333333</c:v>
                </c:pt>
                <c:pt idx="181">
                  <c:v>33.518518518518498</c:v>
                </c:pt>
                <c:pt idx="182">
                  <c:v>33.703703703703603</c:v>
                </c:pt>
                <c:pt idx="183">
                  <c:v>33.8888888888888</c:v>
                </c:pt>
                <c:pt idx="184">
                  <c:v>34.074074074073998</c:v>
                </c:pt>
                <c:pt idx="185">
                  <c:v>34.259259259259203</c:v>
                </c:pt>
                <c:pt idx="186">
                  <c:v>34.4444444444444</c:v>
                </c:pt>
                <c:pt idx="187">
                  <c:v>34.629629629629598</c:v>
                </c:pt>
                <c:pt idx="188">
                  <c:v>34.814814814814703</c:v>
                </c:pt>
                <c:pt idx="189">
                  <c:v>34.999999999999901</c:v>
                </c:pt>
                <c:pt idx="190">
                  <c:v>35.185185185185098</c:v>
                </c:pt>
                <c:pt idx="191">
                  <c:v>35.370370370370303</c:v>
                </c:pt>
                <c:pt idx="192">
                  <c:v>35.5555555555555</c:v>
                </c:pt>
                <c:pt idx="193">
                  <c:v>35.740740740740698</c:v>
                </c:pt>
                <c:pt idx="194">
                  <c:v>35.925925925925903</c:v>
                </c:pt>
                <c:pt idx="195">
                  <c:v>36.111111111111001</c:v>
                </c:pt>
                <c:pt idx="196">
                  <c:v>36.296296296296198</c:v>
                </c:pt>
                <c:pt idx="197">
                  <c:v>36.481481481481403</c:v>
                </c:pt>
                <c:pt idx="198">
                  <c:v>36.6666666666666</c:v>
                </c:pt>
                <c:pt idx="199">
                  <c:v>36.851851851851798</c:v>
                </c:pt>
                <c:pt idx="200">
                  <c:v>37.037037037037003</c:v>
                </c:pt>
                <c:pt idx="201">
                  <c:v>37.2222222222222</c:v>
                </c:pt>
                <c:pt idx="202">
                  <c:v>37.407407407407298</c:v>
                </c:pt>
                <c:pt idx="203">
                  <c:v>37.592592592592503</c:v>
                </c:pt>
                <c:pt idx="204">
                  <c:v>37.7777777777777</c:v>
                </c:pt>
                <c:pt idx="205">
                  <c:v>37.962962962962898</c:v>
                </c:pt>
                <c:pt idx="206">
                  <c:v>38.148148148148103</c:v>
                </c:pt>
                <c:pt idx="207">
                  <c:v>38.3333333333333</c:v>
                </c:pt>
                <c:pt idx="208">
                  <c:v>38.518518518518498</c:v>
                </c:pt>
                <c:pt idx="209">
                  <c:v>38.703703703703603</c:v>
                </c:pt>
                <c:pt idx="210">
                  <c:v>38.8888888888888</c:v>
                </c:pt>
                <c:pt idx="211">
                  <c:v>39.074074074073998</c:v>
                </c:pt>
                <c:pt idx="212">
                  <c:v>39.259259259259203</c:v>
                </c:pt>
                <c:pt idx="213">
                  <c:v>39.4444444444444</c:v>
                </c:pt>
                <c:pt idx="214">
                  <c:v>39.629629629629598</c:v>
                </c:pt>
                <c:pt idx="215">
                  <c:v>39.814814814814802</c:v>
                </c:pt>
                <c:pt idx="216">
                  <c:v>39.999999999999901</c:v>
                </c:pt>
              </c:numCache>
            </c:numRef>
          </c:xVal>
          <c:yVal>
            <c:numRef>
              <c:f>'2.3.1'!$R$3:$R$219</c:f>
              <c:numCache>
                <c:formatCode>General</c:formatCode>
                <c:ptCount val="217"/>
                <c:pt idx="0">
                  <c:v>0</c:v>
                </c:pt>
                <c:pt idx="1">
                  <c:v>-2.2063054005366299E-3</c:v>
                </c:pt>
                <c:pt idx="2">
                  <c:v>-4.4126108010732598E-3</c:v>
                </c:pt>
                <c:pt idx="3">
                  <c:v>-6.6189162016098901E-3</c:v>
                </c:pt>
                <c:pt idx="4">
                  <c:v>-8.8252216021465196E-3</c:v>
                </c:pt>
                <c:pt idx="5">
                  <c:v>-1.10315270026831E-2</c:v>
                </c:pt>
                <c:pt idx="6">
                  <c:v>-1.32378324032197E-2</c:v>
                </c:pt>
                <c:pt idx="7">
                  <c:v>-1.54441378037564E-2</c:v>
                </c:pt>
                <c:pt idx="8">
                  <c:v>-1.7650443204293001E-2</c:v>
                </c:pt>
                <c:pt idx="9">
                  <c:v>-1.98567486048296E-2</c:v>
                </c:pt>
                <c:pt idx="10">
                  <c:v>-2.20630540053663E-2</c:v>
                </c:pt>
                <c:pt idx="11">
                  <c:v>-2.4269359405902899E-2</c:v>
                </c:pt>
                <c:pt idx="12">
                  <c:v>-2.6475664806439501E-2</c:v>
                </c:pt>
                <c:pt idx="13">
                  <c:v>-2.8681970206976201E-2</c:v>
                </c:pt>
                <c:pt idx="14">
                  <c:v>-3.08882756075128E-2</c:v>
                </c:pt>
                <c:pt idx="15">
                  <c:v>-3.3094581008049399E-2</c:v>
                </c:pt>
                <c:pt idx="16">
                  <c:v>-3.5300886408586099E-2</c:v>
                </c:pt>
                <c:pt idx="17">
                  <c:v>-3.7507191809122702E-2</c:v>
                </c:pt>
                <c:pt idx="18">
                  <c:v>-3.9713497209659297E-2</c:v>
                </c:pt>
                <c:pt idx="19">
                  <c:v>-4.1919802610195997E-2</c:v>
                </c:pt>
                <c:pt idx="20">
                  <c:v>-4.41261080107326E-2</c:v>
                </c:pt>
                <c:pt idx="21">
                  <c:v>-4.6332413411269202E-2</c:v>
                </c:pt>
                <c:pt idx="22">
                  <c:v>-4.8538718811805902E-2</c:v>
                </c:pt>
                <c:pt idx="23">
                  <c:v>-5.0745024212342497E-2</c:v>
                </c:pt>
                <c:pt idx="24">
                  <c:v>-5.29513296128791E-2</c:v>
                </c:pt>
                <c:pt idx="25">
                  <c:v>-5.51576350134158E-2</c:v>
                </c:pt>
                <c:pt idx="26">
                  <c:v>-5.7363940413952402E-2</c:v>
                </c:pt>
                <c:pt idx="27">
                  <c:v>-5.9570245814488998E-2</c:v>
                </c:pt>
                <c:pt idx="28">
                  <c:v>-6.1776551215025698E-2</c:v>
                </c:pt>
                <c:pt idx="29">
                  <c:v>-6.39828566155623E-2</c:v>
                </c:pt>
                <c:pt idx="30">
                  <c:v>-6.6189162016098896E-2</c:v>
                </c:pt>
                <c:pt idx="31">
                  <c:v>-6.8395467416635602E-2</c:v>
                </c:pt>
                <c:pt idx="32">
                  <c:v>-7.0601772817172198E-2</c:v>
                </c:pt>
                <c:pt idx="33">
                  <c:v>-7.2808078217708794E-2</c:v>
                </c:pt>
                <c:pt idx="34">
                  <c:v>-7.5014383618245403E-2</c:v>
                </c:pt>
                <c:pt idx="35">
                  <c:v>-7.7220689018781999E-2</c:v>
                </c:pt>
                <c:pt idx="36">
                  <c:v>-7.9426994419318594E-2</c:v>
                </c:pt>
                <c:pt idx="37">
                  <c:v>-8.1633299819855301E-2</c:v>
                </c:pt>
                <c:pt idx="38">
                  <c:v>-8.3839605220391897E-2</c:v>
                </c:pt>
                <c:pt idx="39">
                  <c:v>-8.6045910620928506E-2</c:v>
                </c:pt>
                <c:pt idx="40">
                  <c:v>-8.8252216021465102E-2</c:v>
                </c:pt>
                <c:pt idx="41">
                  <c:v>-9.0458521422001698E-2</c:v>
                </c:pt>
                <c:pt idx="42">
                  <c:v>-9.2664826822538293E-2</c:v>
                </c:pt>
                <c:pt idx="43">
                  <c:v>-9.4871132223074903E-2</c:v>
                </c:pt>
                <c:pt idx="44">
                  <c:v>-9.7077437623611595E-2</c:v>
                </c:pt>
                <c:pt idx="45">
                  <c:v>-9.9283743024148205E-2</c:v>
                </c:pt>
                <c:pt idx="46">
                  <c:v>-0.101490048424684</c:v>
                </c:pt>
                <c:pt idx="47">
                  <c:v>-0.10369635382522099</c:v>
                </c:pt>
                <c:pt idx="48">
                  <c:v>-0.10590265922575801</c:v>
                </c:pt>
                <c:pt idx="49">
                  <c:v>-0.10831552767296</c:v>
                </c:pt>
                <c:pt idx="50">
                  <c:v>-0.11062497555451201</c:v>
                </c:pt>
                <c:pt idx="51">
                  <c:v>-0.112831002870414</c:v>
                </c:pt>
                <c:pt idx="52">
                  <c:v>-0.114933609620666</c:v>
                </c:pt>
                <c:pt idx="53">
                  <c:v>-0.116932795805268</c:v>
                </c:pt>
                <c:pt idx="54">
                  <c:v>-0.11882856142421901</c:v>
                </c:pt>
                <c:pt idx="55">
                  <c:v>-0.12062090647752099</c:v>
                </c:pt>
                <c:pt idx="56">
                  <c:v>-0.12230983096517201</c:v>
                </c:pt>
                <c:pt idx="57">
                  <c:v>-0.12282693379342299</c:v>
                </c:pt>
                <c:pt idx="58">
                  <c:v>-0.122723513227774</c:v>
                </c:pt>
                <c:pt idx="59">
                  <c:v>-0.121999569268223</c:v>
                </c:pt>
                <c:pt idx="60">
                  <c:v>-0.12065510191477199</c:v>
                </c:pt>
                <c:pt idx="61">
                  <c:v>-0.11869011116742</c:v>
                </c:pt>
                <c:pt idx="62">
                  <c:v>-0.116104597026168</c:v>
                </c:pt>
                <c:pt idx="63">
                  <c:v>-0.112898559491014</c:v>
                </c:pt>
                <c:pt idx="64">
                  <c:v>-0.10907199856196</c:v>
                </c:pt>
                <c:pt idx="65">
                  <c:v>-0.104624914239005</c:v>
                </c:pt>
                <c:pt idx="66">
                  <c:v>-9.95573065221496E-2</c:v>
                </c:pt>
                <c:pt idx="67">
                  <c:v>-9.3869175411393099E-2</c:v>
                </c:pt>
                <c:pt idx="68">
                  <c:v>-8.75605209067358E-2</c:v>
                </c:pt>
                <c:pt idx="69">
                  <c:v>-8.0631343008177703E-2</c:v>
                </c:pt>
                <c:pt idx="70">
                  <c:v>-7.3081641715718806E-2</c:v>
                </c:pt>
                <c:pt idx="71">
                  <c:v>-6.4911417029359195E-2</c:v>
                </c:pt>
                <c:pt idx="72">
                  <c:v>-5.6120668949098798E-2</c:v>
                </c:pt>
                <c:pt idx="73">
                  <c:v>-4.6709397474937603E-2</c:v>
                </c:pt>
                <c:pt idx="74">
                  <c:v>-3.6677602606875699E-2</c:v>
                </c:pt>
                <c:pt idx="75">
                  <c:v>-2.6025284344913E-2</c:v>
                </c:pt>
                <c:pt idx="76">
                  <c:v>-1.4752442689049501E-2</c:v>
                </c:pt>
                <c:pt idx="77">
                  <c:v>-2.85907763928524E-3</c:v>
                </c:pt>
                <c:pt idx="78">
                  <c:v>9.65481080437979E-3</c:v>
                </c:pt>
                <c:pt idx="79">
                  <c:v>2.2789222641945599E-2</c:v>
                </c:pt>
                <c:pt idx="80">
                  <c:v>3.6544157873412197E-2</c:v>
                </c:pt>
                <c:pt idx="81">
                  <c:v>5.0919616498779401E-2</c:v>
                </c:pt>
                <c:pt idx="82">
                  <c:v>6.59155985180475E-2</c:v>
                </c:pt>
                <c:pt idx="83">
                  <c:v>8.1532103931216293E-2</c:v>
                </c:pt>
                <c:pt idx="84">
                  <c:v>9.7769132738285899E-2</c:v>
                </c:pt>
                <c:pt idx="85">
                  <c:v>0.114626684939256</c:v>
                </c:pt>
                <c:pt idx="86">
                  <c:v>0.13210476053412701</c:v>
                </c:pt>
                <c:pt idx="87">
                  <c:v>0.15020335952289901</c:v>
                </c:pt>
                <c:pt idx="88">
                  <c:v>0.16892248190557199</c:v>
                </c:pt>
                <c:pt idx="89">
                  <c:v>0.18826212768214501</c:v>
                </c:pt>
                <c:pt idx="90">
                  <c:v>0.208222296852619</c:v>
                </c:pt>
                <c:pt idx="91">
                  <c:v>0.22880298941699401</c:v>
                </c:pt>
                <c:pt idx="92">
                  <c:v>0.25000420537527002</c:v>
                </c:pt>
                <c:pt idx="93">
                  <c:v>0.27182594472744698</c:v>
                </c:pt>
                <c:pt idx="94">
                  <c:v>0.294268207473524</c:v>
                </c:pt>
                <c:pt idx="95">
                  <c:v>0.31733099361350198</c:v>
                </c:pt>
                <c:pt idx="96">
                  <c:v>0.34101430314738101</c:v>
                </c:pt>
                <c:pt idx="97">
                  <c:v>0.36531813607516</c:v>
                </c:pt>
                <c:pt idx="98">
                  <c:v>0.390242492396841</c:v>
                </c:pt>
                <c:pt idx="99">
                  <c:v>0.415787372112422</c:v>
                </c:pt>
                <c:pt idx="100">
                  <c:v>0.44195277522190402</c:v>
                </c:pt>
                <c:pt idx="101">
                  <c:v>0.46873870172528598</c:v>
                </c:pt>
                <c:pt idx="102">
                  <c:v>0.496145151622569</c:v>
                </c:pt>
                <c:pt idx="103">
                  <c:v>0.52417212491375298</c:v>
                </c:pt>
                <c:pt idx="104">
                  <c:v>0.55281962159883802</c:v>
                </c:pt>
                <c:pt idx="105">
                  <c:v>0.582500767771155</c:v>
                </c:pt>
                <c:pt idx="106">
                  <c:v>0.61259559620607296</c:v>
                </c:pt>
                <c:pt idx="107">
                  <c:v>0.64310410690359099</c:v>
                </c:pt>
                <c:pt idx="108">
                  <c:v>0.67402629986370999</c:v>
                </c:pt>
                <c:pt idx="109">
                  <c:v>0.70536217508642896</c:v>
                </c:pt>
                <c:pt idx="110">
                  <c:v>0.737111732571748</c:v>
                </c:pt>
                <c:pt idx="111">
                  <c:v>0.76927497231966802</c:v>
                </c:pt>
                <c:pt idx="112">
                  <c:v>0.801851894330189</c:v>
                </c:pt>
                <c:pt idx="113">
                  <c:v>0.83270569641581005</c:v>
                </c:pt>
                <c:pt idx="114">
                  <c:v>0.86293897510753004</c:v>
                </c:pt>
                <c:pt idx="115">
                  <c:v>0.89255173040534996</c:v>
                </c:pt>
                <c:pt idx="116">
                  <c:v>0.92154396230926905</c:v>
                </c:pt>
                <c:pt idx="117">
                  <c:v>0.94991567081928696</c:v>
                </c:pt>
                <c:pt idx="118">
                  <c:v>0.97766685593540403</c:v>
                </c:pt>
                <c:pt idx="119">
                  <c:v>1.00479751765762</c:v>
                </c:pt>
                <c:pt idx="120">
                  <c:v>1.03130765598593</c:v>
                </c:pt>
                <c:pt idx="121">
                  <c:v>1.0571972709203501</c:v>
                </c:pt>
                <c:pt idx="122">
                  <c:v>1.0824663624608599</c:v>
                </c:pt>
                <c:pt idx="123">
                  <c:v>1.1071149306074699</c:v>
                </c:pt>
                <c:pt idx="124">
                  <c:v>1.13114297536019</c:v>
                </c:pt>
                <c:pt idx="125">
                  <c:v>1.1545504967189999</c:v>
                </c:pt>
                <c:pt idx="126">
                  <c:v>1.1773374946839099</c:v>
                </c:pt>
                <c:pt idx="127">
                  <c:v>1.1995039692549201</c:v>
                </c:pt>
                <c:pt idx="128">
                  <c:v>1.22104992043203</c:v>
                </c:pt>
                <c:pt idx="129">
                  <c:v>1.24197534821524</c:v>
                </c:pt>
                <c:pt idx="130">
                  <c:v>1.26228025260455</c:v>
                </c:pt>
                <c:pt idx="131">
                  <c:v>1.2819646335999499</c:v>
                </c:pt>
                <c:pt idx="132">
                  <c:v>1.30102849120146</c:v>
                </c:pt>
                <c:pt idx="133">
                  <c:v>1.31947182540907</c:v>
                </c:pt>
                <c:pt idx="134">
                  <c:v>1.33729463622277</c:v>
                </c:pt>
                <c:pt idx="135">
                  <c:v>1.3544969236425699</c:v>
                </c:pt>
                <c:pt idx="136">
                  <c:v>1.37107868766848</c:v>
                </c:pt>
                <c:pt idx="137">
                  <c:v>1.38703992830048</c:v>
                </c:pt>
                <c:pt idx="138">
                  <c:v>1.4023806455385801</c:v>
                </c:pt>
                <c:pt idx="139">
                  <c:v>1.41710083938278</c:v>
                </c:pt>
                <c:pt idx="140">
                  <c:v>1.43120050983308</c:v>
                </c:pt>
                <c:pt idx="141">
                  <c:v>1.44467965688948</c:v>
                </c:pt>
                <c:pt idx="142">
                  <c:v>1.4575382805519801</c:v>
                </c:pt>
                <c:pt idx="143">
                  <c:v>1.4697763808205799</c:v>
                </c:pt>
                <c:pt idx="144">
                  <c:v>1.4813939576952799</c:v>
                </c:pt>
                <c:pt idx="145">
                  <c:v>1.4923910111760701</c:v>
                </c:pt>
                <c:pt idx="146">
                  <c:v>1.50276754126297</c:v>
                </c:pt>
                <c:pt idx="147">
                  <c:v>1.51252354795596</c:v>
                </c:pt>
                <c:pt idx="148">
                  <c:v>1.52165903125506</c:v>
                </c:pt>
                <c:pt idx="149">
                  <c:v>1.5301739911602501</c:v>
                </c:pt>
                <c:pt idx="150">
                  <c:v>1.53806842767154</c:v>
                </c:pt>
                <c:pt idx="151">
                  <c:v>1.54534234078893</c:v>
                </c:pt>
                <c:pt idx="152">
                  <c:v>1.5519957305124199</c:v>
                </c:pt>
                <c:pt idx="153">
                  <c:v>1.55802859684201</c:v>
                </c:pt>
                <c:pt idx="154">
                  <c:v>1.5634409397777</c:v>
                </c:pt>
                <c:pt idx="155">
                  <c:v>1.56823275931949</c:v>
                </c:pt>
                <c:pt idx="156">
                  <c:v>1.5724040554673799</c:v>
                </c:pt>
                <c:pt idx="157">
                  <c:v>1.57595482822137</c:v>
                </c:pt>
                <c:pt idx="158">
                  <c:v>1.57888507758145</c:v>
                </c:pt>
                <c:pt idx="159">
                  <c:v>1.58119480354764</c:v>
                </c:pt>
                <c:pt idx="160">
                  <c:v>1.5828840061199201</c:v>
                </c:pt>
                <c:pt idx="161">
                  <c:v>1.5834013870328101</c:v>
                </c:pt>
                <c:pt idx="162">
                  <c:v>1.58381534738004</c:v>
                </c:pt>
                <c:pt idx="163">
                  <c:v>1.5841258871616199</c:v>
                </c:pt>
                <c:pt idx="164">
                  <c:v>1.58433300637756</c:v>
                </c:pt>
                <c:pt idx="165">
                  <c:v>1.5844367050278401</c:v>
                </c:pt>
                <c:pt idx="166">
                  <c:v>1.58443698311248</c:v>
                </c:pt>
                <c:pt idx="167">
                  <c:v>1.58433384063146</c:v>
                </c:pt>
                <c:pt idx="168">
                  <c:v>1.5841272775847901</c:v>
                </c:pt>
                <c:pt idx="169">
                  <c:v>1.5841272775847901</c:v>
                </c:pt>
                <c:pt idx="170">
                  <c:v>1.5841272775847901</c:v>
                </c:pt>
                <c:pt idx="171">
                  <c:v>1.5841272775847901</c:v>
                </c:pt>
                <c:pt idx="172">
                  <c:v>1.5841272775847901</c:v>
                </c:pt>
                <c:pt idx="173">
                  <c:v>1.5841272775847901</c:v>
                </c:pt>
                <c:pt idx="174">
                  <c:v>1.5841272775847799</c:v>
                </c:pt>
                <c:pt idx="175">
                  <c:v>1.5841272775847799</c:v>
                </c:pt>
                <c:pt idx="176">
                  <c:v>1.5841272775847799</c:v>
                </c:pt>
                <c:pt idx="177">
                  <c:v>1.5841272775847799</c:v>
                </c:pt>
                <c:pt idx="178">
                  <c:v>1.5841272775847799</c:v>
                </c:pt>
                <c:pt idx="179">
                  <c:v>1.5841272775847799</c:v>
                </c:pt>
                <c:pt idx="180">
                  <c:v>1.5841272775847799</c:v>
                </c:pt>
                <c:pt idx="181">
                  <c:v>1.5841272775847799</c:v>
                </c:pt>
                <c:pt idx="182">
                  <c:v>1.5841272775847799</c:v>
                </c:pt>
                <c:pt idx="183">
                  <c:v>1.5841272775847799</c:v>
                </c:pt>
                <c:pt idx="184">
                  <c:v>1.5841272775847699</c:v>
                </c:pt>
                <c:pt idx="185">
                  <c:v>1.5841272775847699</c:v>
                </c:pt>
                <c:pt idx="186">
                  <c:v>1.5841272775847699</c:v>
                </c:pt>
                <c:pt idx="187">
                  <c:v>1.5841272775847699</c:v>
                </c:pt>
                <c:pt idx="188">
                  <c:v>1.5841272775847699</c:v>
                </c:pt>
                <c:pt idx="189">
                  <c:v>1.5841272775847699</c:v>
                </c:pt>
                <c:pt idx="190">
                  <c:v>1.5841272775847699</c:v>
                </c:pt>
                <c:pt idx="191">
                  <c:v>1.5841272775847699</c:v>
                </c:pt>
                <c:pt idx="192">
                  <c:v>1.5841272775847699</c:v>
                </c:pt>
                <c:pt idx="193">
                  <c:v>1.5841272775847699</c:v>
                </c:pt>
                <c:pt idx="194">
                  <c:v>1.5841272775847699</c:v>
                </c:pt>
                <c:pt idx="195">
                  <c:v>1.5841272775847699</c:v>
                </c:pt>
                <c:pt idx="196">
                  <c:v>1.5841272775847699</c:v>
                </c:pt>
                <c:pt idx="197">
                  <c:v>1.5841272775847699</c:v>
                </c:pt>
                <c:pt idx="198">
                  <c:v>1.5841272775847699</c:v>
                </c:pt>
                <c:pt idx="199">
                  <c:v>1.5841272775847599</c:v>
                </c:pt>
                <c:pt idx="200">
                  <c:v>1.5841272775847599</c:v>
                </c:pt>
                <c:pt idx="201">
                  <c:v>1.5841272775847599</c:v>
                </c:pt>
                <c:pt idx="202">
                  <c:v>1.5841272775847599</c:v>
                </c:pt>
                <c:pt idx="203">
                  <c:v>1.5841272775847599</c:v>
                </c:pt>
                <c:pt idx="204">
                  <c:v>1.5841272775847599</c:v>
                </c:pt>
                <c:pt idx="205">
                  <c:v>1.5841272775847599</c:v>
                </c:pt>
                <c:pt idx="206">
                  <c:v>1.5841272775847599</c:v>
                </c:pt>
                <c:pt idx="207">
                  <c:v>1.5841272775847599</c:v>
                </c:pt>
                <c:pt idx="208">
                  <c:v>1.5841272775847599</c:v>
                </c:pt>
                <c:pt idx="209">
                  <c:v>1.5841272775847599</c:v>
                </c:pt>
                <c:pt idx="210">
                  <c:v>1.5841272775847599</c:v>
                </c:pt>
                <c:pt idx="211">
                  <c:v>1.5841272775847599</c:v>
                </c:pt>
                <c:pt idx="212">
                  <c:v>1.5841272775847599</c:v>
                </c:pt>
                <c:pt idx="213">
                  <c:v>1.5841272775847599</c:v>
                </c:pt>
                <c:pt idx="214">
                  <c:v>1.5841272775847599</c:v>
                </c:pt>
                <c:pt idx="215">
                  <c:v>1.5841272775847599</c:v>
                </c:pt>
                <c:pt idx="216">
                  <c:v>1.5841272775847599</c:v>
                </c:pt>
              </c:numCache>
            </c:numRef>
          </c:yVal>
          <c:smooth val="1"/>
          <c:extLst>
            <c:ext xmlns:c16="http://schemas.microsoft.com/office/drawing/2014/chart" uri="{C3380CC4-5D6E-409C-BE32-E72D297353CC}">
              <c16:uniqueId val="{00000001-FF52-422D-B2CB-75DFDB23A5C9}"/>
            </c:ext>
          </c:extLst>
        </c:ser>
        <c:ser>
          <c:idx val="2"/>
          <c:order val="2"/>
          <c:tx>
            <c:v>Normal</c:v>
          </c:tx>
          <c:spPr>
            <a:ln w="19050" cap="rnd">
              <a:solidFill>
                <a:schemeClr val="accent3"/>
              </a:solidFill>
              <a:round/>
            </a:ln>
            <a:effectLst/>
          </c:spPr>
          <c:marker>
            <c:symbol val="none"/>
          </c:marker>
          <c:xVal>
            <c:numRef>
              <c:f>'2.3.1'!$T$3:$T$138</c:f>
              <c:numCache>
                <c:formatCode>General</c:formatCode>
                <c:ptCount val="136"/>
                <c:pt idx="0">
                  <c:v>0</c:v>
                </c:pt>
                <c:pt idx="1">
                  <c:v>0.296296296296296</c:v>
                </c:pt>
                <c:pt idx="2">
                  <c:v>0.592592592592592</c:v>
                </c:pt>
                <c:pt idx="3">
                  <c:v>0.88888888888888795</c:v>
                </c:pt>
                <c:pt idx="4">
                  <c:v>1.18518518518518</c:v>
                </c:pt>
                <c:pt idx="5">
                  <c:v>1.4814814814814801</c:v>
                </c:pt>
                <c:pt idx="6">
                  <c:v>1.7777777777777699</c:v>
                </c:pt>
                <c:pt idx="7">
                  <c:v>2.07407407407407</c:v>
                </c:pt>
                <c:pt idx="8">
                  <c:v>2.37037037037036</c:v>
                </c:pt>
                <c:pt idx="9">
                  <c:v>2.6666666666666599</c:v>
                </c:pt>
                <c:pt idx="10">
                  <c:v>2.9629629629629601</c:v>
                </c:pt>
                <c:pt idx="11">
                  <c:v>3.2592592592592502</c:v>
                </c:pt>
                <c:pt idx="12">
                  <c:v>3.55555555555555</c:v>
                </c:pt>
                <c:pt idx="13">
                  <c:v>3.8518518518518401</c:v>
                </c:pt>
                <c:pt idx="14">
                  <c:v>4.1481481481481399</c:v>
                </c:pt>
                <c:pt idx="15">
                  <c:v>4.4444444444444402</c:v>
                </c:pt>
                <c:pt idx="16">
                  <c:v>4.7407407407407298</c:v>
                </c:pt>
                <c:pt idx="17">
                  <c:v>5.0370370370370301</c:v>
                </c:pt>
                <c:pt idx="18">
                  <c:v>5.3333333333333304</c:v>
                </c:pt>
                <c:pt idx="19">
                  <c:v>5.62962962962962</c:v>
                </c:pt>
                <c:pt idx="20">
                  <c:v>5.9259259259259203</c:v>
                </c:pt>
                <c:pt idx="21">
                  <c:v>6.2222222222222099</c:v>
                </c:pt>
                <c:pt idx="22">
                  <c:v>6.5185185185185102</c:v>
                </c:pt>
                <c:pt idx="23">
                  <c:v>6.8148148148148104</c:v>
                </c:pt>
                <c:pt idx="24">
                  <c:v>7.1111111111111001</c:v>
                </c:pt>
                <c:pt idx="25">
                  <c:v>7.4074074074074003</c:v>
                </c:pt>
                <c:pt idx="26">
                  <c:v>7.7037037037036997</c:v>
                </c:pt>
                <c:pt idx="27">
                  <c:v>7.9999999999999902</c:v>
                </c:pt>
                <c:pt idx="28">
                  <c:v>8.2962962962962905</c:v>
                </c:pt>
                <c:pt idx="29">
                  <c:v>8.5925925925925792</c:v>
                </c:pt>
                <c:pt idx="30">
                  <c:v>8.8888888888888804</c:v>
                </c:pt>
                <c:pt idx="31">
                  <c:v>9.1851851851851798</c:v>
                </c:pt>
                <c:pt idx="32">
                  <c:v>9.4814814814814703</c:v>
                </c:pt>
                <c:pt idx="33">
                  <c:v>9.7777777777777697</c:v>
                </c:pt>
                <c:pt idx="34">
                  <c:v>10.074074074074</c:v>
                </c:pt>
                <c:pt idx="35">
                  <c:v>10.370370370370299</c:v>
                </c:pt>
                <c:pt idx="36">
                  <c:v>10.6666666666666</c:v>
                </c:pt>
                <c:pt idx="37">
                  <c:v>10.9629629629629</c:v>
                </c:pt>
                <c:pt idx="38">
                  <c:v>11.259259259259199</c:v>
                </c:pt>
                <c:pt idx="39">
                  <c:v>11.5555555555555</c:v>
                </c:pt>
                <c:pt idx="40">
                  <c:v>11.8518518518518</c:v>
                </c:pt>
                <c:pt idx="41">
                  <c:v>12.148148148148101</c:v>
                </c:pt>
                <c:pt idx="42">
                  <c:v>12.4444444444444</c:v>
                </c:pt>
                <c:pt idx="43">
                  <c:v>12.7407407407407</c:v>
                </c:pt>
                <c:pt idx="44">
                  <c:v>13.037037037037001</c:v>
                </c:pt>
                <c:pt idx="45">
                  <c:v>13.3333333333333</c:v>
                </c:pt>
                <c:pt idx="46">
                  <c:v>13.6296296296296</c:v>
                </c:pt>
                <c:pt idx="47">
                  <c:v>13.925925925925901</c:v>
                </c:pt>
                <c:pt idx="48">
                  <c:v>14.2222222222222</c:v>
                </c:pt>
                <c:pt idx="49">
                  <c:v>14.5185185185185</c:v>
                </c:pt>
                <c:pt idx="50">
                  <c:v>14.814814814814801</c:v>
                </c:pt>
                <c:pt idx="51">
                  <c:v>15.1111111111111</c:v>
                </c:pt>
                <c:pt idx="52">
                  <c:v>15.4074074074073</c:v>
                </c:pt>
                <c:pt idx="53">
                  <c:v>15.703703703703599</c:v>
                </c:pt>
                <c:pt idx="54">
                  <c:v>15.999999999999901</c:v>
                </c:pt>
                <c:pt idx="55">
                  <c:v>16.296296296296202</c:v>
                </c:pt>
                <c:pt idx="56">
                  <c:v>16.592592592592499</c:v>
                </c:pt>
                <c:pt idx="57">
                  <c:v>16.8888888888888</c:v>
                </c:pt>
                <c:pt idx="58">
                  <c:v>17.185185185185102</c:v>
                </c:pt>
                <c:pt idx="59">
                  <c:v>17.481481481481399</c:v>
                </c:pt>
                <c:pt idx="60">
                  <c:v>17.7777777777777</c:v>
                </c:pt>
                <c:pt idx="61">
                  <c:v>18.074074074074002</c:v>
                </c:pt>
                <c:pt idx="62">
                  <c:v>18.370370370370299</c:v>
                </c:pt>
                <c:pt idx="63">
                  <c:v>18.6666666666666</c:v>
                </c:pt>
                <c:pt idx="64">
                  <c:v>18.962962962962902</c:v>
                </c:pt>
                <c:pt idx="65">
                  <c:v>19.259259259259199</c:v>
                </c:pt>
                <c:pt idx="66">
                  <c:v>19.5555555555555</c:v>
                </c:pt>
                <c:pt idx="67">
                  <c:v>19.851851851851801</c:v>
                </c:pt>
                <c:pt idx="68">
                  <c:v>20.148148148148099</c:v>
                </c:pt>
                <c:pt idx="69">
                  <c:v>20.4444444444444</c:v>
                </c:pt>
                <c:pt idx="70">
                  <c:v>20.740740740740701</c:v>
                </c:pt>
                <c:pt idx="71">
                  <c:v>21.037037037036999</c:v>
                </c:pt>
                <c:pt idx="72">
                  <c:v>21.3333333333333</c:v>
                </c:pt>
                <c:pt idx="73">
                  <c:v>21.629629629629601</c:v>
                </c:pt>
                <c:pt idx="74">
                  <c:v>21.925925925925899</c:v>
                </c:pt>
                <c:pt idx="75">
                  <c:v>22.2222222222222</c:v>
                </c:pt>
                <c:pt idx="76">
                  <c:v>22.518518518518501</c:v>
                </c:pt>
                <c:pt idx="77">
                  <c:v>22.814814814814799</c:v>
                </c:pt>
                <c:pt idx="78">
                  <c:v>23.111111111111001</c:v>
                </c:pt>
                <c:pt idx="79">
                  <c:v>23.407407407407302</c:v>
                </c:pt>
                <c:pt idx="80">
                  <c:v>23.703703703703599</c:v>
                </c:pt>
                <c:pt idx="81">
                  <c:v>23.999999999999901</c:v>
                </c:pt>
                <c:pt idx="82">
                  <c:v>24.296296296296202</c:v>
                </c:pt>
                <c:pt idx="83">
                  <c:v>24.592592592592499</c:v>
                </c:pt>
                <c:pt idx="84">
                  <c:v>24.8888888888888</c:v>
                </c:pt>
                <c:pt idx="85">
                  <c:v>25.185185185185102</c:v>
                </c:pt>
                <c:pt idx="86">
                  <c:v>25.481481481481399</c:v>
                </c:pt>
                <c:pt idx="87">
                  <c:v>25.7777777777777</c:v>
                </c:pt>
                <c:pt idx="88">
                  <c:v>26.074074074074002</c:v>
                </c:pt>
                <c:pt idx="89">
                  <c:v>26.370370370370299</c:v>
                </c:pt>
                <c:pt idx="90">
                  <c:v>26.6666666666666</c:v>
                </c:pt>
                <c:pt idx="91">
                  <c:v>26.962962962962902</c:v>
                </c:pt>
                <c:pt idx="92">
                  <c:v>27.259259259259199</c:v>
                </c:pt>
                <c:pt idx="93">
                  <c:v>27.5555555555555</c:v>
                </c:pt>
                <c:pt idx="94">
                  <c:v>27.851851851851801</c:v>
                </c:pt>
                <c:pt idx="95">
                  <c:v>28.148148148148099</c:v>
                </c:pt>
                <c:pt idx="96">
                  <c:v>28.4444444444444</c:v>
                </c:pt>
                <c:pt idx="97">
                  <c:v>28.740740740740701</c:v>
                </c:pt>
                <c:pt idx="98">
                  <c:v>29.037037037036999</c:v>
                </c:pt>
                <c:pt idx="99">
                  <c:v>29.3333333333333</c:v>
                </c:pt>
                <c:pt idx="100">
                  <c:v>29.629629629629601</c:v>
                </c:pt>
                <c:pt idx="101">
                  <c:v>29.925925925925899</c:v>
                </c:pt>
                <c:pt idx="102">
                  <c:v>30.2222222222222</c:v>
                </c:pt>
                <c:pt idx="103">
                  <c:v>30.518518518518501</c:v>
                </c:pt>
                <c:pt idx="104">
                  <c:v>30.814814814814799</c:v>
                </c:pt>
                <c:pt idx="105">
                  <c:v>31.111111111111001</c:v>
                </c:pt>
                <c:pt idx="106">
                  <c:v>31.407407407407302</c:v>
                </c:pt>
                <c:pt idx="107">
                  <c:v>31.703703703703599</c:v>
                </c:pt>
                <c:pt idx="108">
                  <c:v>31.999999999999901</c:v>
                </c:pt>
                <c:pt idx="109">
                  <c:v>32.296296296296198</c:v>
                </c:pt>
                <c:pt idx="110">
                  <c:v>32.592592592592503</c:v>
                </c:pt>
                <c:pt idx="111">
                  <c:v>32.8888888888888</c:v>
                </c:pt>
                <c:pt idx="112">
                  <c:v>33.185185185185098</c:v>
                </c:pt>
                <c:pt idx="113">
                  <c:v>33.481481481481403</c:v>
                </c:pt>
                <c:pt idx="114">
                  <c:v>33.7777777777777</c:v>
                </c:pt>
                <c:pt idx="115">
                  <c:v>34.074074074073998</c:v>
                </c:pt>
                <c:pt idx="116">
                  <c:v>34.370370370370303</c:v>
                </c:pt>
                <c:pt idx="117">
                  <c:v>34.6666666666666</c:v>
                </c:pt>
                <c:pt idx="118">
                  <c:v>34.962962962962898</c:v>
                </c:pt>
                <c:pt idx="119">
                  <c:v>35.259259259259203</c:v>
                </c:pt>
                <c:pt idx="120">
                  <c:v>35.5555555555555</c:v>
                </c:pt>
                <c:pt idx="121">
                  <c:v>35.851851851851798</c:v>
                </c:pt>
                <c:pt idx="122">
                  <c:v>36.148148148148103</c:v>
                </c:pt>
                <c:pt idx="123">
                  <c:v>36.4444444444444</c:v>
                </c:pt>
                <c:pt idx="124">
                  <c:v>36.740740740740698</c:v>
                </c:pt>
                <c:pt idx="125">
                  <c:v>37.037037037037003</c:v>
                </c:pt>
                <c:pt idx="126">
                  <c:v>37.3333333333333</c:v>
                </c:pt>
                <c:pt idx="127">
                  <c:v>37.629629629629598</c:v>
                </c:pt>
                <c:pt idx="128">
                  <c:v>37.925925925925903</c:v>
                </c:pt>
                <c:pt idx="129">
                  <c:v>38.2222222222222</c:v>
                </c:pt>
                <c:pt idx="130">
                  <c:v>38.518518518518498</c:v>
                </c:pt>
                <c:pt idx="131">
                  <c:v>38.814814814814802</c:v>
                </c:pt>
                <c:pt idx="132">
                  <c:v>39.111111111111001</c:v>
                </c:pt>
                <c:pt idx="133">
                  <c:v>39.407407407407398</c:v>
                </c:pt>
                <c:pt idx="134">
                  <c:v>39.703703703703603</c:v>
                </c:pt>
                <c:pt idx="135">
                  <c:v>39.999999999999901</c:v>
                </c:pt>
              </c:numCache>
            </c:numRef>
          </c:xVal>
          <c:yVal>
            <c:numRef>
              <c:f>'2.3.1'!$U$3:$U$138</c:f>
              <c:numCache>
                <c:formatCode>General</c:formatCode>
                <c:ptCount val="136"/>
                <c:pt idx="0">
                  <c:v>0</c:v>
                </c:pt>
                <c:pt idx="1">
                  <c:v>-6.3541595535442303E-3</c:v>
                </c:pt>
                <c:pt idx="2">
                  <c:v>-1.27083191070884E-2</c:v>
                </c:pt>
                <c:pt idx="3">
                  <c:v>-1.9062478660632699E-2</c:v>
                </c:pt>
                <c:pt idx="4">
                  <c:v>-2.54166382141769E-2</c:v>
                </c:pt>
                <c:pt idx="5">
                  <c:v>-3.1770797767721098E-2</c:v>
                </c:pt>
                <c:pt idx="6">
                  <c:v>-3.8124957321265397E-2</c:v>
                </c:pt>
                <c:pt idx="7">
                  <c:v>-4.4479116874809599E-2</c:v>
                </c:pt>
                <c:pt idx="8">
                  <c:v>-5.0833276428353801E-2</c:v>
                </c:pt>
                <c:pt idx="9">
                  <c:v>-5.7187435981898099E-2</c:v>
                </c:pt>
                <c:pt idx="10">
                  <c:v>-6.3541595535442294E-2</c:v>
                </c:pt>
                <c:pt idx="11">
                  <c:v>-6.98957550889866E-2</c:v>
                </c:pt>
                <c:pt idx="12">
                  <c:v>-7.6249914642530794E-2</c:v>
                </c:pt>
                <c:pt idx="13">
                  <c:v>-8.2604074196075003E-2</c:v>
                </c:pt>
                <c:pt idx="14">
                  <c:v>-8.8958233749619295E-2</c:v>
                </c:pt>
                <c:pt idx="15">
                  <c:v>-9.5312393303163503E-2</c:v>
                </c:pt>
                <c:pt idx="16">
                  <c:v>-0.101666552856707</c:v>
                </c:pt>
                <c:pt idx="17">
                  <c:v>-0.108020712410252</c:v>
                </c:pt>
                <c:pt idx="18">
                  <c:v>-0.114374871963796</c:v>
                </c:pt>
                <c:pt idx="19">
                  <c:v>-0.12072903151734</c:v>
                </c:pt>
                <c:pt idx="20">
                  <c:v>-0.12708319107088401</c:v>
                </c:pt>
                <c:pt idx="21">
                  <c:v>-0.13343735062442899</c:v>
                </c:pt>
                <c:pt idx="22">
                  <c:v>-0.13979151017797301</c:v>
                </c:pt>
                <c:pt idx="23">
                  <c:v>-0.14614566973151699</c:v>
                </c:pt>
                <c:pt idx="24">
                  <c:v>-0.15249982928506101</c:v>
                </c:pt>
                <c:pt idx="25">
                  <c:v>-0.15885398883860599</c:v>
                </c:pt>
                <c:pt idx="26">
                  <c:v>-0.16520814839215001</c:v>
                </c:pt>
                <c:pt idx="27">
                  <c:v>-0.17156230794569399</c:v>
                </c:pt>
                <c:pt idx="28">
                  <c:v>-0.17852791636413901</c:v>
                </c:pt>
                <c:pt idx="29">
                  <c:v>-0.18522876813451999</c:v>
                </c:pt>
                <c:pt idx="30">
                  <c:v>-0.19166486325683699</c:v>
                </c:pt>
                <c:pt idx="31">
                  <c:v>-0.19783620173109001</c:v>
                </c:pt>
                <c:pt idx="32">
                  <c:v>-0.20374278355727801</c:v>
                </c:pt>
                <c:pt idx="33">
                  <c:v>-0.20938460873540099</c:v>
                </c:pt>
                <c:pt idx="34">
                  <c:v>-0.214761677265461</c:v>
                </c:pt>
                <c:pt idx="35">
                  <c:v>-0.21987398914745601</c:v>
                </c:pt>
                <c:pt idx="36">
                  <c:v>-0.224721544381386</c:v>
                </c:pt>
                <c:pt idx="37">
                  <c:v>-0.226310084269773</c:v>
                </c:pt>
                <c:pt idx="38">
                  <c:v>-0.226310084269773</c:v>
                </c:pt>
                <c:pt idx="39">
                  <c:v>-0.224721544381387</c:v>
                </c:pt>
                <c:pt idx="40">
                  <c:v>-0.22154446460461599</c:v>
                </c:pt>
                <c:pt idx="41">
                  <c:v>-0.21677884493945801</c:v>
                </c:pt>
                <c:pt idx="42">
                  <c:v>-0.21042468538591499</c:v>
                </c:pt>
                <c:pt idx="43">
                  <c:v>-0.202481985943985</c:v>
                </c:pt>
                <c:pt idx="44">
                  <c:v>-0.19295074661367001</c:v>
                </c:pt>
                <c:pt idx="45">
                  <c:v>-0.18183096739496801</c:v>
                </c:pt>
                <c:pt idx="46">
                  <c:v>-0.16912264828788101</c:v>
                </c:pt>
                <c:pt idx="47">
                  <c:v>-0.15482578929240801</c:v>
                </c:pt>
                <c:pt idx="48">
                  <c:v>-0.138940390408548</c:v>
                </c:pt>
                <c:pt idx="49">
                  <c:v>-0.121466451636303</c:v>
                </c:pt>
                <c:pt idx="50">
                  <c:v>-0.102403972975672</c:v>
                </c:pt>
                <c:pt idx="51">
                  <c:v>-8.1752954426654895E-2</c:v>
                </c:pt>
                <c:pt idx="52">
                  <c:v>-5.9513395989251698E-2</c:v>
                </c:pt>
                <c:pt idx="53">
                  <c:v>-3.5685297663462699E-2</c:v>
                </c:pt>
                <c:pt idx="54">
                  <c:v>-1.0268659449287501E-2</c:v>
                </c:pt>
                <c:pt idx="55">
                  <c:v>1.67365186532735E-2</c:v>
                </c:pt>
                <c:pt idx="56">
                  <c:v>4.5330236644220603E-2</c:v>
                </c:pt>
                <c:pt idx="57">
                  <c:v>7.55124945235537E-2</c:v>
                </c:pt>
                <c:pt idx="58">
                  <c:v>0.10728329229127199</c:v>
                </c:pt>
                <c:pt idx="59">
                  <c:v>0.140642629947377</c:v>
                </c:pt>
                <c:pt idx="60">
                  <c:v>0.175590507491868</c:v>
                </c:pt>
                <c:pt idx="61">
                  <c:v>0.212126924924745</c:v>
                </c:pt>
                <c:pt idx="62">
                  <c:v>0.25025188224600797</c:v>
                </c:pt>
                <c:pt idx="63">
                  <c:v>0.28996537945565698</c:v>
                </c:pt>
                <c:pt idx="64">
                  <c:v>0.33249031428349402</c:v>
                </c:pt>
                <c:pt idx="65">
                  <c:v>0.37607427570358798</c:v>
                </c:pt>
                <c:pt idx="66">
                  <c:v>0.42071726371593998</c:v>
                </c:pt>
                <c:pt idx="67">
                  <c:v>0.46641927832054902</c:v>
                </c:pt>
                <c:pt idx="68">
                  <c:v>0.51318031951741505</c:v>
                </c:pt>
                <c:pt idx="69">
                  <c:v>0.56100038730653901</c:v>
                </c:pt>
                <c:pt idx="70">
                  <c:v>0.60987948168792006</c:v>
                </c:pt>
                <c:pt idx="71">
                  <c:v>0.65981760266155798</c:v>
                </c:pt>
                <c:pt idx="72">
                  <c:v>0.710814750227453</c:v>
                </c:pt>
                <c:pt idx="73">
                  <c:v>0.75688240699064602</c:v>
                </c:pt>
                <c:pt idx="74">
                  <c:v>0.80136152386545301</c:v>
                </c:pt>
                <c:pt idx="75">
                  <c:v>0.84425210085187297</c:v>
                </c:pt>
                <c:pt idx="76">
                  <c:v>0.885554137949908</c:v>
                </c:pt>
                <c:pt idx="77">
                  <c:v>0.92526763515955701</c:v>
                </c:pt>
                <c:pt idx="78">
                  <c:v>0.96339259248081999</c:v>
                </c:pt>
                <c:pt idx="79">
                  <c:v>0.99992900991369604</c:v>
                </c:pt>
                <c:pt idx="80">
                  <c:v>1.03487688745818</c:v>
                </c:pt>
                <c:pt idx="81">
                  <c:v>1.0682362251142901</c:v>
                </c:pt>
                <c:pt idx="82">
                  <c:v>1.10000702288201</c:v>
                </c:pt>
                <c:pt idx="83">
                  <c:v>1.1301892807613401</c:v>
                </c:pt>
                <c:pt idx="84">
                  <c:v>1.15878299875229</c:v>
                </c:pt>
                <c:pt idx="85">
                  <c:v>1.1857881768548499</c:v>
                </c:pt>
                <c:pt idx="86">
                  <c:v>1.21120481506902</c:v>
                </c:pt>
                <c:pt idx="87">
                  <c:v>1.2350329133948099</c:v>
                </c:pt>
                <c:pt idx="88">
                  <c:v>1.2572724718322199</c:v>
                </c:pt>
                <c:pt idx="89">
                  <c:v>1.27792349038123</c:v>
                </c:pt>
                <c:pt idx="90">
                  <c:v>1.2969859690418599</c:v>
                </c:pt>
                <c:pt idx="91">
                  <c:v>1.3144599078141099</c:v>
                </c:pt>
                <c:pt idx="92">
                  <c:v>1.33034530669797</c:v>
                </c:pt>
                <c:pt idx="93">
                  <c:v>1.34464216569344</c:v>
                </c:pt>
                <c:pt idx="94">
                  <c:v>1.35735048480053</c:v>
                </c:pt>
                <c:pt idx="95">
                  <c:v>1.3684702640192301</c:v>
                </c:pt>
                <c:pt idx="96">
                  <c:v>1.3780015033495501</c:v>
                </c:pt>
                <c:pt idx="97">
                  <c:v>1.3859442027914799</c:v>
                </c:pt>
                <c:pt idx="98">
                  <c:v>1.39229836234502</c:v>
                </c:pt>
                <c:pt idx="99">
                  <c:v>1.39706398201018</c:v>
                </c:pt>
                <c:pt idx="100">
                  <c:v>1.3985705863297899</c:v>
                </c:pt>
                <c:pt idx="101">
                  <c:v>1.39981243400134</c:v>
                </c:pt>
                <c:pt idx="102">
                  <c:v>1.4007895250248199</c:v>
                </c:pt>
                <c:pt idx="103">
                  <c:v>1.40150185940024</c:v>
                </c:pt>
                <c:pt idx="104">
                  <c:v>1.4019494371276</c:v>
                </c:pt>
                <c:pt idx="105">
                  <c:v>1.40213225820689</c:v>
                </c:pt>
                <c:pt idx="106">
                  <c:v>1.40205032263812</c:v>
                </c:pt>
                <c:pt idx="107">
                  <c:v>1.40170363042128</c:v>
                </c:pt>
                <c:pt idx="108">
                  <c:v>1.4010921815563799</c:v>
                </c:pt>
                <c:pt idx="109">
                  <c:v>1.4010921815563799</c:v>
                </c:pt>
                <c:pt idx="110">
                  <c:v>1.4010921815563799</c:v>
                </c:pt>
                <c:pt idx="111">
                  <c:v>1.4010921815563799</c:v>
                </c:pt>
                <c:pt idx="112">
                  <c:v>1.4010921815563799</c:v>
                </c:pt>
                <c:pt idx="113">
                  <c:v>1.4010921815563799</c:v>
                </c:pt>
                <c:pt idx="114">
                  <c:v>1.4010921815563799</c:v>
                </c:pt>
                <c:pt idx="115">
                  <c:v>1.4010921815563799</c:v>
                </c:pt>
                <c:pt idx="116">
                  <c:v>1.4010921815563799</c:v>
                </c:pt>
                <c:pt idx="117">
                  <c:v>1.4010921815563799</c:v>
                </c:pt>
                <c:pt idx="118">
                  <c:v>1.4010921815563799</c:v>
                </c:pt>
                <c:pt idx="119">
                  <c:v>1.4010921815563799</c:v>
                </c:pt>
                <c:pt idx="120">
                  <c:v>1.4010921815563799</c:v>
                </c:pt>
                <c:pt idx="121">
                  <c:v>1.4010921815563799</c:v>
                </c:pt>
                <c:pt idx="122">
                  <c:v>1.4010921815563799</c:v>
                </c:pt>
                <c:pt idx="123">
                  <c:v>1.4010921815563799</c:v>
                </c:pt>
                <c:pt idx="124">
                  <c:v>1.4010921815563799</c:v>
                </c:pt>
                <c:pt idx="125">
                  <c:v>1.4010921815563799</c:v>
                </c:pt>
                <c:pt idx="126">
                  <c:v>1.4010921815563799</c:v>
                </c:pt>
                <c:pt idx="127">
                  <c:v>1.4010921815563799</c:v>
                </c:pt>
                <c:pt idx="128">
                  <c:v>1.4010921815563799</c:v>
                </c:pt>
                <c:pt idx="129">
                  <c:v>1.4010921815563799</c:v>
                </c:pt>
                <c:pt idx="130">
                  <c:v>1.4010921815563699</c:v>
                </c:pt>
                <c:pt idx="131">
                  <c:v>1.4010921815563699</c:v>
                </c:pt>
                <c:pt idx="132">
                  <c:v>1.4010921815563699</c:v>
                </c:pt>
                <c:pt idx="133">
                  <c:v>1.4010921815563699</c:v>
                </c:pt>
                <c:pt idx="134">
                  <c:v>1.4010921815563699</c:v>
                </c:pt>
                <c:pt idx="135">
                  <c:v>1.4010921815563699</c:v>
                </c:pt>
              </c:numCache>
            </c:numRef>
          </c:yVal>
          <c:smooth val="1"/>
          <c:extLst>
            <c:ext xmlns:c16="http://schemas.microsoft.com/office/drawing/2014/chart" uri="{C3380CC4-5D6E-409C-BE32-E72D297353CC}">
              <c16:uniqueId val="{00000002-FF52-422D-B2CB-75DFDB23A5C9}"/>
            </c:ext>
          </c:extLst>
        </c:ser>
        <c:dLbls>
          <c:showLegendKey val="0"/>
          <c:showVal val="0"/>
          <c:showCatName val="0"/>
          <c:showSerName val="0"/>
          <c:showPercent val="0"/>
          <c:showBubbleSize val="0"/>
        </c:dLbls>
        <c:axId val="467176143"/>
        <c:axId val="467178063"/>
      </c:scatterChart>
      <c:valAx>
        <c:axId val="467176143"/>
        <c:scaling>
          <c:orientation val="minMax"/>
          <c:max val="40"/>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GB" sz="1100" b="1"/>
                  <a:t>Distance</a:t>
                </a:r>
                <a:r>
                  <a:rPr lang="en-GB" sz="1100" b="1" baseline="0"/>
                  <a:t> along p-n junction (nm)</a:t>
                </a:r>
                <a:endParaRPr lang="en-GB" sz="1100" b="1"/>
              </a:p>
            </c:rich>
          </c:tx>
          <c:layout>
            <c:manualLayout>
              <c:xMode val="edge"/>
              <c:yMode val="edge"/>
              <c:x val="0.34583180227471566"/>
              <c:y val="0.9110877806940799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cross"/>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178063"/>
        <c:crosses val="autoZero"/>
        <c:crossBetween val="midCat"/>
      </c:valAx>
      <c:valAx>
        <c:axId val="467178063"/>
        <c:scaling>
          <c:orientation val="minMax"/>
        </c:scaling>
        <c:delete val="0"/>
        <c:axPos val="l"/>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GB" sz="1100" b="1"/>
                  <a:t>Potential (V)</a:t>
                </a:r>
              </a:p>
            </c:rich>
          </c:tx>
          <c:layout>
            <c:manualLayout>
              <c:xMode val="edge"/>
              <c:yMode val="edge"/>
              <c:x val="1.001399825021872E-2"/>
              <c:y val="0.33629593175853018"/>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in"/>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176143"/>
        <c:crosses val="autoZero"/>
        <c:crossBetween val="midCat"/>
      </c:valAx>
      <c:spPr>
        <a:noFill/>
        <a:ln w="12700">
          <a:solidFill>
            <a:sysClr val="windowText" lastClr="000000"/>
          </a:solidFill>
        </a:ln>
        <a:effectLst/>
      </c:spPr>
    </c:plotArea>
    <c:legend>
      <c:legendPos val="r"/>
      <c:layout>
        <c:manualLayout>
          <c:xMode val="edge"/>
          <c:yMode val="edge"/>
          <c:x val="0.13004090113735786"/>
          <c:y val="7.7256124234470688E-2"/>
          <c:w val="0.22541732283464566"/>
          <c:h val="0.14815726159230097"/>
        </c:manualLayout>
      </c:layout>
      <c:overlay val="0"/>
      <c:spPr>
        <a:noFill/>
        <a:ln>
          <a:solidFill>
            <a:sysClr val="windowText" lastClr="000000"/>
          </a:solid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2338145231846"/>
          <c:y val="5.0925925925925923E-2"/>
          <c:w val="0.85554396325459314"/>
          <c:h val="0.81294765237678623"/>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0"/>
            <c:dispEq val="0"/>
          </c:trendline>
          <c:xVal>
            <c:numRef>
              <c:f>'2.3.2'!$N$4:$N$7</c:f>
              <c:numCache>
                <c:formatCode>General</c:formatCode>
                <c:ptCount val="4"/>
                <c:pt idx="0">
                  <c:v>4</c:v>
                </c:pt>
                <c:pt idx="1">
                  <c:v>6</c:v>
                </c:pt>
                <c:pt idx="2">
                  <c:v>8</c:v>
                </c:pt>
                <c:pt idx="3">
                  <c:v>10</c:v>
                </c:pt>
              </c:numCache>
            </c:numRef>
          </c:xVal>
          <c:yVal>
            <c:numRef>
              <c:f>'2.3.2'!$O$4:$O$7</c:f>
              <c:numCache>
                <c:formatCode>General</c:formatCode>
                <c:ptCount val="4"/>
                <c:pt idx="0">
                  <c:v>0.28919038167303729</c:v>
                </c:pt>
                <c:pt idx="1">
                  <c:v>0.64950418273838006</c:v>
                </c:pt>
                <c:pt idx="2">
                  <c:v>1.1638439981058919</c:v>
                </c:pt>
                <c:pt idx="3">
                  <c:v>1.8094462166119569</c:v>
                </c:pt>
              </c:numCache>
            </c:numRef>
          </c:yVal>
          <c:smooth val="0"/>
          <c:extLst>
            <c:ext xmlns:c16="http://schemas.microsoft.com/office/drawing/2014/chart" uri="{C3380CC4-5D6E-409C-BE32-E72D297353CC}">
              <c16:uniqueId val="{00000001-AF5A-45E4-954A-F547C24336A2}"/>
            </c:ext>
          </c:extLst>
        </c:ser>
        <c:dLbls>
          <c:showLegendKey val="0"/>
          <c:showVal val="0"/>
          <c:showCatName val="0"/>
          <c:showSerName val="0"/>
          <c:showPercent val="0"/>
          <c:showBubbleSize val="0"/>
        </c:dLbls>
        <c:axId val="800703024"/>
        <c:axId val="800703504"/>
      </c:scatterChart>
      <c:valAx>
        <c:axId val="800703024"/>
        <c:scaling>
          <c:orientation val="minMax"/>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Wn</a:t>
                </a:r>
                <a:r>
                  <a:rPr lang="en-GB" baseline="0"/>
                  <a:t> (nm)</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in"/>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703504"/>
        <c:crosses val="autoZero"/>
        <c:crossBetween val="midCat"/>
      </c:valAx>
      <c:valAx>
        <c:axId val="8007035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Potential</a:t>
                </a:r>
                <a:r>
                  <a:rPr lang="en-GB" baseline="0"/>
                  <a:t> Difference (V)</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in"/>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703024"/>
        <c:crosses val="autoZero"/>
        <c:crossBetween val="midCat"/>
      </c:valAx>
      <c:spPr>
        <a:noFill/>
        <a:ln w="12700">
          <a:solidFill>
            <a:sysClr val="windowText" lastClr="00000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2700" cap="rnd">
                <a:solidFill>
                  <a:srgbClr val="FF0000"/>
                </a:solidFill>
                <a:prstDash val="solid"/>
              </a:ln>
              <a:effectLst/>
            </c:spPr>
            <c:trendlineType val="linear"/>
            <c:backward val="1.4"/>
            <c:dispRSqr val="0"/>
            <c:dispEq val="1"/>
            <c:trendlineLbl>
              <c:layout>
                <c:manualLayout>
                  <c:x val="-0.17536198600174979"/>
                  <c:y val="0.43055555555555558"/>
                </c:manualLayout>
              </c:layout>
              <c:numFmt formatCode="#,##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'2.3.2'!$P$4:$P$7</c:f>
              <c:numCache>
                <c:formatCode>General</c:formatCode>
                <c:ptCount val="4"/>
                <c:pt idx="0">
                  <c:v>1.3862943611198906</c:v>
                </c:pt>
                <c:pt idx="1">
                  <c:v>1.791759469228055</c:v>
                </c:pt>
                <c:pt idx="2">
                  <c:v>2.0794415416798357</c:v>
                </c:pt>
                <c:pt idx="3">
                  <c:v>2.3025850929940459</c:v>
                </c:pt>
              </c:numCache>
            </c:numRef>
          </c:xVal>
          <c:yVal>
            <c:numRef>
              <c:f>'2.3.2'!$Q$4:$Q$7</c:f>
              <c:numCache>
                <c:formatCode>General</c:formatCode>
                <c:ptCount val="4"/>
                <c:pt idx="0">
                  <c:v>-1.2406700476425871</c:v>
                </c:pt>
                <c:pt idx="1">
                  <c:v>-0.43154600295629908</c:v>
                </c:pt>
                <c:pt idx="2">
                  <c:v>0.15172831808166504</c:v>
                </c:pt>
                <c:pt idx="3">
                  <c:v>0.59302084079018447</c:v>
                </c:pt>
              </c:numCache>
            </c:numRef>
          </c:yVal>
          <c:smooth val="0"/>
          <c:extLst>
            <c:ext xmlns:c16="http://schemas.microsoft.com/office/drawing/2014/chart" uri="{C3380CC4-5D6E-409C-BE32-E72D297353CC}">
              <c16:uniqueId val="{00000001-A9BA-460D-A67B-DD9FE08CF405}"/>
            </c:ext>
          </c:extLst>
        </c:ser>
        <c:dLbls>
          <c:showLegendKey val="0"/>
          <c:showVal val="0"/>
          <c:showCatName val="0"/>
          <c:showSerName val="0"/>
          <c:showPercent val="0"/>
          <c:showBubbleSize val="0"/>
        </c:dLbls>
        <c:axId val="718437568"/>
        <c:axId val="718444288"/>
      </c:scatterChart>
      <c:valAx>
        <c:axId val="718437568"/>
        <c:scaling>
          <c:orientation val="minMax"/>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Wn</a:t>
                </a:r>
                <a:r>
                  <a:rPr lang="en-GB" baseline="0"/>
                  <a:t> (nm)</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cross"/>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444288"/>
        <c:crosses val="autoZero"/>
        <c:crossBetween val="midCat"/>
      </c:valAx>
      <c:valAx>
        <c:axId val="7184442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Potnetial</a:t>
                </a:r>
                <a:r>
                  <a:rPr lang="en-GB" baseline="0"/>
                  <a:t> Difference (V)</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in"/>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437568"/>
        <c:crosses val="autoZero"/>
        <c:crossBetween val="midCat"/>
      </c:valAx>
      <c:spPr>
        <a:noFill/>
        <a:ln w="12700">
          <a:solidFill>
            <a:sysClr val="windowText" lastClr="00000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610892388451444"/>
          <c:y val="5.0925925925925923E-2"/>
          <c:w val="0.85900218722659671"/>
          <c:h val="0.86942111402741329"/>
        </c:manualLayout>
      </c:layout>
      <c:scatterChart>
        <c:scatterStyle val="smoothMarker"/>
        <c:varyColors val="0"/>
        <c:ser>
          <c:idx val="0"/>
          <c:order val="0"/>
          <c:spPr>
            <a:ln w="19050" cap="rnd">
              <a:solidFill>
                <a:schemeClr val="accent1"/>
              </a:solidFill>
              <a:round/>
            </a:ln>
            <a:effectLst/>
          </c:spPr>
          <c:marker>
            <c:symbol val="none"/>
          </c:marker>
          <c:xVal>
            <c:numRef>
              <c:f>'2.3.2'!$V$3:$V$503</c:f>
              <c:numCache>
                <c:formatCode>General</c:formatCode>
                <c:ptCount val="501"/>
                <c:pt idx="0">
                  <c:v>0</c:v>
                </c:pt>
                <c:pt idx="1">
                  <c:v>7.2556159999999897E-2</c:v>
                </c:pt>
                <c:pt idx="2">
                  <c:v>0.14511231999999899</c:v>
                </c:pt>
                <c:pt idx="3">
                  <c:v>0.217668479999999</c:v>
                </c:pt>
                <c:pt idx="4">
                  <c:v>0.29022463999999898</c:v>
                </c:pt>
                <c:pt idx="5">
                  <c:v>0.36278079999999902</c:v>
                </c:pt>
                <c:pt idx="6">
                  <c:v>0.435336959999999</c:v>
                </c:pt>
                <c:pt idx="7">
                  <c:v>0.50789311999999898</c:v>
                </c:pt>
                <c:pt idx="8">
                  <c:v>0.58044927999999896</c:v>
                </c:pt>
                <c:pt idx="9">
                  <c:v>0.65300543999999905</c:v>
                </c:pt>
                <c:pt idx="10">
                  <c:v>0.72556159999999903</c:v>
                </c:pt>
                <c:pt idx="11">
                  <c:v>0.79811775999999901</c:v>
                </c:pt>
                <c:pt idx="12">
                  <c:v>0.87067391999999899</c:v>
                </c:pt>
                <c:pt idx="13">
                  <c:v>0.94323007999999897</c:v>
                </c:pt>
                <c:pt idx="14">
                  <c:v>1.01578623999999</c:v>
                </c:pt>
                <c:pt idx="15">
                  <c:v>1.0883423999999899</c:v>
                </c:pt>
                <c:pt idx="16">
                  <c:v>1.1608985599999899</c:v>
                </c:pt>
                <c:pt idx="17">
                  <c:v>1.2334547199999899</c:v>
                </c:pt>
                <c:pt idx="18">
                  <c:v>1.3060108799999901</c:v>
                </c:pt>
                <c:pt idx="19">
                  <c:v>1.3785670399999901</c:v>
                </c:pt>
                <c:pt idx="20">
                  <c:v>1.4511231999999901</c:v>
                </c:pt>
                <c:pt idx="21">
                  <c:v>1.52367935999999</c:v>
                </c:pt>
                <c:pt idx="22">
                  <c:v>1.59623551999999</c:v>
                </c:pt>
                <c:pt idx="23">
                  <c:v>1.66879167999999</c:v>
                </c:pt>
                <c:pt idx="24">
                  <c:v>1.74134783999999</c:v>
                </c:pt>
                <c:pt idx="25">
                  <c:v>1.81390399999999</c:v>
                </c:pt>
                <c:pt idx="26">
                  <c:v>1.8864601599999899</c:v>
                </c:pt>
                <c:pt idx="27">
                  <c:v>1.9590163199999899</c:v>
                </c:pt>
                <c:pt idx="28">
                  <c:v>2.0315724799999901</c:v>
                </c:pt>
                <c:pt idx="29">
                  <c:v>2.1041286399999901</c:v>
                </c:pt>
                <c:pt idx="30">
                  <c:v>2.1766847999999901</c:v>
                </c:pt>
                <c:pt idx="31">
                  <c:v>2.2492409599999901</c:v>
                </c:pt>
                <c:pt idx="32">
                  <c:v>2.3217971199999901</c:v>
                </c:pt>
                <c:pt idx="33">
                  <c:v>2.39435327999999</c:v>
                </c:pt>
                <c:pt idx="34">
                  <c:v>2.46690943999999</c:v>
                </c:pt>
                <c:pt idx="35">
                  <c:v>2.53946559999999</c:v>
                </c:pt>
                <c:pt idx="36">
                  <c:v>2.61202175999999</c:v>
                </c:pt>
                <c:pt idx="37">
                  <c:v>2.68457791999999</c:v>
                </c:pt>
                <c:pt idx="38">
                  <c:v>2.7571340799999899</c:v>
                </c:pt>
                <c:pt idx="39">
                  <c:v>2.8296902399999899</c:v>
                </c:pt>
                <c:pt idx="40">
                  <c:v>2.9022463999999899</c:v>
                </c:pt>
                <c:pt idx="41">
                  <c:v>2.9748025599999899</c:v>
                </c:pt>
                <c:pt idx="42">
                  <c:v>3.0473587199999899</c:v>
                </c:pt>
                <c:pt idx="43">
                  <c:v>3.1199148799999898</c:v>
                </c:pt>
                <c:pt idx="44">
                  <c:v>3.1924710399999898</c:v>
                </c:pt>
                <c:pt idx="45">
                  <c:v>3.2650271999999898</c:v>
                </c:pt>
                <c:pt idx="46">
                  <c:v>3.3375833599999898</c:v>
                </c:pt>
                <c:pt idx="47">
                  <c:v>3.4101395199999902</c:v>
                </c:pt>
                <c:pt idx="48">
                  <c:v>3.4826956799999902</c:v>
                </c:pt>
                <c:pt idx="49">
                  <c:v>3.5552518399999902</c:v>
                </c:pt>
                <c:pt idx="50">
                  <c:v>3.6278079999999902</c:v>
                </c:pt>
                <c:pt idx="51">
                  <c:v>3.7003641599999901</c:v>
                </c:pt>
                <c:pt idx="52">
                  <c:v>3.7729203199999901</c:v>
                </c:pt>
                <c:pt idx="53">
                  <c:v>3.8454764799999901</c:v>
                </c:pt>
                <c:pt idx="54">
                  <c:v>3.9180326399999901</c:v>
                </c:pt>
                <c:pt idx="55">
                  <c:v>3.9905887999999901</c:v>
                </c:pt>
                <c:pt idx="56">
                  <c:v>4.06314495999999</c:v>
                </c:pt>
                <c:pt idx="57">
                  <c:v>4.1357011199999896</c:v>
                </c:pt>
                <c:pt idx="58">
                  <c:v>4.20825727999999</c:v>
                </c:pt>
                <c:pt idx="59">
                  <c:v>4.2808134399999904</c:v>
                </c:pt>
                <c:pt idx="60">
                  <c:v>4.35336959999999</c:v>
                </c:pt>
                <c:pt idx="61">
                  <c:v>4.4259257599999904</c:v>
                </c:pt>
                <c:pt idx="62">
                  <c:v>4.4984819199999899</c:v>
                </c:pt>
                <c:pt idx="63">
                  <c:v>4.5710380799999903</c:v>
                </c:pt>
                <c:pt idx="64">
                  <c:v>4.6435942399999899</c:v>
                </c:pt>
                <c:pt idx="65">
                  <c:v>4.7161503999999903</c:v>
                </c:pt>
                <c:pt idx="66">
                  <c:v>4.7887065599999898</c:v>
                </c:pt>
                <c:pt idx="67">
                  <c:v>4.8612627199999903</c:v>
                </c:pt>
                <c:pt idx="68">
                  <c:v>4.9338188799999898</c:v>
                </c:pt>
                <c:pt idx="69">
                  <c:v>5.0063750399999902</c:v>
                </c:pt>
                <c:pt idx="70">
                  <c:v>5.0789311999999898</c:v>
                </c:pt>
                <c:pt idx="71">
                  <c:v>5.1514873599999902</c:v>
                </c:pt>
                <c:pt idx="72">
                  <c:v>5.2240435199999897</c:v>
                </c:pt>
                <c:pt idx="73">
                  <c:v>5.2965996799999902</c:v>
                </c:pt>
                <c:pt idx="74">
                  <c:v>5.3691558399999897</c:v>
                </c:pt>
                <c:pt idx="75">
                  <c:v>5.4417119999999901</c:v>
                </c:pt>
                <c:pt idx="76">
                  <c:v>5.5142681599999896</c:v>
                </c:pt>
                <c:pt idx="77">
                  <c:v>5.5868243199999901</c:v>
                </c:pt>
                <c:pt idx="78">
                  <c:v>5.6593804799999896</c:v>
                </c:pt>
                <c:pt idx="79">
                  <c:v>5.73193663999999</c:v>
                </c:pt>
                <c:pt idx="80">
                  <c:v>5.8044927999999896</c:v>
                </c:pt>
                <c:pt idx="81">
                  <c:v>5.87704895999999</c:v>
                </c:pt>
                <c:pt idx="82">
                  <c:v>5.9496051199999904</c:v>
                </c:pt>
                <c:pt idx="83">
                  <c:v>6.02216127999999</c:v>
                </c:pt>
                <c:pt idx="84">
                  <c:v>6.0947174399999904</c:v>
                </c:pt>
                <c:pt idx="85">
                  <c:v>6.1672735999999899</c:v>
                </c:pt>
                <c:pt idx="86">
                  <c:v>6.2398297599999903</c:v>
                </c:pt>
                <c:pt idx="87">
                  <c:v>6.3123859199999899</c:v>
                </c:pt>
                <c:pt idx="88">
                  <c:v>6.3849420799999903</c:v>
                </c:pt>
                <c:pt idx="89">
                  <c:v>6.4574982399999898</c:v>
                </c:pt>
                <c:pt idx="90">
                  <c:v>6.5300543999999903</c:v>
                </c:pt>
                <c:pt idx="91">
                  <c:v>6.6026105599999898</c:v>
                </c:pt>
                <c:pt idx="92">
                  <c:v>6.6751667199999902</c:v>
                </c:pt>
                <c:pt idx="93">
                  <c:v>6.7477228799999898</c:v>
                </c:pt>
                <c:pt idx="94">
                  <c:v>6.8202790399999902</c:v>
                </c:pt>
                <c:pt idx="95">
                  <c:v>6.8928351999999897</c:v>
                </c:pt>
                <c:pt idx="96">
                  <c:v>6.9653913599999902</c:v>
                </c:pt>
                <c:pt idx="97">
                  <c:v>7.0379475199999897</c:v>
                </c:pt>
                <c:pt idx="98">
                  <c:v>7.1105036799999901</c:v>
                </c:pt>
                <c:pt idx="99">
                  <c:v>7.1830598399999896</c:v>
                </c:pt>
                <c:pt idx="100">
                  <c:v>7.2556159999999901</c:v>
                </c:pt>
                <c:pt idx="101">
                  <c:v>7.3281721599999896</c:v>
                </c:pt>
                <c:pt idx="102">
                  <c:v>7.40072831999999</c:v>
                </c:pt>
                <c:pt idx="103">
                  <c:v>7.4732844799999896</c:v>
                </c:pt>
                <c:pt idx="104">
                  <c:v>7.54584063999999</c:v>
                </c:pt>
                <c:pt idx="105">
                  <c:v>7.6183967999999904</c:v>
                </c:pt>
                <c:pt idx="106">
                  <c:v>7.69095295999999</c:v>
                </c:pt>
                <c:pt idx="107">
                  <c:v>7.7635091199999904</c:v>
                </c:pt>
                <c:pt idx="108">
                  <c:v>7.8360652799999899</c:v>
                </c:pt>
                <c:pt idx="109">
                  <c:v>7.9086214399999903</c:v>
                </c:pt>
                <c:pt idx="110">
                  <c:v>7.9811775999999899</c:v>
                </c:pt>
                <c:pt idx="111">
                  <c:v>8.0537337599999894</c:v>
                </c:pt>
                <c:pt idx="112">
                  <c:v>8.1262899199999907</c:v>
                </c:pt>
                <c:pt idx="113">
                  <c:v>8.1988460799999903</c:v>
                </c:pt>
                <c:pt idx="114">
                  <c:v>8.2714022399999898</c:v>
                </c:pt>
                <c:pt idx="115">
                  <c:v>8.3439583999999893</c:v>
                </c:pt>
                <c:pt idx="116">
                  <c:v>8.4165145599999907</c:v>
                </c:pt>
                <c:pt idx="117">
                  <c:v>8.4890707199999902</c:v>
                </c:pt>
                <c:pt idx="118">
                  <c:v>8.5616268799999897</c:v>
                </c:pt>
                <c:pt idx="119">
                  <c:v>8.6341830399999893</c:v>
                </c:pt>
                <c:pt idx="120">
                  <c:v>8.7067391999999906</c:v>
                </c:pt>
                <c:pt idx="121">
                  <c:v>8.7792953599999901</c:v>
                </c:pt>
                <c:pt idx="122">
                  <c:v>8.8518515199999896</c:v>
                </c:pt>
                <c:pt idx="123">
                  <c:v>8.9244076799999892</c:v>
                </c:pt>
                <c:pt idx="124">
                  <c:v>8.9969638399999905</c:v>
                </c:pt>
                <c:pt idx="125">
                  <c:v>9.06951999999999</c:v>
                </c:pt>
                <c:pt idx="126">
                  <c:v>9.1420761599999896</c:v>
                </c:pt>
                <c:pt idx="127">
                  <c:v>9.2146323199999909</c:v>
                </c:pt>
                <c:pt idx="128">
                  <c:v>9.2871884799999904</c:v>
                </c:pt>
                <c:pt idx="129">
                  <c:v>9.35974463999999</c:v>
                </c:pt>
                <c:pt idx="130">
                  <c:v>9.4323007999999895</c:v>
                </c:pt>
                <c:pt idx="131">
                  <c:v>9.5048569599999908</c:v>
                </c:pt>
                <c:pt idx="132">
                  <c:v>9.5774131199999903</c:v>
                </c:pt>
                <c:pt idx="133">
                  <c:v>9.6499692799999899</c:v>
                </c:pt>
                <c:pt idx="134">
                  <c:v>9.7225254399999894</c:v>
                </c:pt>
                <c:pt idx="135">
                  <c:v>9.7950815999999907</c:v>
                </c:pt>
                <c:pt idx="136">
                  <c:v>9.8676377599999903</c:v>
                </c:pt>
                <c:pt idx="137">
                  <c:v>9.9401939199999898</c:v>
                </c:pt>
                <c:pt idx="138">
                  <c:v>10.012750079999901</c:v>
                </c:pt>
                <c:pt idx="139">
                  <c:v>10.0853062399999</c:v>
                </c:pt>
                <c:pt idx="140">
                  <c:v>10.1578623999999</c:v>
                </c:pt>
                <c:pt idx="141">
                  <c:v>10.230418559999899</c:v>
                </c:pt>
                <c:pt idx="142">
                  <c:v>10.3029747199999</c:v>
                </c:pt>
                <c:pt idx="143">
                  <c:v>10.3755308799999</c:v>
                </c:pt>
                <c:pt idx="144">
                  <c:v>10.4480870399999</c:v>
                </c:pt>
                <c:pt idx="145">
                  <c:v>10.520643199999901</c:v>
                </c:pt>
                <c:pt idx="146">
                  <c:v>10.5931993599999</c:v>
                </c:pt>
                <c:pt idx="147">
                  <c:v>10.6657555199999</c:v>
                </c:pt>
                <c:pt idx="148">
                  <c:v>10.738311679999899</c:v>
                </c:pt>
                <c:pt idx="149">
                  <c:v>10.810867839999901</c:v>
                </c:pt>
                <c:pt idx="150">
                  <c:v>10.8834239999999</c:v>
                </c:pt>
                <c:pt idx="151">
                  <c:v>10.9559801599999</c:v>
                </c:pt>
                <c:pt idx="152">
                  <c:v>11.028536319999899</c:v>
                </c:pt>
                <c:pt idx="153">
                  <c:v>11.101092479999901</c:v>
                </c:pt>
                <c:pt idx="154">
                  <c:v>11.1736486399999</c:v>
                </c:pt>
                <c:pt idx="155">
                  <c:v>11.2462047999999</c:v>
                </c:pt>
                <c:pt idx="156">
                  <c:v>11.318760959999899</c:v>
                </c:pt>
                <c:pt idx="157">
                  <c:v>11.391317119999901</c:v>
                </c:pt>
                <c:pt idx="158">
                  <c:v>11.4638732799999</c:v>
                </c:pt>
                <c:pt idx="159">
                  <c:v>11.5364294399999</c:v>
                </c:pt>
                <c:pt idx="160">
                  <c:v>11.608985599999899</c:v>
                </c:pt>
                <c:pt idx="161">
                  <c:v>11.681541759999901</c:v>
                </c:pt>
                <c:pt idx="162">
                  <c:v>11.7540979199999</c:v>
                </c:pt>
                <c:pt idx="163">
                  <c:v>11.8266540799999</c:v>
                </c:pt>
                <c:pt idx="164">
                  <c:v>11.899210239999899</c:v>
                </c:pt>
                <c:pt idx="165">
                  <c:v>11.9717663999999</c:v>
                </c:pt>
                <c:pt idx="166">
                  <c:v>12.0443225599999</c:v>
                </c:pt>
                <c:pt idx="167">
                  <c:v>12.1168787199999</c:v>
                </c:pt>
                <c:pt idx="168">
                  <c:v>12.189434879999901</c:v>
                </c:pt>
                <c:pt idx="169">
                  <c:v>12.2619910399999</c:v>
                </c:pt>
                <c:pt idx="170">
                  <c:v>12.3345471999999</c:v>
                </c:pt>
                <c:pt idx="171">
                  <c:v>12.407103359999899</c:v>
                </c:pt>
                <c:pt idx="172">
                  <c:v>12.479659519999901</c:v>
                </c:pt>
                <c:pt idx="173">
                  <c:v>12.5522156799999</c:v>
                </c:pt>
                <c:pt idx="174">
                  <c:v>12.6247718399999</c:v>
                </c:pt>
                <c:pt idx="175">
                  <c:v>12.697327999999899</c:v>
                </c:pt>
                <c:pt idx="176">
                  <c:v>12.769884159999901</c:v>
                </c:pt>
                <c:pt idx="177">
                  <c:v>12.8424403199999</c:v>
                </c:pt>
                <c:pt idx="178">
                  <c:v>12.9149964799999</c:v>
                </c:pt>
                <c:pt idx="179">
                  <c:v>12.987552639999899</c:v>
                </c:pt>
                <c:pt idx="180">
                  <c:v>13.060108799999901</c:v>
                </c:pt>
                <c:pt idx="181">
                  <c:v>13.1326649599999</c:v>
                </c:pt>
                <c:pt idx="182">
                  <c:v>13.2052211199999</c:v>
                </c:pt>
                <c:pt idx="183">
                  <c:v>13.277777279999899</c:v>
                </c:pt>
                <c:pt idx="184">
                  <c:v>13.350333439999901</c:v>
                </c:pt>
                <c:pt idx="185">
                  <c:v>13.4228895999999</c:v>
                </c:pt>
                <c:pt idx="186">
                  <c:v>13.4954457599999</c:v>
                </c:pt>
                <c:pt idx="187">
                  <c:v>13.568001919999899</c:v>
                </c:pt>
                <c:pt idx="188">
                  <c:v>13.6405580799999</c:v>
                </c:pt>
                <c:pt idx="189">
                  <c:v>13.7131142399999</c:v>
                </c:pt>
                <c:pt idx="190">
                  <c:v>13.7856703999999</c:v>
                </c:pt>
                <c:pt idx="191">
                  <c:v>13.858226559999901</c:v>
                </c:pt>
                <c:pt idx="192">
                  <c:v>13.9307827199999</c:v>
                </c:pt>
                <c:pt idx="193">
                  <c:v>14.0033388799999</c:v>
                </c:pt>
                <c:pt idx="194">
                  <c:v>14.075895039999899</c:v>
                </c:pt>
                <c:pt idx="195">
                  <c:v>14.148451199999901</c:v>
                </c:pt>
                <c:pt idx="196">
                  <c:v>14.2210073599999</c:v>
                </c:pt>
                <c:pt idx="197">
                  <c:v>14.2935635199999</c:v>
                </c:pt>
                <c:pt idx="198">
                  <c:v>14.366119679999899</c:v>
                </c:pt>
                <c:pt idx="199">
                  <c:v>14.438675839999901</c:v>
                </c:pt>
                <c:pt idx="200">
                  <c:v>14.5112319999999</c:v>
                </c:pt>
                <c:pt idx="201">
                  <c:v>14.5837881599999</c:v>
                </c:pt>
                <c:pt idx="202">
                  <c:v>14.656344319999899</c:v>
                </c:pt>
                <c:pt idx="203">
                  <c:v>14.728900479999901</c:v>
                </c:pt>
                <c:pt idx="204">
                  <c:v>14.8014566399999</c:v>
                </c:pt>
                <c:pt idx="205">
                  <c:v>14.8740127999999</c:v>
                </c:pt>
                <c:pt idx="206">
                  <c:v>14.946568959999899</c:v>
                </c:pt>
                <c:pt idx="207">
                  <c:v>15.019125119999901</c:v>
                </c:pt>
                <c:pt idx="208">
                  <c:v>15.0916812799999</c:v>
                </c:pt>
                <c:pt idx="209">
                  <c:v>15.1642374399999</c:v>
                </c:pt>
                <c:pt idx="210">
                  <c:v>15.236793599999899</c:v>
                </c:pt>
                <c:pt idx="211">
                  <c:v>15.3093497599999</c:v>
                </c:pt>
                <c:pt idx="212">
                  <c:v>15.3819059199999</c:v>
                </c:pt>
                <c:pt idx="213">
                  <c:v>15.4544620799999</c:v>
                </c:pt>
                <c:pt idx="214">
                  <c:v>15.527018239999901</c:v>
                </c:pt>
                <c:pt idx="215">
                  <c:v>15.5995743999999</c:v>
                </c:pt>
                <c:pt idx="216">
                  <c:v>15.6721305599999</c:v>
                </c:pt>
                <c:pt idx="217">
                  <c:v>15.744686719999899</c:v>
                </c:pt>
                <c:pt idx="218">
                  <c:v>15.817242879999901</c:v>
                </c:pt>
                <c:pt idx="219">
                  <c:v>15.8897990399999</c:v>
                </c:pt>
                <c:pt idx="220">
                  <c:v>15.9623551999999</c:v>
                </c:pt>
                <c:pt idx="221">
                  <c:v>16.034911359999899</c:v>
                </c:pt>
                <c:pt idx="222">
                  <c:v>16.107467519999901</c:v>
                </c:pt>
                <c:pt idx="223">
                  <c:v>16.180023679999898</c:v>
                </c:pt>
                <c:pt idx="224">
                  <c:v>16.2525798399999</c:v>
                </c:pt>
                <c:pt idx="225">
                  <c:v>16.325135999999901</c:v>
                </c:pt>
                <c:pt idx="226">
                  <c:v>16.397692159999998</c:v>
                </c:pt>
                <c:pt idx="227">
                  <c:v>16.4702483199999</c:v>
                </c:pt>
                <c:pt idx="228">
                  <c:v>16.542804479999901</c:v>
                </c:pt>
                <c:pt idx="229">
                  <c:v>16.615360639999899</c:v>
                </c:pt>
                <c:pt idx="230">
                  <c:v>16.687916799999901</c:v>
                </c:pt>
                <c:pt idx="231">
                  <c:v>16.760472959999898</c:v>
                </c:pt>
                <c:pt idx="232">
                  <c:v>16.833029119999999</c:v>
                </c:pt>
                <c:pt idx="233">
                  <c:v>16.905585279999901</c:v>
                </c:pt>
                <c:pt idx="234">
                  <c:v>16.978141439999899</c:v>
                </c:pt>
                <c:pt idx="235">
                  <c:v>17.0506975999999</c:v>
                </c:pt>
                <c:pt idx="236">
                  <c:v>17.123253759999901</c:v>
                </c:pt>
                <c:pt idx="237">
                  <c:v>17.195809919999899</c:v>
                </c:pt>
                <c:pt idx="238">
                  <c:v>17.2683660799999</c:v>
                </c:pt>
                <c:pt idx="239">
                  <c:v>17.340922239999902</c:v>
                </c:pt>
                <c:pt idx="240">
                  <c:v>17.413478399999899</c:v>
                </c:pt>
                <c:pt idx="241">
                  <c:v>17.486034559999901</c:v>
                </c:pt>
                <c:pt idx="242">
                  <c:v>17.558590719999899</c:v>
                </c:pt>
                <c:pt idx="243">
                  <c:v>17.6311468799999</c:v>
                </c:pt>
                <c:pt idx="244">
                  <c:v>17.703703039999901</c:v>
                </c:pt>
                <c:pt idx="245">
                  <c:v>17.776259199999899</c:v>
                </c:pt>
                <c:pt idx="246">
                  <c:v>17.8488153599999</c:v>
                </c:pt>
                <c:pt idx="247">
                  <c:v>17.921371519999902</c:v>
                </c:pt>
                <c:pt idx="248">
                  <c:v>17.993927679999899</c:v>
                </c:pt>
                <c:pt idx="249">
                  <c:v>18.066483839999901</c:v>
                </c:pt>
                <c:pt idx="250">
                  <c:v>18.139039999999898</c:v>
                </c:pt>
                <c:pt idx="251">
                  <c:v>18.2115961599999</c:v>
                </c:pt>
                <c:pt idx="252">
                  <c:v>18.284152319999901</c:v>
                </c:pt>
                <c:pt idx="253">
                  <c:v>18.356708479999899</c:v>
                </c:pt>
                <c:pt idx="254">
                  <c:v>18.4292646399999</c:v>
                </c:pt>
                <c:pt idx="255">
                  <c:v>18.501820799999901</c:v>
                </c:pt>
                <c:pt idx="256">
                  <c:v>18.574376959999899</c:v>
                </c:pt>
                <c:pt idx="257">
                  <c:v>18.6469331199999</c:v>
                </c:pt>
                <c:pt idx="258">
                  <c:v>18.719489279999902</c:v>
                </c:pt>
                <c:pt idx="259">
                  <c:v>18.7920454399999</c:v>
                </c:pt>
                <c:pt idx="260">
                  <c:v>18.864601599999901</c:v>
                </c:pt>
                <c:pt idx="261">
                  <c:v>18.937157759999899</c:v>
                </c:pt>
                <c:pt idx="262">
                  <c:v>19.0097139199999</c:v>
                </c:pt>
                <c:pt idx="263">
                  <c:v>19.082270079999901</c:v>
                </c:pt>
                <c:pt idx="264">
                  <c:v>19.154826239999899</c:v>
                </c:pt>
                <c:pt idx="265">
                  <c:v>19.2273823999999</c:v>
                </c:pt>
                <c:pt idx="266">
                  <c:v>19.299938559999902</c:v>
                </c:pt>
                <c:pt idx="267">
                  <c:v>19.372494719999899</c:v>
                </c:pt>
                <c:pt idx="268">
                  <c:v>19.445050879999901</c:v>
                </c:pt>
                <c:pt idx="269">
                  <c:v>19.517607039999898</c:v>
                </c:pt>
                <c:pt idx="270">
                  <c:v>19.5901631999999</c:v>
                </c:pt>
                <c:pt idx="271">
                  <c:v>19.662719359999901</c:v>
                </c:pt>
                <c:pt idx="272">
                  <c:v>19.735275519999899</c:v>
                </c:pt>
                <c:pt idx="273">
                  <c:v>19.8078316799999</c:v>
                </c:pt>
                <c:pt idx="274">
                  <c:v>19.880387839999901</c:v>
                </c:pt>
                <c:pt idx="275">
                  <c:v>19.952943999999899</c:v>
                </c:pt>
                <c:pt idx="276">
                  <c:v>20.025500159999901</c:v>
                </c:pt>
                <c:pt idx="277">
                  <c:v>20.098056319999898</c:v>
                </c:pt>
                <c:pt idx="278">
                  <c:v>20.1706124799999</c:v>
                </c:pt>
                <c:pt idx="279">
                  <c:v>20.243168639999901</c:v>
                </c:pt>
                <c:pt idx="280">
                  <c:v>20.315724799999899</c:v>
                </c:pt>
                <c:pt idx="281">
                  <c:v>20.3882809599999</c:v>
                </c:pt>
                <c:pt idx="282">
                  <c:v>20.460837119999901</c:v>
                </c:pt>
                <c:pt idx="283">
                  <c:v>20.533393279999899</c:v>
                </c:pt>
                <c:pt idx="284">
                  <c:v>20.6059494399999</c:v>
                </c:pt>
                <c:pt idx="285">
                  <c:v>20.678505599999902</c:v>
                </c:pt>
                <c:pt idx="286">
                  <c:v>20.751061759999899</c:v>
                </c:pt>
                <c:pt idx="287">
                  <c:v>20.823617919999901</c:v>
                </c:pt>
                <c:pt idx="288">
                  <c:v>20.896174079999899</c:v>
                </c:pt>
                <c:pt idx="289">
                  <c:v>20.9687302399999</c:v>
                </c:pt>
                <c:pt idx="290">
                  <c:v>21.041286399999901</c:v>
                </c:pt>
                <c:pt idx="291">
                  <c:v>21.113842559999899</c:v>
                </c:pt>
                <c:pt idx="292">
                  <c:v>21.1863987199999</c:v>
                </c:pt>
                <c:pt idx="293">
                  <c:v>21.258954879999902</c:v>
                </c:pt>
                <c:pt idx="294">
                  <c:v>21.331511039999899</c:v>
                </c:pt>
                <c:pt idx="295">
                  <c:v>21.404067199999901</c:v>
                </c:pt>
                <c:pt idx="296">
                  <c:v>21.476623359999898</c:v>
                </c:pt>
                <c:pt idx="297">
                  <c:v>21.5491795199999</c:v>
                </c:pt>
                <c:pt idx="298">
                  <c:v>21.621735679999901</c:v>
                </c:pt>
                <c:pt idx="299">
                  <c:v>21.694291839999899</c:v>
                </c:pt>
                <c:pt idx="300">
                  <c:v>21.7668479999999</c:v>
                </c:pt>
                <c:pt idx="301">
                  <c:v>21.839404159999901</c:v>
                </c:pt>
                <c:pt idx="302">
                  <c:v>21.911960319999899</c:v>
                </c:pt>
                <c:pt idx="303">
                  <c:v>21.9845164799999</c:v>
                </c:pt>
                <c:pt idx="304">
                  <c:v>22.057072639999902</c:v>
                </c:pt>
                <c:pt idx="305">
                  <c:v>22.1296287999999</c:v>
                </c:pt>
                <c:pt idx="306">
                  <c:v>22.202184959999901</c:v>
                </c:pt>
                <c:pt idx="307">
                  <c:v>22.274741119999899</c:v>
                </c:pt>
                <c:pt idx="308">
                  <c:v>22.3472972799999</c:v>
                </c:pt>
                <c:pt idx="309">
                  <c:v>22.419853439999901</c:v>
                </c:pt>
                <c:pt idx="310">
                  <c:v>22.492409599999899</c:v>
                </c:pt>
                <c:pt idx="311">
                  <c:v>22.5649657599999</c:v>
                </c:pt>
                <c:pt idx="312">
                  <c:v>22.637521919999902</c:v>
                </c:pt>
                <c:pt idx="313">
                  <c:v>22.710078079999899</c:v>
                </c:pt>
                <c:pt idx="314">
                  <c:v>22.782634239999901</c:v>
                </c:pt>
                <c:pt idx="315">
                  <c:v>22.855190399999898</c:v>
                </c:pt>
                <c:pt idx="316">
                  <c:v>22.9277465599999</c:v>
                </c:pt>
                <c:pt idx="317">
                  <c:v>23.000302719999901</c:v>
                </c:pt>
                <c:pt idx="318">
                  <c:v>23.072858879999899</c:v>
                </c:pt>
                <c:pt idx="319">
                  <c:v>23.1454150399999</c:v>
                </c:pt>
                <c:pt idx="320">
                  <c:v>23.217971199999901</c:v>
                </c:pt>
                <c:pt idx="321">
                  <c:v>23.290527359999899</c:v>
                </c:pt>
                <c:pt idx="322">
                  <c:v>23.363083519999901</c:v>
                </c:pt>
                <c:pt idx="323">
                  <c:v>23.435639679999898</c:v>
                </c:pt>
                <c:pt idx="324">
                  <c:v>23.5081958399999</c:v>
                </c:pt>
                <c:pt idx="325">
                  <c:v>23.580751999999901</c:v>
                </c:pt>
                <c:pt idx="326">
                  <c:v>23.653308159999899</c:v>
                </c:pt>
                <c:pt idx="327">
                  <c:v>23.7258643199999</c:v>
                </c:pt>
                <c:pt idx="328">
                  <c:v>23.798420479999901</c:v>
                </c:pt>
                <c:pt idx="329">
                  <c:v>23.870976639999899</c:v>
                </c:pt>
                <c:pt idx="330">
                  <c:v>23.9435327999999</c:v>
                </c:pt>
                <c:pt idx="331">
                  <c:v>24.016088959999902</c:v>
                </c:pt>
                <c:pt idx="332">
                  <c:v>24.088645119999899</c:v>
                </c:pt>
                <c:pt idx="333">
                  <c:v>24.161201279999901</c:v>
                </c:pt>
                <c:pt idx="334">
                  <c:v>24.233757439999899</c:v>
                </c:pt>
                <c:pt idx="335">
                  <c:v>24.3063135999999</c:v>
                </c:pt>
                <c:pt idx="336">
                  <c:v>24.378869759999901</c:v>
                </c:pt>
                <c:pt idx="337">
                  <c:v>24.451425919999899</c:v>
                </c:pt>
                <c:pt idx="338">
                  <c:v>24.5239820799999</c:v>
                </c:pt>
                <c:pt idx="339">
                  <c:v>24.596538239999902</c:v>
                </c:pt>
                <c:pt idx="340">
                  <c:v>24.669094399999999</c:v>
                </c:pt>
                <c:pt idx="341">
                  <c:v>24.741650559999901</c:v>
                </c:pt>
                <c:pt idx="342">
                  <c:v>24.814206719999898</c:v>
                </c:pt>
                <c:pt idx="343">
                  <c:v>24.8867628799999</c:v>
                </c:pt>
                <c:pt idx="344">
                  <c:v>24.959319039999901</c:v>
                </c:pt>
                <c:pt idx="345">
                  <c:v>25.031875199999899</c:v>
                </c:pt>
                <c:pt idx="346">
                  <c:v>25.1044313599999</c:v>
                </c:pt>
                <c:pt idx="347">
                  <c:v>25.176987519999901</c:v>
                </c:pt>
                <c:pt idx="348">
                  <c:v>25.249543679999899</c:v>
                </c:pt>
                <c:pt idx="349">
                  <c:v>25.3220998399999</c:v>
                </c:pt>
                <c:pt idx="350">
                  <c:v>25.394655999999902</c:v>
                </c:pt>
                <c:pt idx="351">
                  <c:v>25.4672121599999</c:v>
                </c:pt>
                <c:pt idx="352">
                  <c:v>25.539768319999901</c:v>
                </c:pt>
                <c:pt idx="353">
                  <c:v>25.612324479999899</c:v>
                </c:pt>
                <c:pt idx="354">
                  <c:v>25.6848806399999</c:v>
                </c:pt>
                <c:pt idx="355">
                  <c:v>25.757436799999901</c:v>
                </c:pt>
                <c:pt idx="356">
                  <c:v>25.829992959999899</c:v>
                </c:pt>
                <c:pt idx="357">
                  <c:v>25.9025491199999</c:v>
                </c:pt>
                <c:pt idx="358">
                  <c:v>25.975105279999902</c:v>
                </c:pt>
                <c:pt idx="359">
                  <c:v>26.047661439999899</c:v>
                </c:pt>
                <c:pt idx="360">
                  <c:v>26.120217599999901</c:v>
                </c:pt>
                <c:pt idx="361">
                  <c:v>26.192773759999898</c:v>
                </c:pt>
                <c:pt idx="362">
                  <c:v>26.2653299199999</c:v>
                </c:pt>
                <c:pt idx="363">
                  <c:v>26.337886079999901</c:v>
                </c:pt>
                <c:pt idx="364">
                  <c:v>26.410442239999899</c:v>
                </c:pt>
                <c:pt idx="365">
                  <c:v>26.4829983999999</c:v>
                </c:pt>
                <c:pt idx="366">
                  <c:v>26.555554559999901</c:v>
                </c:pt>
                <c:pt idx="367">
                  <c:v>26.628110719999899</c:v>
                </c:pt>
                <c:pt idx="368">
                  <c:v>26.700666879999901</c:v>
                </c:pt>
                <c:pt idx="369">
                  <c:v>26.773223039999898</c:v>
                </c:pt>
                <c:pt idx="370">
                  <c:v>26.8457791999999</c:v>
                </c:pt>
                <c:pt idx="371">
                  <c:v>26.918335359999901</c:v>
                </c:pt>
                <c:pt idx="372">
                  <c:v>26.990891519999899</c:v>
                </c:pt>
                <c:pt idx="373">
                  <c:v>27.0634476799999</c:v>
                </c:pt>
                <c:pt idx="374">
                  <c:v>27.136003840000001</c:v>
                </c:pt>
                <c:pt idx="375">
                  <c:v>27.208559999999999</c:v>
                </c:pt>
                <c:pt idx="376">
                  <c:v>27.28111616</c:v>
                </c:pt>
                <c:pt idx="377">
                  <c:v>27.353672319999902</c:v>
                </c:pt>
                <c:pt idx="378">
                  <c:v>27.426228479999899</c:v>
                </c:pt>
                <c:pt idx="379">
                  <c:v>27.498784639999901</c:v>
                </c:pt>
                <c:pt idx="380">
                  <c:v>27.571340799999899</c:v>
                </c:pt>
                <c:pt idx="381">
                  <c:v>27.6438969599999</c:v>
                </c:pt>
                <c:pt idx="382">
                  <c:v>27.716453119999901</c:v>
                </c:pt>
                <c:pt idx="383">
                  <c:v>27.789009279999899</c:v>
                </c:pt>
                <c:pt idx="384">
                  <c:v>27.8615654399999</c:v>
                </c:pt>
                <c:pt idx="385">
                  <c:v>27.934121599999902</c:v>
                </c:pt>
                <c:pt idx="386">
                  <c:v>28.006677759999899</c:v>
                </c:pt>
                <c:pt idx="387">
                  <c:v>28.079233919999901</c:v>
                </c:pt>
                <c:pt idx="388">
                  <c:v>28.151790079999898</c:v>
                </c:pt>
                <c:pt idx="389">
                  <c:v>28.2243462399999</c:v>
                </c:pt>
                <c:pt idx="390">
                  <c:v>28.296902399999901</c:v>
                </c:pt>
                <c:pt idx="391">
                  <c:v>28.369458559999899</c:v>
                </c:pt>
                <c:pt idx="392">
                  <c:v>28.4420147199999</c:v>
                </c:pt>
                <c:pt idx="393">
                  <c:v>28.514570879999901</c:v>
                </c:pt>
                <c:pt idx="394">
                  <c:v>28.587127039999899</c:v>
                </c:pt>
                <c:pt idx="395">
                  <c:v>28.6596831999999</c:v>
                </c:pt>
                <c:pt idx="396">
                  <c:v>28.732239359999902</c:v>
                </c:pt>
                <c:pt idx="397">
                  <c:v>28.8047955199999</c:v>
                </c:pt>
                <c:pt idx="398">
                  <c:v>28.877351679999901</c:v>
                </c:pt>
                <c:pt idx="399">
                  <c:v>28.949907839999899</c:v>
                </c:pt>
                <c:pt idx="400">
                  <c:v>29.0224639999999</c:v>
                </c:pt>
                <c:pt idx="401">
                  <c:v>29.095020159999901</c:v>
                </c:pt>
                <c:pt idx="402">
                  <c:v>29.167576319999899</c:v>
                </c:pt>
                <c:pt idx="403">
                  <c:v>29.2401324799999</c:v>
                </c:pt>
                <c:pt idx="404">
                  <c:v>29.312688639999902</c:v>
                </c:pt>
                <c:pt idx="405">
                  <c:v>29.385244799999899</c:v>
                </c:pt>
                <c:pt idx="406">
                  <c:v>29.457800959999901</c:v>
                </c:pt>
                <c:pt idx="407">
                  <c:v>29.530357119999898</c:v>
                </c:pt>
                <c:pt idx="408">
                  <c:v>29.6029132799999</c:v>
                </c:pt>
                <c:pt idx="409">
                  <c:v>29.675469439999901</c:v>
                </c:pt>
                <c:pt idx="410">
                  <c:v>29.748025599999899</c:v>
                </c:pt>
                <c:pt idx="411">
                  <c:v>29.8205817599999</c:v>
                </c:pt>
                <c:pt idx="412">
                  <c:v>29.893137919999901</c:v>
                </c:pt>
                <c:pt idx="413">
                  <c:v>29.965694079999899</c:v>
                </c:pt>
                <c:pt idx="414">
                  <c:v>30.038250239999901</c:v>
                </c:pt>
                <c:pt idx="415">
                  <c:v>30.110806399999898</c:v>
                </c:pt>
                <c:pt idx="416">
                  <c:v>30.1833625599999</c:v>
                </c:pt>
                <c:pt idx="417">
                  <c:v>30.255918719999901</c:v>
                </c:pt>
                <c:pt idx="418">
                  <c:v>30.328474879999899</c:v>
                </c:pt>
                <c:pt idx="419">
                  <c:v>30.4010310399999</c:v>
                </c:pt>
                <c:pt idx="420">
                  <c:v>30.473587199999901</c:v>
                </c:pt>
                <c:pt idx="421">
                  <c:v>30.546143359999899</c:v>
                </c:pt>
                <c:pt idx="422">
                  <c:v>30.6186995199999</c:v>
                </c:pt>
                <c:pt idx="423">
                  <c:v>30.691255679999902</c:v>
                </c:pt>
                <c:pt idx="424">
                  <c:v>30.763811839999899</c:v>
                </c:pt>
                <c:pt idx="425">
                  <c:v>30.836367999999901</c:v>
                </c:pt>
                <c:pt idx="426">
                  <c:v>30.908924159999899</c:v>
                </c:pt>
                <c:pt idx="427">
                  <c:v>30.9814803199999</c:v>
                </c:pt>
                <c:pt idx="428">
                  <c:v>31.054036479999901</c:v>
                </c:pt>
                <c:pt idx="429">
                  <c:v>31.126592639999899</c:v>
                </c:pt>
                <c:pt idx="430">
                  <c:v>31.1991487999999</c:v>
                </c:pt>
                <c:pt idx="431">
                  <c:v>31.271704959999902</c:v>
                </c:pt>
                <c:pt idx="432">
                  <c:v>31.344261119999899</c:v>
                </c:pt>
                <c:pt idx="433">
                  <c:v>31.416817279999901</c:v>
                </c:pt>
                <c:pt idx="434">
                  <c:v>31.489373439999898</c:v>
                </c:pt>
                <c:pt idx="435">
                  <c:v>31.5619295999999</c:v>
                </c:pt>
                <c:pt idx="436">
                  <c:v>31.634485759999901</c:v>
                </c:pt>
                <c:pt idx="437">
                  <c:v>31.707041919999899</c:v>
                </c:pt>
                <c:pt idx="438">
                  <c:v>31.7795980799999</c:v>
                </c:pt>
                <c:pt idx="439">
                  <c:v>31.852154239999901</c:v>
                </c:pt>
                <c:pt idx="440">
                  <c:v>31.924710399999899</c:v>
                </c:pt>
                <c:pt idx="441">
                  <c:v>31.9972665599999</c:v>
                </c:pt>
                <c:pt idx="442">
                  <c:v>32.069822719999998</c:v>
                </c:pt>
                <c:pt idx="443">
                  <c:v>32.142378879999903</c:v>
                </c:pt>
                <c:pt idx="444">
                  <c:v>32.21493504</c:v>
                </c:pt>
                <c:pt idx="445">
                  <c:v>32.287491199999998</c:v>
                </c:pt>
                <c:pt idx="446">
                  <c:v>32.360047360000003</c:v>
                </c:pt>
                <c:pt idx="447">
                  <c:v>32.432603519999901</c:v>
                </c:pt>
                <c:pt idx="448">
                  <c:v>32.505159679999998</c:v>
                </c:pt>
                <c:pt idx="449">
                  <c:v>32.577715839999897</c:v>
                </c:pt>
                <c:pt idx="450">
                  <c:v>32.650271999999902</c:v>
                </c:pt>
                <c:pt idx="451">
                  <c:v>32.722828159999999</c:v>
                </c:pt>
                <c:pt idx="452">
                  <c:v>32.795384319999897</c:v>
                </c:pt>
                <c:pt idx="453">
                  <c:v>32.867940479999902</c:v>
                </c:pt>
                <c:pt idx="454">
                  <c:v>32.9404966399999</c:v>
                </c:pt>
                <c:pt idx="455">
                  <c:v>33.013052799999898</c:v>
                </c:pt>
                <c:pt idx="456">
                  <c:v>33.085608959999902</c:v>
                </c:pt>
                <c:pt idx="457">
                  <c:v>33.1581651199999</c:v>
                </c:pt>
                <c:pt idx="458">
                  <c:v>33.230721279999898</c:v>
                </c:pt>
                <c:pt idx="459">
                  <c:v>33.303277439999903</c:v>
                </c:pt>
                <c:pt idx="460">
                  <c:v>33.375833599999901</c:v>
                </c:pt>
                <c:pt idx="461">
                  <c:v>33.448389759999998</c:v>
                </c:pt>
                <c:pt idx="462">
                  <c:v>33.520945919999903</c:v>
                </c:pt>
                <c:pt idx="463">
                  <c:v>33.593502079999901</c:v>
                </c:pt>
                <c:pt idx="464">
                  <c:v>33.666058239999998</c:v>
                </c:pt>
                <c:pt idx="465">
                  <c:v>33.738614399999904</c:v>
                </c:pt>
                <c:pt idx="466">
                  <c:v>33.811170560000001</c:v>
                </c:pt>
                <c:pt idx="467">
                  <c:v>33.883726719999999</c:v>
                </c:pt>
                <c:pt idx="468">
                  <c:v>33.956282879999897</c:v>
                </c:pt>
                <c:pt idx="469">
                  <c:v>34.028839039999902</c:v>
                </c:pt>
                <c:pt idx="470">
                  <c:v>34.101395199999999</c:v>
                </c:pt>
                <c:pt idx="471">
                  <c:v>34.173951359999997</c:v>
                </c:pt>
                <c:pt idx="472">
                  <c:v>34.246507519999902</c:v>
                </c:pt>
                <c:pt idx="473">
                  <c:v>34.319063679999999</c:v>
                </c:pt>
                <c:pt idx="474">
                  <c:v>34.391619839999997</c:v>
                </c:pt>
                <c:pt idx="475">
                  <c:v>34.464175999999902</c:v>
                </c:pt>
                <c:pt idx="476">
                  <c:v>34.5367321599999</c:v>
                </c:pt>
                <c:pt idx="477">
                  <c:v>34.609288319999898</c:v>
                </c:pt>
                <c:pt idx="478">
                  <c:v>34.681844479999903</c:v>
                </c:pt>
                <c:pt idx="479">
                  <c:v>34.754400639999901</c:v>
                </c:pt>
                <c:pt idx="480">
                  <c:v>34.826956799999898</c:v>
                </c:pt>
                <c:pt idx="481">
                  <c:v>34.899512959999903</c:v>
                </c:pt>
                <c:pt idx="482">
                  <c:v>34.972069119999901</c:v>
                </c:pt>
                <c:pt idx="483">
                  <c:v>35.044625279999899</c:v>
                </c:pt>
                <c:pt idx="484">
                  <c:v>35.117181439999896</c:v>
                </c:pt>
                <c:pt idx="485">
                  <c:v>35.189737599999901</c:v>
                </c:pt>
                <c:pt idx="486">
                  <c:v>35.262293759999999</c:v>
                </c:pt>
                <c:pt idx="487">
                  <c:v>35.334849919999897</c:v>
                </c:pt>
                <c:pt idx="488">
                  <c:v>35.407406079999902</c:v>
                </c:pt>
                <c:pt idx="489">
                  <c:v>35.4799622399999</c:v>
                </c:pt>
                <c:pt idx="490">
                  <c:v>35.552518399999897</c:v>
                </c:pt>
                <c:pt idx="491">
                  <c:v>35.625074559999902</c:v>
                </c:pt>
                <c:pt idx="492">
                  <c:v>35.6976307199999</c:v>
                </c:pt>
                <c:pt idx="493">
                  <c:v>35.770186879999997</c:v>
                </c:pt>
                <c:pt idx="494">
                  <c:v>35.842743039999903</c:v>
                </c:pt>
                <c:pt idx="495">
                  <c:v>35.9152992</c:v>
                </c:pt>
                <c:pt idx="496">
                  <c:v>35.987855359999998</c:v>
                </c:pt>
                <c:pt idx="497">
                  <c:v>36.060411519999903</c:v>
                </c:pt>
                <c:pt idx="498">
                  <c:v>36.132967679999901</c:v>
                </c:pt>
                <c:pt idx="499">
                  <c:v>36.205523839999898</c:v>
                </c:pt>
                <c:pt idx="500">
                  <c:v>36.278079999999903</c:v>
                </c:pt>
              </c:numCache>
            </c:numRef>
          </c:xVal>
          <c:yVal>
            <c:numRef>
              <c:f>'2.3.2'!$W$3:$W$503</c:f>
              <c:numCache>
                <c:formatCode>0.00E+00</c:formatCode>
                <c:ptCount val="501"/>
                <c:pt idx="0" formatCode="General">
                  <c:v>0</c:v>
                </c:pt>
                <c:pt idx="1">
                  <c:v>-9.9146122672823395E-15</c:v>
                </c:pt>
                <c:pt idx="2">
                  <c:v>-1.98292245345646E-14</c:v>
                </c:pt>
                <c:pt idx="3">
                  <c:v>-2.9743836801846999E-14</c:v>
                </c:pt>
                <c:pt idx="4">
                  <c:v>-3.9658449069129301E-14</c:v>
                </c:pt>
                <c:pt idx="5">
                  <c:v>-4.9573061336411697E-14</c:v>
                </c:pt>
                <c:pt idx="6">
                  <c:v>-5.94876736036941E-14</c:v>
                </c:pt>
                <c:pt idx="7">
                  <c:v>-6.9402285870976401E-14</c:v>
                </c:pt>
                <c:pt idx="8">
                  <c:v>-7.9316898138258804E-14</c:v>
                </c:pt>
                <c:pt idx="9">
                  <c:v>-8.9231510405541194E-14</c:v>
                </c:pt>
                <c:pt idx="10">
                  <c:v>-9.9146122672823596E-14</c:v>
                </c:pt>
                <c:pt idx="11">
                  <c:v>-1.09060734940105E-13</c:v>
                </c:pt>
                <c:pt idx="12">
                  <c:v>-1.18975347207388E-13</c:v>
                </c:pt>
                <c:pt idx="13">
                  <c:v>-1.2888995947467001E-13</c:v>
                </c:pt>
                <c:pt idx="14">
                  <c:v>-1.38804571741953E-13</c:v>
                </c:pt>
                <c:pt idx="15">
                  <c:v>-1.4871918400923499E-13</c:v>
                </c:pt>
                <c:pt idx="16">
                  <c:v>-1.58633796276517E-13</c:v>
                </c:pt>
                <c:pt idx="17">
                  <c:v>-1.685484085438E-13</c:v>
                </c:pt>
                <c:pt idx="18">
                  <c:v>-1.7846302081108201E-13</c:v>
                </c:pt>
                <c:pt idx="19">
                  <c:v>-1.88377633078365E-13</c:v>
                </c:pt>
                <c:pt idx="20">
                  <c:v>-1.9829224534564699E-13</c:v>
                </c:pt>
                <c:pt idx="21">
                  <c:v>-2.08206857612929E-13</c:v>
                </c:pt>
                <c:pt idx="22">
                  <c:v>-2.18121469880212E-13</c:v>
                </c:pt>
                <c:pt idx="23">
                  <c:v>-2.2803608214749401E-13</c:v>
                </c:pt>
                <c:pt idx="24">
                  <c:v>-2.3795069441477701E-13</c:v>
                </c:pt>
                <c:pt idx="25">
                  <c:v>-2.4786530668205899E-13</c:v>
                </c:pt>
                <c:pt idx="26">
                  <c:v>-2.5777991894934199E-13</c:v>
                </c:pt>
                <c:pt idx="27">
                  <c:v>-2.6769453121662402E-13</c:v>
                </c:pt>
                <c:pt idx="28">
                  <c:v>-2.7760914348390601E-13</c:v>
                </c:pt>
                <c:pt idx="29">
                  <c:v>-2.8752375575118901E-13</c:v>
                </c:pt>
                <c:pt idx="30">
                  <c:v>-2.9743836801847099E-13</c:v>
                </c:pt>
                <c:pt idx="31">
                  <c:v>-3.0735298028575399E-13</c:v>
                </c:pt>
                <c:pt idx="32">
                  <c:v>-3.1726759255303602E-13</c:v>
                </c:pt>
                <c:pt idx="33">
                  <c:v>-3.2718220482031902E-13</c:v>
                </c:pt>
                <c:pt idx="34">
                  <c:v>-3.3709681708760101E-13</c:v>
                </c:pt>
                <c:pt idx="35">
                  <c:v>-3.47011429354884E-13</c:v>
                </c:pt>
                <c:pt idx="36">
                  <c:v>-3.5692604162216599E-13</c:v>
                </c:pt>
                <c:pt idx="37">
                  <c:v>-3.6684065388944898E-13</c:v>
                </c:pt>
                <c:pt idx="38">
                  <c:v>-3.7675526615673102E-13</c:v>
                </c:pt>
                <c:pt idx="39">
                  <c:v>-3.8666987842401402E-13</c:v>
                </c:pt>
                <c:pt idx="40">
                  <c:v>-3.96584490691296E-13</c:v>
                </c:pt>
                <c:pt idx="41">
                  <c:v>-4.06499102958579E-13</c:v>
                </c:pt>
                <c:pt idx="42">
                  <c:v>-4.1641371522586098E-13</c:v>
                </c:pt>
                <c:pt idx="43">
                  <c:v>-4.2632832749314302E-13</c:v>
                </c:pt>
                <c:pt idx="44">
                  <c:v>-4.3624293976042602E-13</c:v>
                </c:pt>
                <c:pt idx="45">
                  <c:v>-4.46157552027708E-13</c:v>
                </c:pt>
                <c:pt idx="46">
                  <c:v>-4.5607216429499105E-13</c:v>
                </c:pt>
                <c:pt idx="47">
                  <c:v>-4.6598677656227303E-13</c:v>
                </c:pt>
                <c:pt idx="48">
                  <c:v>-4.7590138882955502E-13</c:v>
                </c:pt>
                <c:pt idx="49">
                  <c:v>-4.8581600109683802E-13</c:v>
                </c:pt>
                <c:pt idx="50">
                  <c:v>-4.9573061336412101E-13</c:v>
                </c:pt>
                <c:pt idx="51">
                  <c:v>-5.05645225631403E-13</c:v>
                </c:pt>
                <c:pt idx="52">
                  <c:v>-5.1555983789868599E-13</c:v>
                </c:pt>
                <c:pt idx="53">
                  <c:v>-5.2547445016596798E-13</c:v>
                </c:pt>
                <c:pt idx="54">
                  <c:v>-5.3538906243325098E-13</c:v>
                </c:pt>
                <c:pt idx="55">
                  <c:v>-5.4530367470053397E-13</c:v>
                </c:pt>
                <c:pt idx="56">
                  <c:v>-5.5521828696781596E-13</c:v>
                </c:pt>
                <c:pt idx="57">
                  <c:v>-5.6513289923509895E-13</c:v>
                </c:pt>
                <c:pt idx="58">
                  <c:v>-5.7504751150238205E-13</c:v>
                </c:pt>
                <c:pt idx="59">
                  <c:v>-5.8496212376966404E-13</c:v>
                </c:pt>
                <c:pt idx="60">
                  <c:v>-5.9487673603694703E-13</c:v>
                </c:pt>
                <c:pt idx="61">
                  <c:v>-6.0479134830423003E-13</c:v>
                </c:pt>
                <c:pt idx="62">
                  <c:v>-6.1470596057151302E-13</c:v>
                </c:pt>
                <c:pt idx="63">
                  <c:v>-6.2462057283879501E-13</c:v>
                </c:pt>
                <c:pt idx="64">
                  <c:v>-6.34535185106078E-13</c:v>
                </c:pt>
                <c:pt idx="65">
                  <c:v>-6.44449797373361E-13</c:v>
                </c:pt>
                <c:pt idx="66">
                  <c:v>-6.5436440964064299E-13</c:v>
                </c:pt>
                <c:pt idx="67">
                  <c:v>-6.6427902190792598E-13</c:v>
                </c:pt>
                <c:pt idx="68">
                  <c:v>-6.7419363417520797E-13</c:v>
                </c:pt>
                <c:pt idx="69">
                  <c:v>-6.8410824644249096E-13</c:v>
                </c:pt>
                <c:pt idx="70">
                  <c:v>-6.9402285870977295E-13</c:v>
                </c:pt>
                <c:pt idx="71">
                  <c:v>-7.0393747097705504E-13</c:v>
                </c:pt>
                <c:pt idx="72">
                  <c:v>-7.1385208324433803E-13</c:v>
                </c:pt>
                <c:pt idx="73">
                  <c:v>-7.2376669551162002E-13</c:v>
                </c:pt>
                <c:pt idx="74">
                  <c:v>-7.3368130777890301E-13</c:v>
                </c:pt>
                <c:pt idx="75">
                  <c:v>-7.43595920046185E-13</c:v>
                </c:pt>
                <c:pt idx="76">
                  <c:v>-7.5351053231346699E-13</c:v>
                </c:pt>
                <c:pt idx="77">
                  <c:v>-7.6342514458074897E-13</c:v>
                </c:pt>
                <c:pt idx="78">
                  <c:v>-7.7333975684803096E-13</c:v>
                </c:pt>
                <c:pt idx="79">
                  <c:v>-7.8325436911531395E-13</c:v>
                </c:pt>
                <c:pt idx="80">
                  <c:v>-7.9316898138259604E-13</c:v>
                </c:pt>
                <c:pt idx="81">
                  <c:v>-8.0308359364987803E-13</c:v>
                </c:pt>
                <c:pt idx="82">
                  <c:v>-8.1299820591716001E-13</c:v>
                </c:pt>
                <c:pt idx="83">
                  <c:v>-8.22912818184442E-13</c:v>
                </c:pt>
                <c:pt idx="84">
                  <c:v>-8.3282743045172399E-13</c:v>
                </c:pt>
                <c:pt idx="85">
                  <c:v>-8.4274204271900597E-13</c:v>
                </c:pt>
                <c:pt idx="86">
                  <c:v>-8.5265665498628897E-13</c:v>
                </c:pt>
                <c:pt idx="87">
                  <c:v>-8.6257126725357095E-13</c:v>
                </c:pt>
                <c:pt idx="88">
                  <c:v>-8.7248587952085304E-13</c:v>
                </c:pt>
                <c:pt idx="89">
                  <c:v>-8.8240049178813503E-13</c:v>
                </c:pt>
                <c:pt idx="90">
                  <c:v>-8.9231510405541701E-13</c:v>
                </c:pt>
                <c:pt idx="91">
                  <c:v>-9.0222971632270001E-13</c:v>
                </c:pt>
                <c:pt idx="92">
                  <c:v>-9.121443285899821E-13</c:v>
                </c:pt>
                <c:pt idx="93">
                  <c:v>-9.2205894085726398E-13</c:v>
                </c:pt>
                <c:pt idx="94">
                  <c:v>-9.3197355312454708E-13</c:v>
                </c:pt>
                <c:pt idx="95">
                  <c:v>-9.4188816539182896E-13</c:v>
                </c:pt>
                <c:pt idx="96">
                  <c:v>-9.5180277765911206E-13</c:v>
                </c:pt>
                <c:pt idx="97">
                  <c:v>-9.6171738992639394E-13</c:v>
                </c:pt>
                <c:pt idx="98">
                  <c:v>-9.7163200219367704E-13</c:v>
                </c:pt>
                <c:pt idx="99">
                  <c:v>-9.8154661446095994E-13</c:v>
                </c:pt>
                <c:pt idx="100">
                  <c:v>-9.9146122672824202E-13</c:v>
                </c:pt>
                <c:pt idx="101">
                  <c:v>-1.0013758389955201E-12</c:v>
                </c:pt>
                <c:pt idx="102">
                  <c:v>-1.0112904512627999E-12</c:v>
                </c:pt>
                <c:pt idx="103">
                  <c:v>-1.0212050635300899E-12</c:v>
                </c:pt>
                <c:pt idx="104">
                  <c:v>-1.03111967579737E-12</c:v>
                </c:pt>
                <c:pt idx="105">
                  <c:v>-1.04103428806465E-12</c:v>
                </c:pt>
                <c:pt idx="106">
                  <c:v>-1.0509489003319299E-12</c:v>
                </c:pt>
                <c:pt idx="107">
                  <c:v>-1.0608635125992201E-12</c:v>
                </c:pt>
                <c:pt idx="108">
                  <c:v>-1.0707781248664999E-12</c:v>
                </c:pt>
                <c:pt idx="109">
                  <c:v>-1.08069273713378E-12</c:v>
                </c:pt>
                <c:pt idx="110">
                  <c:v>-1.0906073494010601E-12</c:v>
                </c:pt>
                <c:pt idx="111">
                  <c:v>-1.10052196166835E-12</c:v>
                </c:pt>
                <c:pt idx="112">
                  <c:v>-1.1104365739356301E-12</c:v>
                </c:pt>
                <c:pt idx="113">
                  <c:v>-1.12035118620291E-12</c:v>
                </c:pt>
                <c:pt idx="114">
                  <c:v>-1.13026579847019E-12</c:v>
                </c:pt>
                <c:pt idx="115">
                  <c:v>-1.1401804107374701E-12</c:v>
                </c:pt>
                <c:pt idx="116">
                  <c:v>-1.1500950230047601E-12</c:v>
                </c:pt>
                <c:pt idx="117">
                  <c:v>-1.1600096352720399E-12</c:v>
                </c:pt>
                <c:pt idx="118">
                  <c:v>-1.16992424753932E-12</c:v>
                </c:pt>
                <c:pt idx="119">
                  <c:v>-1.1798388598066001E-12</c:v>
                </c:pt>
                <c:pt idx="120">
                  <c:v>-1.1897534720738799E-12</c:v>
                </c:pt>
                <c:pt idx="121">
                  <c:v>-1.1996680843411701E-12</c:v>
                </c:pt>
                <c:pt idx="122">
                  <c:v>-1.20958269660845E-12</c:v>
                </c:pt>
                <c:pt idx="123">
                  <c:v>-1.21949730887573E-12</c:v>
                </c:pt>
                <c:pt idx="124">
                  <c:v>-1.2294119211430101E-12</c:v>
                </c:pt>
                <c:pt idx="125">
                  <c:v>-1.23932653341029E-12</c:v>
                </c:pt>
                <c:pt idx="126">
                  <c:v>-1.2492411456775799E-12</c:v>
                </c:pt>
                <c:pt idx="127">
                  <c:v>-1.25915575794486E-12</c:v>
                </c:pt>
                <c:pt idx="128">
                  <c:v>-1.2690703702121401E-12</c:v>
                </c:pt>
                <c:pt idx="129">
                  <c:v>-1.2789849824794199E-12</c:v>
                </c:pt>
                <c:pt idx="130">
                  <c:v>-1.2888995947467101E-12</c:v>
                </c:pt>
                <c:pt idx="131">
                  <c:v>-1.29881420701399E-12</c:v>
                </c:pt>
                <c:pt idx="132">
                  <c:v>-1.30872881928127E-12</c:v>
                </c:pt>
                <c:pt idx="133">
                  <c:v>-1.31864343154856E-12</c:v>
                </c:pt>
                <c:pt idx="134">
                  <c:v>-1.32855804381584E-12</c:v>
                </c:pt>
                <c:pt idx="135">
                  <c:v>-1.3384726560831199E-12</c:v>
                </c:pt>
                <c:pt idx="136">
                  <c:v>-1.6841645391714501E-5</c:v>
                </c:pt>
                <c:pt idx="137">
                  <c:v>-1.7807219335945101E-5</c:v>
                </c:pt>
                <c:pt idx="138">
                  <c:v>-2.8967231711644502E-6</c:v>
                </c:pt>
                <c:pt idx="139">
                  <c:v>2.7889843102627399E-5</c:v>
                </c:pt>
                <c:pt idx="140">
                  <c:v>7.4552479485430595E-5</c:v>
                </c:pt>
                <c:pt idx="141">
                  <c:v>2.5448127404430898E-4</c:v>
                </c:pt>
                <c:pt idx="142">
                  <c:v>5.2966648925725399E-4</c:v>
                </c:pt>
                <c:pt idx="143">
                  <c:v>9.0010812512426603E-4</c:v>
                </c:pt>
                <c:pt idx="144" formatCode="General">
                  <c:v>1.3658061816453401E-3</c:v>
                </c:pt>
                <c:pt idx="145" formatCode="General">
                  <c:v>1.92676065882048E-3</c:v>
                </c:pt>
                <c:pt idx="146" formatCode="General">
                  <c:v>2.5829715566497002E-3</c:v>
                </c:pt>
                <c:pt idx="147" formatCode="General">
                  <c:v>3.3344388751329898E-3</c:v>
                </c:pt>
                <c:pt idx="148" formatCode="General">
                  <c:v>4.1811626142703399E-3</c:v>
                </c:pt>
                <c:pt idx="149" formatCode="General">
                  <c:v>5.1231427740617702E-3</c:v>
                </c:pt>
                <c:pt idx="150" formatCode="General">
                  <c:v>6.16037935450726E-3</c:v>
                </c:pt>
                <c:pt idx="151" formatCode="General">
                  <c:v>7.2928723556068102E-3</c:v>
                </c:pt>
                <c:pt idx="152" formatCode="General">
                  <c:v>8.5206217773604303E-3</c:v>
                </c:pt>
                <c:pt idx="153" formatCode="General">
                  <c:v>9.8436276197681194E-3</c:v>
                </c:pt>
                <c:pt idx="154" formatCode="General">
                  <c:v>1.1261889882829799E-2</c:v>
                </c:pt>
                <c:pt idx="155" formatCode="General">
                  <c:v>1.2775408566545699E-2</c:v>
                </c:pt>
                <c:pt idx="156" formatCode="General">
                  <c:v>1.4384183670915599E-2</c:v>
                </c:pt>
                <c:pt idx="157" formatCode="General">
                  <c:v>1.60882151959395E-2</c:v>
                </c:pt>
                <c:pt idx="158" formatCode="General">
                  <c:v>1.7887503141617599E-2</c:v>
                </c:pt>
                <c:pt idx="159" formatCode="General">
                  <c:v>1.97820475079497E-2</c:v>
                </c:pt>
                <c:pt idx="160" formatCode="General">
                  <c:v>2.1771848294935801E-2</c:v>
                </c:pt>
                <c:pt idx="161" formatCode="General">
                  <c:v>2.38569055025761E-2</c:v>
                </c:pt>
                <c:pt idx="162" formatCode="General">
                  <c:v>2.6037219130870301E-2</c:v>
                </c:pt>
                <c:pt idx="163" formatCode="General">
                  <c:v>2.83127891798187E-2</c:v>
                </c:pt>
                <c:pt idx="164" formatCode="General">
                  <c:v>3.0683615649421101E-2</c:v>
                </c:pt>
                <c:pt idx="165" formatCode="General">
                  <c:v>3.3149698539677599E-2</c:v>
                </c:pt>
                <c:pt idx="166" formatCode="General">
                  <c:v>3.5711037850588198E-2</c:v>
                </c:pt>
                <c:pt idx="167" formatCode="General">
                  <c:v>3.83676335821529E-2</c:v>
                </c:pt>
                <c:pt idx="168" formatCode="General">
                  <c:v>4.1119485734371602E-2</c:v>
                </c:pt>
                <c:pt idx="169" formatCode="General">
                  <c:v>4.3966594307244401E-2</c:v>
                </c:pt>
                <c:pt idx="170" formatCode="General">
                  <c:v>4.6908959300771297E-2</c:v>
                </c:pt>
                <c:pt idx="171" formatCode="General">
                  <c:v>4.9946580714952303E-2</c:v>
                </c:pt>
                <c:pt idx="172" formatCode="General">
                  <c:v>5.3079458549787198E-2</c:v>
                </c:pt>
                <c:pt idx="173" formatCode="General">
                  <c:v>5.6307592805276301E-2</c:v>
                </c:pt>
                <c:pt idx="174" formatCode="General">
                  <c:v>5.9630983481419403E-2</c:v>
                </c:pt>
                <c:pt idx="175" formatCode="General">
                  <c:v>6.3049630578216595E-2</c:v>
                </c:pt>
                <c:pt idx="176" formatCode="General">
                  <c:v>6.6563534095667801E-2</c:v>
                </c:pt>
                <c:pt idx="177" formatCode="General">
                  <c:v>7.01726940337732E-2</c:v>
                </c:pt>
                <c:pt idx="178" formatCode="General">
                  <c:v>7.3877110392532599E-2</c:v>
                </c:pt>
                <c:pt idx="179" formatCode="General">
                  <c:v>7.7676783171946095E-2</c:v>
                </c:pt>
                <c:pt idx="180" formatCode="General">
                  <c:v>8.1571712372013605E-2</c:v>
                </c:pt>
                <c:pt idx="181" formatCode="General">
                  <c:v>8.5561897992735197E-2</c:v>
                </c:pt>
                <c:pt idx="182" formatCode="General">
                  <c:v>8.9647340034110803E-2</c:v>
                </c:pt>
                <c:pt idx="183" formatCode="General">
                  <c:v>9.3828038496140506E-2</c:v>
                </c:pt>
                <c:pt idx="184" formatCode="General">
                  <c:v>9.8103993378824306E-2</c:v>
                </c:pt>
                <c:pt idx="185" formatCode="General">
                  <c:v>0.10247520468216199</c:v>
                </c:pt>
                <c:pt idx="186" formatCode="General">
                  <c:v>0.106941672406154</c:v>
                </c:pt>
                <c:pt idx="187" formatCode="General">
                  <c:v>0.11150339655079999</c:v>
                </c:pt>
                <c:pt idx="188" formatCode="General">
                  <c:v>0.1161603771161</c:v>
                </c:pt>
                <c:pt idx="189" formatCode="General">
                  <c:v>0.12091261410205401</c:v>
                </c:pt>
                <c:pt idx="190" formatCode="General">
                  <c:v>0.12576010750866201</c:v>
                </c:pt>
                <c:pt idx="191" formatCode="General">
                  <c:v>0.13070285733592399</c:v>
                </c:pt>
                <c:pt idx="192" formatCode="General">
                  <c:v>0.13574086358383999</c:v>
                </c:pt>
                <c:pt idx="193" formatCode="General">
                  <c:v>0.140874126252411</c:v>
                </c:pt>
                <c:pt idx="194" formatCode="General">
                  <c:v>0.146102645341635</c:v>
                </c:pt>
                <c:pt idx="195" formatCode="General">
                  <c:v>0.15142642085151301</c:v>
                </c:pt>
                <c:pt idx="196" formatCode="General">
                  <c:v>0.15684545278204601</c:v>
                </c:pt>
                <c:pt idx="197" formatCode="General">
                  <c:v>0.16235974113323301</c:v>
                </c:pt>
                <c:pt idx="198" formatCode="General">
                  <c:v>0.16796928590507401</c:v>
                </c:pt>
                <c:pt idx="199" formatCode="General">
                  <c:v>0.17367408709756799</c:v>
                </c:pt>
                <c:pt idx="200" formatCode="General">
                  <c:v>0.17947414471071699</c:v>
                </c:pt>
                <c:pt idx="201" formatCode="General">
                  <c:v>0.18536945874451999</c:v>
                </c:pt>
                <c:pt idx="202" formatCode="General">
                  <c:v>0.19136002919897699</c:v>
                </c:pt>
                <c:pt idx="203" formatCode="General">
                  <c:v>0.19744585607408799</c:v>
                </c:pt>
                <c:pt idx="204" formatCode="General">
                  <c:v>0.20362693936985399</c:v>
                </c:pt>
                <c:pt idx="205" formatCode="General">
                  <c:v>0.20990327908627299</c:v>
                </c:pt>
                <c:pt idx="206" formatCode="General">
                  <c:v>0.21627487522334601</c:v>
                </c:pt>
                <c:pt idx="207" formatCode="General">
                  <c:v>0.22274172778107401</c:v>
                </c:pt>
                <c:pt idx="208" formatCode="General">
                  <c:v>0.22930383675945501</c:v>
                </c:pt>
                <c:pt idx="209" formatCode="General">
                  <c:v>0.23596120215849101</c:v>
                </c:pt>
                <c:pt idx="210" formatCode="General">
                  <c:v>0.242713823978181</c:v>
                </c:pt>
                <c:pt idx="211" formatCode="General">
                  <c:v>0.249561702218524</c:v>
                </c:pt>
                <c:pt idx="212" formatCode="General">
                  <c:v>0.25650483687952202</c:v>
                </c:pt>
                <c:pt idx="213" formatCode="General">
                  <c:v>0.26354322796117402</c:v>
                </c:pt>
                <c:pt idx="214" formatCode="General">
                  <c:v>0.27067687546347902</c:v>
                </c:pt>
                <c:pt idx="215" formatCode="General">
                  <c:v>0.27790577938643901</c:v>
                </c:pt>
                <c:pt idx="216" formatCode="General">
                  <c:v>0.28522993973005301</c:v>
                </c:pt>
                <c:pt idx="217" formatCode="General">
                  <c:v>0.292649356494321</c:v>
                </c:pt>
                <c:pt idx="218" formatCode="General">
                  <c:v>0.30016402967924299</c:v>
                </c:pt>
                <c:pt idx="219" formatCode="General">
                  <c:v>0.30777395928481999</c:v>
                </c:pt>
                <c:pt idx="220" formatCode="General">
                  <c:v>0.31547914531104998</c:v>
                </c:pt>
                <c:pt idx="221" formatCode="General">
                  <c:v>0.32327958775793397</c:v>
                </c:pt>
                <c:pt idx="222" formatCode="General">
                  <c:v>0.33117528662547302</c:v>
                </c:pt>
                <c:pt idx="223" formatCode="General">
                  <c:v>0.33916624191366501</c:v>
                </c:pt>
                <c:pt idx="224" formatCode="General">
                  <c:v>0.347252453622512</c:v>
                </c:pt>
                <c:pt idx="225" formatCode="General">
                  <c:v>0.35543392175201299</c:v>
                </c:pt>
                <c:pt idx="226" formatCode="General">
                  <c:v>0.36371064630216798</c:v>
                </c:pt>
                <c:pt idx="227" formatCode="General">
                  <c:v>0.37208262727297697</c:v>
                </c:pt>
                <c:pt idx="228" formatCode="General">
                  <c:v>0.38054986466443902</c:v>
                </c:pt>
                <c:pt idx="229" formatCode="General">
                  <c:v>0.38911235847655701</c:v>
                </c:pt>
                <c:pt idx="230" formatCode="General">
                  <c:v>0.397770108709328</c:v>
                </c:pt>
                <c:pt idx="231" formatCode="General">
                  <c:v>0.40652311536275298</c:v>
                </c:pt>
                <c:pt idx="232" formatCode="General">
                  <c:v>0.41537137843683197</c:v>
                </c:pt>
                <c:pt idx="233" formatCode="General">
                  <c:v>0.42431489793156502</c:v>
                </c:pt>
                <c:pt idx="234" formatCode="General">
                  <c:v>0.433353673846952</c:v>
                </c:pt>
                <c:pt idx="235" formatCode="General">
                  <c:v>0.44248770618299399</c:v>
                </c:pt>
                <c:pt idx="236" formatCode="General">
                  <c:v>0.45171699493968898</c:v>
                </c:pt>
                <c:pt idx="237" formatCode="General">
                  <c:v>0.46104154011703802</c:v>
                </c:pt>
                <c:pt idx="238" formatCode="General">
                  <c:v>0.470461341715041</c:v>
                </c:pt>
                <c:pt idx="239" formatCode="General">
                  <c:v>0.47997639973369899</c:v>
                </c:pt>
                <c:pt idx="240" formatCode="General">
                  <c:v>0.48958671417300997</c:v>
                </c:pt>
                <c:pt idx="241" formatCode="General">
                  <c:v>0.49929228503297601</c:v>
                </c:pt>
                <c:pt idx="242" formatCode="General">
                  <c:v>0.509093112313595</c:v>
                </c:pt>
                <c:pt idx="243" formatCode="General">
                  <c:v>0.51898919601486904</c:v>
                </c:pt>
                <c:pt idx="244" formatCode="General">
                  <c:v>0.52898053613679696</c:v>
                </c:pt>
                <c:pt idx="245" formatCode="General">
                  <c:v>0.539067132679378</c:v>
                </c:pt>
                <c:pt idx="246" formatCode="General">
                  <c:v>0.54924898564261404</c:v>
                </c:pt>
                <c:pt idx="247" formatCode="General">
                  <c:v>0.55952609502650397</c:v>
                </c:pt>
                <c:pt idx="248" formatCode="General">
                  <c:v>0.569898460831048</c:v>
                </c:pt>
                <c:pt idx="249" formatCode="General">
                  <c:v>0.58036608305624504</c:v>
                </c:pt>
                <c:pt idx="250" formatCode="General">
                  <c:v>0.59092896170209697</c:v>
                </c:pt>
                <c:pt idx="251" formatCode="General">
                  <c:v>0.601491840347949</c:v>
                </c:pt>
                <c:pt idx="252" formatCode="General">
                  <c:v>0.61195946257314704</c:v>
                </c:pt>
                <c:pt idx="253" formatCode="General">
                  <c:v>0.62233182837768997</c:v>
                </c:pt>
                <c:pt idx="254" formatCode="General">
                  <c:v>0.63260893776158</c:v>
                </c:pt>
                <c:pt idx="255" formatCode="General">
                  <c:v>0.64279079072481504</c:v>
                </c:pt>
                <c:pt idx="256" formatCode="General">
                  <c:v>0.65287738726739697</c:v>
                </c:pt>
                <c:pt idx="257" formatCode="General">
                  <c:v>0.66286872738932401</c:v>
                </c:pt>
                <c:pt idx="258" formatCode="General">
                  <c:v>0.67276481109059705</c:v>
                </c:pt>
                <c:pt idx="259" formatCode="General">
                  <c:v>0.68256563837121598</c:v>
                </c:pt>
                <c:pt idx="260" formatCode="General">
                  <c:v>0.69227120923118202</c:v>
                </c:pt>
                <c:pt idx="261" formatCode="General">
                  <c:v>0.70188152367049295</c:v>
                </c:pt>
                <c:pt idx="262" formatCode="General">
                  <c:v>0.71139658168914899</c:v>
                </c:pt>
                <c:pt idx="263" formatCode="General">
                  <c:v>0.72081638328715203</c:v>
                </c:pt>
                <c:pt idx="264" formatCode="General">
                  <c:v>0.73014092846450096</c:v>
                </c:pt>
                <c:pt idx="265" formatCode="General">
                  <c:v>0.739370217221196</c:v>
                </c:pt>
                <c:pt idx="266" formatCode="General">
                  <c:v>0.74850424955723605</c:v>
                </c:pt>
                <c:pt idx="267" formatCode="General">
                  <c:v>0.75754302547262298</c:v>
                </c:pt>
                <c:pt idx="268" formatCode="General">
                  <c:v>0.76648654496735502</c:v>
                </c:pt>
                <c:pt idx="269" formatCode="General">
                  <c:v>0.77533480804143295</c:v>
                </c:pt>
                <c:pt idx="270" formatCode="General">
                  <c:v>0.784087814694858</c:v>
                </c:pt>
                <c:pt idx="271" formatCode="General">
                  <c:v>0.79274556492762804</c:v>
                </c:pt>
                <c:pt idx="272" formatCode="General">
                  <c:v>0.80130805873974298</c:v>
                </c:pt>
                <c:pt idx="273" formatCode="General">
                  <c:v>0.80977529613120502</c:v>
                </c:pt>
                <c:pt idx="274" formatCode="General">
                  <c:v>0.81814727710201296</c:v>
                </c:pt>
                <c:pt idx="275" formatCode="General">
                  <c:v>0.82642400165216601</c:v>
                </c:pt>
                <c:pt idx="276" formatCode="General">
                  <c:v>0.83460546978166505</c:v>
                </c:pt>
                <c:pt idx="277" formatCode="General">
                  <c:v>0.84269168149050999</c:v>
                </c:pt>
                <c:pt idx="278" formatCode="General">
                  <c:v>0.85068263677870104</c:v>
                </c:pt>
                <c:pt idx="279" formatCode="General">
                  <c:v>0.85857833564623898</c:v>
                </c:pt>
                <c:pt idx="280" formatCode="General">
                  <c:v>0.86637877809312103</c:v>
                </c:pt>
                <c:pt idx="281" formatCode="General">
                  <c:v>0.87408396411934997</c:v>
                </c:pt>
                <c:pt idx="282" formatCode="General">
                  <c:v>0.88169389372492502</c:v>
                </c:pt>
                <c:pt idx="283" formatCode="General">
                  <c:v>0.88920856690984496</c:v>
                </c:pt>
                <c:pt idx="284" formatCode="General">
                  <c:v>0.89662798367411201</c:v>
                </c:pt>
                <c:pt idx="285" formatCode="General">
                  <c:v>0.90395214401772395</c:v>
                </c:pt>
                <c:pt idx="286" formatCode="General">
                  <c:v>0.911181047940682</c:v>
                </c:pt>
                <c:pt idx="287" formatCode="General">
                  <c:v>0.91831469544298605</c:v>
                </c:pt>
                <c:pt idx="288" formatCode="General">
                  <c:v>0.92535308652463599</c:v>
                </c:pt>
                <c:pt idx="289" formatCode="General">
                  <c:v>0.93229622118563205</c:v>
                </c:pt>
                <c:pt idx="290" formatCode="General">
                  <c:v>0.93914409942597399</c:v>
                </c:pt>
                <c:pt idx="291" formatCode="General">
                  <c:v>0.94589672124566204</c:v>
                </c:pt>
                <c:pt idx="292" formatCode="General">
                  <c:v>0.95255408664469599</c:v>
                </c:pt>
                <c:pt idx="293" formatCode="General">
                  <c:v>0.95911619562307604</c:v>
                </c:pt>
                <c:pt idx="294" formatCode="General">
                  <c:v>0.96558304818080298</c:v>
                </c:pt>
                <c:pt idx="295" formatCode="General">
                  <c:v>0.97195464431787504</c:v>
                </c:pt>
                <c:pt idx="296" formatCode="General">
                  <c:v>0.97823098403429398</c:v>
                </c:pt>
                <c:pt idx="297" formatCode="General">
                  <c:v>0.98441206733005704</c:v>
                </c:pt>
                <c:pt idx="298" formatCode="General">
                  <c:v>0.99049789420516698</c:v>
                </c:pt>
                <c:pt idx="299" formatCode="General">
                  <c:v>0.99648846465962404</c:v>
                </c:pt>
                <c:pt idx="300" formatCode="General">
                  <c:v>1.00238377869342</c:v>
                </c:pt>
                <c:pt idx="301" formatCode="General">
                  <c:v>1.00818383630657</c:v>
                </c:pt>
                <c:pt idx="302" formatCode="General">
                  <c:v>1.0138886374990601</c:v>
                </c:pt>
                <c:pt idx="303" formatCode="General">
                  <c:v>1.0194981822708999</c:v>
                </c:pt>
                <c:pt idx="304" formatCode="General">
                  <c:v>1.02501247062209</c:v>
                </c:pt>
                <c:pt idx="305" formatCode="General">
                  <c:v>1.0304315025526201</c:v>
                </c:pt>
                <c:pt idx="306" formatCode="General">
                  <c:v>1.0357552780624999</c:v>
                </c:pt>
                <c:pt idx="307" formatCode="General">
                  <c:v>1.04098379715173</c:v>
                </c:pt>
                <c:pt idx="308" formatCode="General">
                  <c:v>1.0461170598203</c:v>
                </c:pt>
                <c:pt idx="309" formatCode="General">
                  <c:v>1.0511550660682101</c:v>
                </c:pt>
                <c:pt idx="310" formatCode="General">
                  <c:v>1.0560978158954699</c:v>
                </c:pt>
                <c:pt idx="311" formatCode="General">
                  <c:v>1.06094530930208</c:v>
                </c:pt>
                <c:pt idx="312" formatCode="General">
                  <c:v>1.06569754628804</c:v>
                </c:pt>
                <c:pt idx="313" formatCode="General">
                  <c:v>1.0703545268533401</c:v>
                </c:pt>
                <c:pt idx="314" formatCode="General">
                  <c:v>1.0749162509979799</c:v>
                </c:pt>
                <c:pt idx="315" formatCode="General">
                  <c:v>1.07938271872197</c:v>
                </c:pt>
                <c:pt idx="316" formatCode="General">
                  <c:v>1.0837539300253101</c:v>
                </c:pt>
                <c:pt idx="317" formatCode="General">
                  <c:v>1.0880298849079899</c:v>
                </c:pt>
                <c:pt idx="318" formatCode="General">
                  <c:v>1.09221058337002</c:v>
                </c:pt>
                <c:pt idx="319" formatCode="General">
                  <c:v>1.0962960254114</c:v>
                </c:pt>
                <c:pt idx="320" formatCode="General">
                  <c:v>1.1002862110321201</c:v>
                </c:pt>
                <c:pt idx="321" formatCode="General">
                  <c:v>1.1041811402321799</c:v>
                </c:pt>
                <c:pt idx="322" formatCode="General">
                  <c:v>1.1079808130116</c:v>
                </c:pt>
                <c:pt idx="323" formatCode="General">
                  <c:v>1.1116852293703601</c:v>
                </c:pt>
                <c:pt idx="324" formatCode="General">
                  <c:v>1.1152943893084599</c:v>
                </c:pt>
                <c:pt idx="325" formatCode="General">
                  <c:v>1.11880829282591</c:v>
                </c:pt>
                <c:pt idx="326" formatCode="General">
                  <c:v>1.1222269399227101</c:v>
                </c:pt>
                <c:pt idx="327" formatCode="General">
                  <c:v>1.1255503305988499</c:v>
                </c:pt>
                <c:pt idx="328" formatCode="General">
                  <c:v>1.12877846485434</c:v>
                </c:pt>
                <c:pt idx="329" formatCode="General">
                  <c:v>1.13191134268918</c:v>
                </c:pt>
                <c:pt idx="330" formatCode="General">
                  <c:v>1.1349489641033601</c:v>
                </c:pt>
                <c:pt idx="331" formatCode="General">
                  <c:v>1.1378913290968899</c:v>
                </c:pt>
                <c:pt idx="332" formatCode="General">
                  <c:v>1.14073843766976</c:v>
                </c:pt>
                <c:pt idx="333" formatCode="General">
                  <c:v>1.1434902898219801</c:v>
                </c:pt>
                <c:pt idx="334" formatCode="General">
                  <c:v>1.1461468855535399</c:v>
                </c:pt>
                <c:pt idx="335" formatCode="General">
                  <c:v>1.14870822486445</c:v>
                </c:pt>
                <c:pt idx="336" formatCode="General">
                  <c:v>1.1511743077547101</c:v>
                </c:pt>
                <c:pt idx="337" formatCode="General">
                  <c:v>1.1535451342243199</c:v>
                </c:pt>
                <c:pt idx="338" formatCode="General">
                  <c:v>1.15582070427327</c:v>
                </c:pt>
                <c:pt idx="339" formatCode="General">
                  <c:v>1.1580010179015601</c:v>
                </c:pt>
                <c:pt idx="340" formatCode="General">
                  <c:v>1.1600860751091999</c:v>
                </c:pt>
                <c:pt idx="341" formatCode="General">
                  <c:v>1.16207587589619</c:v>
                </c:pt>
                <c:pt idx="342" formatCode="General">
                  <c:v>1.1639704202625201</c:v>
                </c:pt>
                <c:pt idx="343" formatCode="General">
                  <c:v>1.1657697082081999</c:v>
                </c:pt>
                <c:pt idx="344" formatCode="General">
                  <c:v>1.16747373973323</c:v>
                </c:pt>
                <c:pt idx="345" formatCode="General">
                  <c:v>1.1690825148376001</c:v>
                </c:pt>
                <c:pt idx="346" formatCode="General">
                  <c:v>1.1705960335213199</c:v>
                </c:pt>
                <c:pt idx="347" formatCode="General">
                  <c:v>1.17201429578438</c:v>
                </c:pt>
                <c:pt idx="348" formatCode="General">
                  <c:v>1.1733373016267901</c:v>
                </c:pt>
                <c:pt idx="349" formatCode="General">
                  <c:v>1.1745650510485399</c:v>
                </c:pt>
                <c:pt idx="350" formatCode="General">
                  <c:v>1.17569754404964</c:v>
                </c:pt>
                <c:pt idx="351" formatCode="General">
                  <c:v>1.1767347806300901</c:v>
                </c:pt>
                <c:pt idx="352" formatCode="General">
                  <c:v>1.1776767607898799</c:v>
                </c:pt>
                <c:pt idx="353" formatCode="General">
                  <c:v>1.17852348452902</c:v>
                </c:pt>
                <c:pt idx="354" formatCode="General">
                  <c:v>1.1792749518475101</c:v>
                </c:pt>
                <c:pt idx="355" formatCode="General">
                  <c:v>1.1799311627453399</c:v>
                </c:pt>
                <c:pt idx="356" formatCode="General">
                  <c:v>1.18049211722251</c:v>
                </c:pt>
                <c:pt idx="357" formatCode="General">
                  <c:v>1.1809578152790401</c:v>
                </c:pt>
                <c:pt idx="358" formatCode="General">
                  <c:v>1.1813282569149</c:v>
                </c:pt>
                <c:pt idx="359" formatCode="General">
                  <c:v>1.18160344213012</c:v>
                </c:pt>
                <c:pt idx="360" formatCode="General">
                  <c:v>1.1817833709246801</c:v>
                </c:pt>
                <c:pt idx="361" formatCode="General">
                  <c:v>1.1818300335610601</c:v>
                </c:pt>
                <c:pt idx="362" formatCode="General">
                  <c:v>1.18186082012734</c:v>
                </c:pt>
                <c:pt idx="363" formatCode="General">
                  <c:v>1.1818757306234999</c:v>
                </c:pt>
                <c:pt idx="364" formatCode="General">
                  <c:v>1.18187476504956</c:v>
                </c:pt>
                <c:pt idx="365" formatCode="General">
                  <c:v>1.18185792340551</c:v>
                </c:pt>
                <c:pt idx="366" formatCode="General">
                  <c:v>1.1818579234055</c:v>
                </c:pt>
                <c:pt idx="367" formatCode="General">
                  <c:v>1.18185792340549</c:v>
                </c:pt>
                <c:pt idx="368" formatCode="General">
                  <c:v>1.18185792340548</c:v>
                </c:pt>
                <c:pt idx="369" formatCode="General">
                  <c:v>1.18185792340547</c:v>
                </c:pt>
                <c:pt idx="370" formatCode="General">
                  <c:v>1.18185792340546</c:v>
                </c:pt>
                <c:pt idx="371" formatCode="General">
                  <c:v>1.18185792340546</c:v>
                </c:pt>
                <c:pt idx="372" formatCode="General">
                  <c:v>1.18185792340545</c:v>
                </c:pt>
                <c:pt idx="373" formatCode="General">
                  <c:v>1.18185792340544</c:v>
                </c:pt>
                <c:pt idx="374" formatCode="General">
                  <c:v>1.1818579234054301</c:v>
                </c:pt>
                <c:pt idx="375" formatCode="General">
                  <c:v>1.1818579234054201</c:v>
                </c:pt>
                <c:pt idx="376" formatCode="General">
                  <c:v>1.1818579234054101</c:v>
                </c:pt>
                <c:pt idx="377" formatCode="General">
                  <c:v>1.1818579234054001</c:v>
                </c:pt>
                <c:pt idx="378" formatCode="General">
                  <c:v>1.1818579234054001</c:v>
                </c:pt>
                <c:pt idx="379" formatCode="General">
                  <c:v>1.1818579234053901</c:v>
                </c:pt>
                <c:pt idx="380" formatCode="General">
                  <c:v>1.1818579234053801</c:v>
                </c:pt>
                <c:pt idx="381" formatCode="General">
                  <c:v>1.1818579234053701</c:v>
                </c:pt>
                <c:pt idx="382" formatCode="General">
                  <c:v>1.1818579234053599</c:v>
                </c:pt>
                <c:pt idx="383" formatCode="General">
                  <c:v>1.1818579234053499</c:v>
                </c:pt>
                <c:pt idx="384" formatCode="General">
                  <c:v>1.1818579234053499</c:v>
                </c:pt>
                <c:pt idx="385" formatCode="General">
                  <c:v>1.1818579234053399</c:v>
                </c:pt>
                <c:pt idx="386" formatCode="General">
                  <c:v>1.1818579234053299</c:v>
                </c:pt>
                <c:pt idx="387" formatCode="General">
                  <c:v>1.1818579234053199</c:v>
                </c:pt>
                <c:pt idx="388" formatCode="General">
                  <c:v>1.1818579234053099</c:v>
                </c:pt>
                <c:pt idx="389" formatCode="General">
                  <c:v>1.1818579234053099</c:v>
                </c:pt>
                <c:pt idx="390" formatCode="General">
                  <c:v>1.1818579234052999</c:v>
                </c:pt>
                <c:pt idx="391" formatCode="General">
                  <c:v>1.1818579234052899</c:v>
                </c:pt>
                <c:pt idx="392" formatCode="General">
                  <c:v>1.18185792340528</c:v>
                </c:pt>
                <c:pt idx="393" formatCode="General">
                  <c:v>1.18185792340527</c:v>
                </c:pt>
                <c:pt idx="394" formatCode="General">
                  <c:v>1.18185792340526</c:v>
                </c:pt>
                <c:pt idx="395" formatCode="General">
                  <c:v>1.18185792340526</c:v>
                </c:pt>
                <c:pt idx="396" formatCode="General">
                  <c:v>1.18185792340525</c:v>
                </c:pt>
                <c:pt idx="397" formatCode="General">
                  <c:v>1.18185792340524</c:v>
                </c:pt>
                <c:pt idx="398" formatCode="General">
                  <c:v>1.18185792340523</c:v>
                </c:pt>
                <c:pt idx="399" formatCode="General">
                  <c:v>1.18185792340522</c:v>
                </c:pt>
                <c:pt idx="400" formatCode="General">
                  <c:v>1.18185792340522</c:v>
                </c:pt>
                <c:pt idx="401" formatCode="General">
                  <c:v>1.18185792340521</c:v>
                </c:pt>
                <c:pt idx="402" formatCode="General">
                  <c:v>1.1818579234052</c:v>
                </c:pt>
                <c:pt idx="403" formatCode="General">
                  <c:v>1.18185792340519</c:v>
                </c:pt>
                <c:pt idx="404" formatCode="General">
                  <c:v>1.18185792340519</c:v>
                </c:pt>
                <c:pt idx="405" formatCode="General">
                  <c:v>1.18185792340518</c:v>
                </c:pt>
                <c:pt idx="406" formatCode="General">
                  <c:v>1.18185792340517</c:v>
                </c:pt>
                <c:pt idx="407" formatCode="General">
                  <c:v>1.18185792340517</c:v>
                </c:pt>
                <c:pt idx="408" formatCode="General">
                  <c:v>1.18185792340516</c:v>
                </c:pt>
                <c:pt idx="409" formatCode="General">
                  <c:v>1.1818579234051501</c:v>
                </c:pt>
                <c:pt idx="410" formatCode="General">
                  <c:v>1.1818579234051401</c:v>
                </c:pt>
                <c:pt idx="411" formatCode="General">
                  <c:v>1.1818579234051401</c:v>
                </c:pt>
                <c:pt idx="412" formatCode="General">
                  <c:v>1.1818579234051301</c:v>
                </c:pt>
                <c:pt idx="413" formatCode="General">
                  <c:v>1.1818579234051201</c:v>
                </c:pt>
                <c:pt idx="414" formatCode="General">
                  <c:v>1.1818579234051101</c:v>
                </c:pt>
                <c:pt idx="415" formatCode="General">
                  <c:v>1.1818579234051101</c:v>
                </c:pt>
                <c:pt idx="416" formatCode="General">
                  <c:v>1.1818579234051001</c:v>
                </c:pt>
                <c:pt idx="417" formatCode="General">
                  <c:v>1.1818579234050901</c:v>
                </c:pt>
                <c:pt idx="418" formatCode="General">
                  <c:v>1.1818579234050799</c:v>
                </c:pt>
                <c:pt idx="419" formatCode="General">
                  <c:v>1.1818579234050799</c:v>
                </c:pt>
                <c:pt idx="420" formatCode="General">
                  <c:v>1.1818579234050699</c:v>
                </c:pt>
                <c:pt idx="421" formatCode="General">
                  <c:v>1.1818579234050599</c:v>
                </c:pt>
                <c:pt idx="422" formatCode="General">
                  <c:v>1.1818579234050599</c:v>
                </c:pt>
                <c:pt idx="423" formatCode="General">
                  <c:v>1.1818579234050499</c:v>
                </c:pt>
                <c:pt idx="424" formatCode="General">
                  <c:v>1.1818579234050399</c:v>
                </c:pt>
                <c:pt idx="425" formatCode="General">
                  <c:v>1.1818579234050399</c:v>
                </c:pt>
                <c:pt idx="426" formatCode="General">
                  <c:v>1.1818579234050299</c:v>
                </c:pt>
                <c:pt idx="427" formatCode="General">
                  <c:v>1.1818579234050199</c:v>
                </c:pt>
                <c:pt idx="428" formatCode="General">
                  <c:v>1.1818579234050199</c:v>
                </c:pt>
                <c:pt idx="429" formatCode="General">
                  <c:v>1.1818579234050099</c:v>
                </c:pt>
                <c:pt idx="430" formatCode="General">
                  <c:v>1.1818579234050099</c:v>
                </c:pt>
                <c:pt idx="431" formatCode="General">
                  <c:v>1.181857923405</c:v>
                </c:pt>
                <c:pt idx="432" formatCode="General">
                  <c:v>1.18185792340499</c:v>
                </c:pt>
                <c:pt idx="433" formatCode="General">
                  <c:v>1.18185792340499</c:v>
                </c:pt>
                <c:pt idx="434" formatCode="General">
                  <c:v>1.18185792340498</c:v>
                </c:pt>
                <c:pt idx="435" formatCode="General">
                  <c:v>1.18185792340498</c:v>
                </c:pt>
                <c:pt idx="436" formatCode="General">
                  <c:v>1.18185792340497</c:v>
                </c:pt>
                <c:pt idx="437" formatCode="General">
                  <c:v>1.18185792340497</c:v>
                </c:pt>
                <c:pt idx="438" formatCode="General">
                  <c:v>1.18185792340496</c:v>
                </c:pt>
                <c:pt idx="439" formatCode="General">
                  <c:v>1.18185792340495</c:v>
                </c:pt>
                <c:pt idx="440" formatCode="General">
                  <c:v>1.18185792340495</c:v>
                </c:pt>
                <c:pt idx="441" formatCode="General">
                  <c:v>1.18185792340494</c:v>
                </c:pt>
                <c:pt idx="442" formatCode="General">
                  <c:v>1.18185792340494</c:v>
                </c:pt>
                <c:pt idx="443" formatCode="General">
                  <c:v>1.18185792340493</c:v>
                </c:pt>
                <c:pt idx="444" formatCode="General">
                  <c:v>1.18185792340493</c:v>
                </c:pt>
                <c:pt idx="445" formatCode="General">
                  <c:v>1.18185792340492</c:v>
                </c:pt>
                <c:pt idx="446" formatCode="General">
                  <c:v>1.18185792340492</c:v>
                </c:pt>
                <c:pt idx="447" formatCode="General">
                  <c:v>1.18185792340491</c:v>
                </c:pt>
                <c:pt idx="448" formatCode="General">
                  <c:v>1.18185792340491</c:v>
                </c:pt>
                <c:pt idx="449" formatCode="General">
                  <c:v>1.1818579234049</c:v>
                </c:pt>
                <c:pt idx="450" formatCode="General">
                  <c:v>1.18185792340489</c:v>
                </c:pt>
                <c:pt idx="451" formatCode="General">
                  <c:v>1.18185792340489</c:v>
                </c:pt>
                <c:pt idx="452" formatCode="General">
                  <c:v>1.1818579234048801</c:v>
                </c:pt>
                <c:pt idx="453" formatCode="General">
                  <c:v>1.1818579234048801</c:v>
                </c:pt>
                <c:pt idx="454" formatCode="General">
                  <c:v>1.1818579234048701</c:v>
                </c:pt>
                <c:pt idx="455" formatCode="General">
                  <c:v>1.1818579234048701</c:v>
                </c:pt>
                <c:pt idx="456" formatCode="General">
                  <c:v>1.1818579234048601</c:v>
                </c:pt>
                <c:pt idx="457" formatCode="General">
                  <c:v>1.1818579234048601</c:v>
                </c:pt>
                <c:pt idx="458" formatCode="General">
                  <c:v>1.1818579234048601</c:v>
                </c:pt>
                <c:pt idx="459" formatCode="General">
                  <c:v>1.1818579234048501</c:v>
                </c:pt>
                <c:pt idx="460" formatCode="General">
                  <c:v>1.1818579234048501</c:v>
                </c:pt>
                <c:pt idx="461" formatCode="General">
                  <c:v>1.1818579234048401</c:v>
                </c:pt>
                <c:pt idx="462" formatCode="General">
                  <c:v>1.1818579234048401</c:v>
                </c:pt>
                <c:pt idx="463" formatCode="General">
                  <c:v>1.1818579234048401</c:v>
                </c:pt>
                <c:pt idx="464" formatCode="General">
                  <c:v>1.1818579234048301</c:v>
                </c:pt>
                <c:pt idx="465" formatCode="General">
                  <c:v>1.1818579234048301</c:v>
                </c:pt>
                <c:pt idx="466" formatCode="General">
                  <c:v>1.1818579234048301</c:v>
                </c:pt>
                <c:pt idx="467" formatCode="General">
                  <c:v>1.1818579234048201</c:v>
                </c:pt>
                <c:pt idx="468" formatCode="General">
                  <c:v>1.1818579234048201</c:v>
                </c:pt>
                <c:pt idx="469" formatCode="General">
                  <c:v>1.1818579234048201</c:v>
                </c:pt>
                <c:pt idx="470" formatCode="General">
                  <c:v>1.1818579234048101</c:v>
                </c:pt>
                <c:pt idx="471" formatCode="General">
                  <c:v>1.1818579234048101</c:v>
                </c:pt>
                <c:pt idx="472" formatCode="General">
                  <c:v>1.1818579234048101</c:v>
                </c:pt>
                <c:pt idx="473" formatCode="General">
                  <c:v>1.1818579234047999</c:v>
                </c:pt>
                <c:pt idx="474" formatCode="General">
                  <c:v>1.1818579234047999</c:v>
                </c:pt>
                <c:pt idx="475" formatCode="General">
                  <c:v>1.1818579234047999</c:v>
                </c:pt>
                <c:pt idx="476" formatCode="General">
                  <c:v>1.1818579234047999</c:v>
                </c:pt>
                <c:pt idx="477" formatCode="General">
                  <c:v>1.1818579234047899</c:v>
                </c:pt>
                <c:pt idx="478" formatCode="General">
                  <c:v>1.1818579234047899</c:v>
                </c:pt>
                <c:pt idx="479" formatCode="General">
                  <c:v>1.1818579234047899</c:v>
                </c:pt>
                <c:pt idx="480" formatCode="General">
                  <c:v>1.1818579234047899</c:v>
                </c:pt>
                <c:pt idx="481" formatCode="General">
                  <c:v>1.1818579234047799</c:v>
                </c:pt>
                <c:pt idx="482" formatCode="General">
                  <c:v>1.1818579234047799</c:v>
                </c:pt>
                <c:pt idx="483" formatCode="General">
                  <c:v>1.1818579234047799</c:v>
                </c:pt>
                <c:pt idx="484" formatCode="General">
                  <c:v>1.1818579234047799</c:v>
                </c:pt>
                <c:pt idx="485" formatCode="General">
                  <c:v>1.1818579234047799</c:v>
                </c:pt>
                <c:pt idx="486" formatCode="General">
                  <c:v>1.1818579234047799</c:v>
                </c:pt>
                <c:pt idx="487" formatCode="General">
                  <c:v>1.1818579234047799</c:v>
                </c:pt>
                <c:pt idx="488" formatCode="General">
                  <c:v>1.1818579234047699</c:v>
                </c:pt>
                <c:pt idx="489" formatCode="General">
                  <c:v>1.1818579234047699</c:v>
                </c:pt>
                <c:pt idx="490" formatCode="General">
                  <c:v>1.1818579234047699</c:v>
                </c:pt>
                <c:pt idx="491" formatCode="General">
                  <c:v>1.1818579234047699</c:v>
                </c:pt>
                <c:pt idx="492" formatCode="General">
                  <c:v>1.1818579234047699</c:v>
                </c:pt>
                <c:pt idx="493" formatCode="General">
                  <c:v>1.1818579234047699</c:v>
                </c:pt>
                <c:pt idx="494" formatCode="General">
                  <c:v>1.1818579234047699</c:v>
                </c:pt>
                <c:pt idx="495" formatCode="General">
                  <c:v>1.1818579234047699</c:v>
                </c:pt>
                <c:pt idx="496" formatCode="General">
                  <c:v>1.1818579234047699</c:v>
                </c:pt>
                <c:pt idx="497" formatCode="General">
                  <c:v>1.1818579234047699</c:v>
                </c:pt>
                <c:pt idx="498" formatCode="General">
                  <c:v>1.1818579234047699</c:v>
                </c:pt>
                <c:pt idx="499" formatCode="General">
                  <c:v>1.1818579234047699</c:v>
                </c:pt>
                <c:pt idx="500" formatCode="General">
                  <c:v>1.1818579234047699</c:v>
                </c:pt>
              </c:numCache>
            </c:numRef>
          </c:yVal>
          <c:smooth val="1"/>
          <c:extLst>
            <c:ext xmlns:c16="http://schemas.microsoft.com/office/drawing/2014/chart" uri="{C3380CC4-5D6E-409C-BE32-E72D297353CC}">
              <c16:uniqueId val="{00000000-110D-4830-92E7-61391381699E}"/>
            </c:ext>
          </c:extLst>
        </c:ser>
        <c:dLbls>
          <c:showLegendKey val="0"/>
          <c:showVal val="0"/>
          <c:showCatName val="0"/>
          <c:showSerName val="0"/>
          <c:showPercent val="0"/>
          <c:showBubbleSize val="0"/>
        </c:dLbls>
        <c:axId val="905884960"/>
        <c:axId val="1027858896"/>
      </c:scatterChart>
      <c:valAx>
        <c:axId val="90588496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Distance (nm)</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in"/>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858896"/>
        <c:crosses val="autoZero"/>
        <c:crossBetween val="midCat"/>
      </c:valAx>
      <c:valAx>
        <c:axId val="1027858896"/>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Potential</a:t>
                </a:r>
                <a:r>
                  <a:rPr lang="en-GB" b="1" baseline="0"/>
                  <a:t> (V)</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in"/>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884960"/>
        <c:crosses val="autoZero"/>
        <c:crossBetween val="midCat"/>
      </c:valAx>
      <c:spPr>
        <a:noFill/>
        <a:ln w="12700">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293526</xdr:colOff>
      <xdr:row>30</xdr:row>
      <xdr:rowOff>15762</xdr:rowOff>
    </xdr:from>
    <xdr:to>
      <xdr:col>8</xdr:col>
      <xdr:colOff>415446</xdr:colOff>
      <xdr:row>42</xdr:row>
      <xdr:rowOff>154123</xdr:rowOff>
    </xdr:to>
    <xdr:graphicFrame macro="">
      <xdr:nvGraphicFramePr>
        <xdr:cNvPr id="3" name="Chart 2">
          <a:extLst>
            <a:ext uri="{FF2B5EF4-FFF2-40B4-BE49-F238E27FC236}">
              <a16:creationId xmlns:a16="http://schemas.microsoft.com/office/drawing/2014/main" id="{628BDDDB-FA52-6AAD-50A1-862E26018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219204</xdr:colOff>
      <xdr:row>30</xdr:row>
      <xdr:rowOff>18269</xdr:rowOff>
    </xdr:from>
    <xdr:to>
      <xdr:col>18</xdr:col>
      <xdr:colOff>121918</xdr:colOff>
      <xdr:row>42</xdr:row>
      <xdr:rowOff>156630</xdr:rowOff>
    </xdr:to>
    <xdr:graphicFrame macro="">
      <xdr:nvGraphicFramePr>
        <xdr:cNvPr id="11" name="Chart 10">
          <a:extLst>
            <a:ext uri="{FF2B5EF4-FFF2-40B4-BE49-F238E27FC236}">
              <a16:creationId xmlns:a16="http://schemas.microsoft.com/office/drawing/2014/main" id="{D68FCF78-71C5-4F12-9E78-269809F055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469725</xdr:colOff>
      <xdr:row>30</xdr:row>
      <xdr:rowOff>7828</xdr:rowOff>
    </xdr:from>
    <xdr:to>
      <xdr:col>14</xdr:col>
      <xdr:colOff>174110</xdr:colOff>
      <xdr:row>42</xdr:row>
      <xdr:rowOff>146189</xdr:rowOff>
    </xdr:to>
    <xdr:graphicFrame macro="">
      <xdr:nvGraphicFramePr>
        <xdr:cNvPr id="13" name="Chart 12">
          <a:extLst>
            <a:ext uri="{FF2B5EF4-FFF2-40B4-BE49-F238E27FC236}">
              <a16:creationId xmlns:a16="http://schemas.microsoft.com/office/drawing/2014/main" id="{9D08BF1F-06C2-4A2B-8558-CA70876510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80331</xdr:colOff>
      <xdr:row>21</xdr:row>
      <xdr:rowOff>24845</xdr:rowOff>
    </xdr:from>
    <xdr:to>
      <xdr:col>8</xdr:col>
      <xdr:colOff>994547</xdr:colOff>
      <xdr:row>35</xdr:row>
      <xdr:rowOff>101046</xdr:rowOff>
    </xdr:to>
    <xdr:graphicFrame macro="">
      <xdr:nvGraphicFramePr>
        <xdr:cNvPr id="2" name="Chart 1">
          <a:extLst>
            <a:ext uri="{FF2B5EF4-FFF2-40B4-BE49-F238E27FC236}">
              <a16:creationId xmlns:a16="http://schemas.microsoft.com/office/drawing/2014/main" id="{A12317C1-386E-48C2-864A-A674030498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17143</xdr:colOff>
      <xdr:row>20</xdr:row>
      <xdr:rowOff>145914</xdr:rowOff>
    </xdr:from>
    <xdr:to>
      <xdr:col>11</xdr:col>
      <xdr:colOff>312143</xdr:colOff>
      <xdr:row>35</xdr:row>
      <xdr:rowOff>38500</xdr:rowOff>
    </xdr:to>
    <xdr:graphicFrame macro="">
      <xdr:nvGraphicFramePr>
        <xdr:cNvPr id="3" name="Chart 2">
          <a:extLst>
            <a:ext uri="{FF2B5EF4-FFF2-40B4-BE49-F238E27FC236}">
              <a16:creationId xmlns:a16="http://schemas.microsoft.com/office/drawing/2014/main" id="{5D747A10-C072-4D72-9117-120729EE4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0</xdr:colOff>
      <xdr:row>2</xdr:row>
      <xdr:rowOff>15240</xdr:rowOff>
    </xdr:from>
    <xdr:to>
      <xdr:col>29</xdr:col>
      <xdr:colOff>304800</xdr:colOff>
      <xdr:row>16</xdr:row>
      <xdr:rowOff>83820</xdr:rowOff>
    </xdr:to>
    <xdr:graphicFrame macro="">
      <xdr:nvGraphicFramePr>
        <xdr:cNvPr id="4" name="Chart 3">
          <a:extLst>
            <a:ext uri="{FF2B5EF4-FFF2-40B4-BE49-F238E27FC236}">
              <a16:creationId xmlns:a16="http://schemas.microsoft.com/office/drawing/2014/main" id="{3A5BED96-6BA9-4B67-AAB5-4004DDA81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365760</xdr:colOff>
      <xdr:row>36</xdr:row>
      <xdr:rowOff>99060</xdr:rowOff>
    </xdr:from>
    <xdr:to>
      <xdr:col>10</xdr:col>
      <xdr:colOff>1524415</xdr:colOff>
      <xdr:row>43</xdr:row>
      <xdr:rowOff>160136</xdr:rowOff>
    </xdr:to>
    <xdr:pic>
      <xdr:nvPicPr>
        <xdr:cNvPr id="5" name="Picture 4">
          <a:extLst>
            <a:ext uri="{FF2B5EF4-FFF2-40B4-BE49-F238E27FC236}">
              <a16:creationId xmlns:a16="http://schemas.microsoft.com/office/drawing/2014/main" id="{854A50ED-4152-071C-F556-CBBCDD53CA7F}"/>
            </a:ext>
          </a:extLst>
        </xdr:cNvPr>
        <xdr:cNvPicPr>
          <a:picLocks noChangeAspect="1"/>
        </xdr:cNvPicPr>
      </xdr:nvPicPr>
      <xdr:blipFill>
        <a:blip xmlns:r="http://schemas.openxmlformats.org/officeDocument/2006/relationships" r:embed="rId4"/>
        <a:stretch>
          <a:fillRect/>
        </a:stretch>
      </xdr:blipFill>
      <xdr:spPr>
        <a:xfrm>
          <a:off x="5417820" y="6682740"/>
          <a:ext cx="4785775" cy="134123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128688</xdr:colOff>
      <xdr:row>19</xdr:row>
      <xdr:rowOff>61912</xdr:rowOff>
    </xdr:from>
    <xdr:to>
      <xdr:col>18</xdr:col>
      <xdr:colOff>1033360</xdr:colOff>
      <xdr:row>33</xdr:row>
      <xdr:rowOff>154324</xdr:rowOff>
    </xdr:to>
    <xdr:graphicFrame macro="">
      <xdr:nvGraphicFramePr>
        <xdr:cNvPr id="2" name="Chart 1">
          <a:extLst>
            <a:ext uri="{FF2B5EF4-FFF2-40B4-BE49-F238E27FC236}">
              <a16:creationId xmlns:a16="http://schemas.microsoft.com/office/drawing/2014/main" id="{4C81529A-6A54-4630-A340-27853F615F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377298</xdr:colOff>
      <xdr:row>34</xdr:row>
      <xdr:rowOff>47545</xdr:rowOff>
    </xdr:from>
    <xdr:to>
      <xdr:col>19</xdr:col>
      <xdr:colOff>3818</xdr:colOff>
      <xdr:row>48</xdr:row>
      <xdr:rowOff>123745</xdr:rowOff>
    </xdr:to>
    <xdr:graphicFrame macro="">
      <xdr:nvGraphicFramePr>
        <xdr:cNvPr id="3" name="Chart 2">
          <a:extLst>
            <a:ext uri="{FF2B5EF4-FFF2-40B4-BE49-F238E27FC236}">
              <a16:creationId xmlns:a16="http://schemas.microsoft.com/office/drawing/2014/main" id="{9718CD90-AD70-49BB-910D-2C0F2E6BFA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420560</xdr:colOff>
      <xdr:row>2</xdr:row>
      <xdr:rowOff>51727</xdr:rowOff>
    </xdr:from>
    <xdr:to>
      <xdr:col>31</xdr:col>
      <xdr:colOff>131173</xdr:colOff>
      <xdr:row>16</xdr:row>
      <xdr:rowOff>141388</xdr:rowOff>
    </xdr:to>
    <xdr:graphicFrame macro="">
      <xdr:nvGraphicFramePr>
        <xdr:cNvPr id="4" name="Chart 3">
          <a:extLst>
            <a:ext uri="{FF2B5EF4-FFF2-40B4-BE49-F238E27FC236}">
              <a16:creationId xmlns:a16="http://schemas.microsoft.com/office/drawing/2014/main" id="{C00AC70F-7687-4E37-BBF8-616DA971D4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521154</xdr:colOff>
      <xdr:row>2</xdr:row>
      <xdr:rowOff>20411</xdr:rowOff>
    </xdr:from>
    <xdr:to>
      <xdr:col>12</xdr:col>
      <xdr:colOff>216354</xdr:colOff>
      <xdr:row>16</xdr:row>
      <xdr:rowOff>96611</xdr:rowOff>
    </xdr:to>
    <xdr:graphicFrame macro="">
      <xdr:nvGraphicFramePr>
        <xdr:cNvPr id="2" name="Chart 1">
          <a:extLst>
            <a:ext uri="{FF2B5EF4-FFF2-40B4-BE49-F238E27FC236}">
              <a16:creationId xmlns:a16="http://schemas.microsoft.com/office/drawing/2014/main" id="{E45D41D2-C0C9-47FD-A17F-E51609A338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30</xdr:col>
      <xdr:colOff>454527</xdr:colOff>
      <xdr:row>32</xdr:row>
      <xdr:rowOff>173789</xdr:rowOff>
    </xdr:from>
    <xdr:to>
      <xdr:col>35</xdr:col>
      <xdr:colOff>616247</xdr:colOff>
      <xdr:row>49</xdr:row>
      <xdr:rowOff>103207</xdr:rowOff>
    </xdr:to>
    <xdr:pic>
      <xdr:nvPicPr>
        <xdr:cNvPr id="2" name="Picture 1">
          <a:extLst>
            <a:ext uri="{FF2B5EF4-FFF2-40B4-BE49-F238E27FC236}">
              <a16:creationId xmlns:a16="http://schemas.microsoft.com/office/drawing/2014/main" id="{9540382A-C667-2FD8-FC4A-B8C841486934}"/>
            </a:ext>
          </a:extLst>
        </xdr:cNvPr>
        <xdr:cNvPicPr>
          <a:picLocks noChangeAspect="1"/>
        </xdr:cNvPicPr>
      </xdr:nvPicPr>
      <xdr:blipFill>
        <a:blip xmlns:r="http://schemas.openxmlformats.org/officeDocument/2006/relationships" r:embed="rId1"/>
        <a:stretch>
          <a:fillRect/>
        </a:stretch>
      </xdr:blipFill>
      <xdr:spPr>
        <a:xfrm>
          <a:off x="31041474" y="6202947"/>
          <a:ext cx="4198984" cy="3124471"/>
        </a:xfrm>
        <a:prstGeom prst="rect">
          <a:avLst/>
        </a:prstGeom>
      </xdr:spPr>
    </xdr:pic>
    <xdr:clientData/>
  </xdr:twoCellAnchor>
  <xdr:twoCellAnchor editAs="oneCell">
    <xdr:from>
      <xdr:col>25</xdr:col>
      <xdr:colOff>1029369</xdr:colOff>
      <xdr:row>32</xdr:row>
      <xdr:rowOff>120316</xdr:rowOff>
    </xdr:from>
    <xdr:to>
      <xdr:col>30</xdr:col>
      <xdr:colOff>352109</xdr:colOff>
      <xdr:row>48</xdr:row>
      <xdr:rowOff>175926</xdr:rowOff>
    </xdr:to>
    <xdr:pic>
      <xdr:nvPicPr>
        <xdr:cNvPr id="3" name="Picture 2">
          <a:extLst>
            <a:ext uri="{FF2B5EF4-FFF2-40B4-BE49-F238E27FC236}">
              <a16:creationId xmlns:a16="http://schemas.microsoft.com/office/drawing/2014/main" id="{4CD1DD98-7CA2-9727-93CD-59A17ECB170B}"/>
            </a:ext>
          </a:extLst>
        </xdr:cNvPr>
        <xdr:cNvPicPr>
          <a:picLocks noChangeAspect="1"/>
        </xdr:cNvPicPr>
      </xdr:nvPicPr>
      <xdr:blipFill>
        <a:blip xmlns:r="http://schemas.openxmlformats.org/officeDocument/2006/relationships" r:embed="rId2"/>
        <a:stretch>
          <a:fillRect/>
        </a:stretch>
      </xdr:blipFill>
      <xdr:spPr>
        <a:xfrm>
          <a:off x="26496211" y="6149474"/>
          <a:ext cx="4442845" cy="3063505"/>
        </a:xfrm>
        <a:prstGeom prst="rect">
          <a:avLst/>
        </a:prstGeom>
      </xdr:spPr>
    </xdr:pic>
    <xdr:clientData/>
  </xdr:twoCellAnchor>
  <xdr:twoCellAnchor editAs="oneCell">
    <xdr:from>
      <xdr:col>22</xdr:col>
      <xdr:colOff>0</xdr:colOff>
      <xdr:row>32</xdr:row>
      <xdr:rowOff>160421</xdr:rowOff>
    </xdr:from>
    <xdr:to>
      <xdr:col>25</xdr:col>
      <xdr:colOff>889363</xdr:colOff>
      <xdr:row>45</xdr:row>
      <xdr:rowOff>152611</xdr:rowOff>
    </xdr:to>
    <xdr:pic>
      <xdr:nvPicPr>
        <xdr:cNvPr id="4" name="Picture 3">
          <a:extLst>
            <a:ext uri="{FF2B5EF4-FFF2-40B4-BE49-F238E27FC236}">
              <a16:creationId xmlns:a16="http://schemas.microsoft.com/office/drawing/2014/main" id="{97F73AC3-DAD1-018D-70B8-22A6DFDA30EB}"/>
            </a:ext>
          </a:extLst>
        </xdr:cNvPr>
        <xdr:cNvPicPr>
          <a:picLocks noChangeAspect="1"/>
        </xdr:cNvPicPr>
      </xdr:nvPicPr>
      <xdr:blipFill>
        <a:blip xmlns:r="http://schemas.openxmlformats.org/officeDocument/2006/relationships" r:embed="rId3"/>
        <a:stretch>
          <a:fillRect/>
        </a:stretch>
      </xdr:blipFill>
      <xdr:spPr>
        <a:xfrm>
          <a:off x="22164842" y="6189579"/>
          <a:ext cx="4191363" cy="243861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D13DC-8AFD-4EB6-A9F2-B83AC31A70DF}">
  <dimension ref="A1:G11"/>
  <sheetViews>
    <sheetView tabSelected="1" workbookViewId="0">
      <selection activeCell="A2" sqref="A2:G2"/>
    </sheetView>
  </sheetViews>
  <sheetFormatPr defaultColWidth="0" defaultRowHeight="14.4" zeroHeight="1" x14ac:dyDescent="0.3"/>
  <cols>
    <col min="1" max="7" width="8.88671875" customWidth="1"/>
    <col min="8" max="16384" width="8.88671875" hidden="1"/>
  </cols>
  <sheetData>
    <row r="1" spans="1:7" x14ac:dyDescent="0.3">
      <c r="A1" s="31" t="s">
        <v>19</v>
      </c>
      <c r="B1" s="31"/>
      <c r="C1" s="31"/>
      <c r="D1" s="31"/>
      <c r="E1" s="31"/>
      <c r="F1" s="31"/>
      <c r="G1" s="31"/>
    </row>
    <row r="2" spans="1:7" x14ac:dyDescent="0.3">
      <c r="A2" s="31" t="s">
        <v>20</v>
      </c>
      <c r="B2" s="31"/>
      <c r="C2" s="31"/>
      <c r="D2" s="31"/>
      <c r="E2" s="31"/>
      <c r="F2" s="31"/>
      <c r="G2" s="31"/>
    </row>
    <row r="3" spans="1:7" x14ac:dyDescent="0.3">
      <c r="A3" s="31" t="s">
        <v>21</v>
      </c>
      <c r="B3" s="31"/>
      <c r="C3" s="31"/>
      <c r="D3" s="31"/>
      <c r="E3" s="31"/>
      <c r="F3" s="31"/>
      <c r="G3" s="31"/>
    </row>
    <row r="4" spans="1:7" x14ac:dyDescent="0.3"/>
    <row r="5" spans="1:7" x14ac:dyDescent="0.3">
      <c r="A5" s="32" t="s">
        <v>22</v>
      </c>
      <c r="B5" s="32"/>
      <c r="C5" s="32"/>
      <c r="D5" s="32"/>
      <c r="E5" s="32"/>
      <c r="F5" s="32"/>
      <c r="G5" s="32"/>
    </row>
    <row r="6" spans="1:7" ht="14.4" customHeight="1" x14ac:dyDescent="0.3">
      <c r="A6" s="33" t="s">
        <v>161</v>
      </c>
      <c r="B6" s="33"/>
      <c r="C6" s="33"/>
      <c r="D6" s="33"/>
      <c r="E6" s="33"/>
      <c r="F6" s="33"/>
      <c r="G6" s="33"/>
    </row>
    <row r="7" spans="1:7" x14ac:dyDescent="0.3">
      <c r="A7" s="33"/>
      <c r="B7" s="33"/>
      <c r="C7" s="33"/>
      <c r="D7" s="33"/>
      <c r="E7" s="33"/>
      <c r="F7" s="33"/>
      <c r="G7" s="33"/>
    </row>
    <row r="8" spans="1:7" x14ac:dyDescent="0.3">
      <c r="A8" s="33"/>
      <c r="B8" s="33"/>
      <c r="C8" s="33"/>
      <c r="D8" s="33"/>
      <c r="E8" s="33"/>
      <c r="F8" s="33"/>
      <c r="G8" s="33"/>
    </row>
    <row r="9" spans="1:7" x14ac:dyDescent="0.3">
      <c r="A9" s="33"/>
      <c r="B9" s="33"/>
      <c r="C9" s="33"/>
      <c r="D9" s="33"/>
      <c r="E9" s="33"/>
      <c r="F9" s="33"/>
      <c r="G9" s="33"/>
    </row>
    <row r="10" spans="1:7" x14ac:dyDescent="0.3">
      <c r="A10" s="33"/>
      <c r="B10" s="33"/>
      <c r="C10" s="33"/>
      <c r="D10" s="33"/>
      <c r="E10" s="33"/>
      <c r="F10" s="33"/>
      <c r="G10" s="33"/>
    </row>
    <row r="11" spans="1:7" x14ac:dyDescent="0.3">
      <c r="A11" s="33"/>
      <c r="B11" s="33"/>
      <c r="C11" s="33"/>
      <c r="D11" s="33"/>
      <c r="E11" s="33"/>
      <c r="F11" s="33"/>
      <c r="G11" s="33"/>
    </row>
  </sheetData>
  <mergeCells count="5">
    <mergeCell ref="A3:G3"/>
    <mergeCell ref="A5:G5"/>
    <mergeCell ref="A6:G11"/>
    <mergeCell ref="A1:G1"/>
    <mergeCell ref="A2:G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C2BB6-D31A-4FEC-8F8B-5F7CDD374456}">
  <dimension ref="A1:R203"/>
  <sheetViews>
    <sheetView zoomScale="76" zoomScaleNormal="73" workbookViewId="0">
      <selection activeCell="M12" sqref="M12"/>
    </sheetView>
  </sheetViews>
  <sheetFormatPr defaultRowHeight="14.4" x14ac:dyDescent="0.3"/>
  <cols>
    <col min="1" max="1" width="9" style="1" bestFit="1" customWidth="1"/>
    <col min="2" max="2" width="10.109375" customWidth="1"/>
    <col min="3" max="3" width="9" bestFit="1" customWidth="1"/>
    <col min="5" max="5" width="11.33203125" style="3" customWidth="1"/>
    <col min="6" max="6" width="12.5546875" customWidth="1"/>
    <col min="7" max="7" width="13.6640625" bestFit="1" customWidth="1"/>
    <col min="9" max="9" width="9.44140625" customWidth="1"/>
    <col min="10" max="10" width="10.33203125" customWidth="1"/>
    <col min="11" max="11" width="11.109375" customWidth="1"/>
    <col min="12" max="12" width="10.6640625" customWidth="1"/>
    <col min="14" max="14" width="5.88671875" customWidth="1"/>
    <col min="15" max="15" width="14.33203125" customWidth="1"/>
    <col min="16" max="16" width="12.44140625" bestFit="1" customWidth="1"/>
    <col min="17" max="17" width="15.33203125" customWidth="1"/>
    <col min="18" max="18" width="11.5546875" customWidth="1"/>
    <col min="20" max="22" width="9" bestFit="1" customWidth="1"/>
  </cols>
  <sheetData>
    <row r="1" spans="1:18" x14ac:dyDescent="0.3">
      <c r="E1" s="32" t="s">
        <v>16</v>
      </c>
      <c r="F1" s="32"/>
      <c r="G1" s="32"/>
      <c r="H1" s="32"/>
      <c r="I1" s="32"/>
      <c r="J1" s="32"/>
      <c r="K1" s="32"/>
      <c r="L1" s="32"/>
    </row>
    <row r="2" spans="1:18" x14ac:dyDescent="0.3">
      <c r="A2" s="1" t="s">
        <v>2</v>
      </c>
      <c r="B2" t="s">
        <v>1</v>
      </c>
      <c r="C2" t="s">
        <v>0</v>
      </c>
      <c r="E2" s="4" t="s">
        <v>3</v>
      </c>
      <c r="F2" s="5" t="s">
        <v>1</v>
      </c>
      <c r="G2" s="5" t="s">
        <v>0</v>
      </c>
      <c r="H2" s="5"/>
      <c r="I2" s="5" t="s">
        <v>4</v>
      </c>
      <c r="J2" s="5" t="s">
        <v>5</v>
      </c>
      <c r="K2" s="5" t="s">
        <v>6</v>
      </c>
      <c r="L2" s="5" t="s">
        <v>7</v>
      </c>
      <c r="N2" s="6" t="s">
        <v>8</v>
      </c>
      <c r="O2" s="6" t="s">
        <v>9</v>
      </c>
      <c r="P2" s="6" t="s">
        <v>12</v>
      </c>
      <c r="Q2" s="6" t="s">
        <v>10</v>
      </c>
      <c r="R2" s="6" t="s">
        <v>11</v>
      </c>
    </row>
    <row r="3" spans="1:18" x14ac:dyDescent="0.3">
      <c r="A3" s="1">
        <v>0</v>
      </c>
      <c r="B3">
        <f>A3*PI()</f>
        <v>0</v>
      </c>
      <c r="C3">
        <f>SIN(B3)</f>
        <v>0</v>
      </c>
      <c r="E3" s="3">
        <v>0</v>
      </c>
      <c r="F3">
        <f>E3*PI()</f>
        <v>0</v>
      </c>
      <c r="G3">
        <f>SIN(F3)</f>
        <v>0</v>
      </c>
      <c r="I3">
        <f>((E3+E4)/2)*PI()</f>
        <v>0.78539816339744828</v>
      </c>
      <c r="J3">
        <f>G3+((I3-F3)/(F4-F3))*(G4-G3)</f>
        <v>0.5</v>
      </c>
      <c r="K3">
        <f>_xlfn.XLOOKUP(I3,$B$3:$B$203,$C$3:$C$203,,-1)</f>
        <v>0.70710678118654746</v>
      </c>
      <c r="L3">
        <f>ABS(K3-J3)</f>
        <v>0.20710678118654746</v>
      </c>
      <c r="N3" s="2" t="s">
        <v>13</v>
      </c>
      <c r="O3">
        <v>0.78500000000000003</v>
      </c>
      <c r="P3">
        <v>0.20699999999999999</v>
      </c>
      <c r="Q3">
        <v>0.78500000000000003</v>
      </c>
      <c r="R3">
        <v>0.20699999999999999</v>
      </c>
    </row>
    <row r="4" spans="1:18" x14ac:dyDescent="0.3">
      <c r="A4" s="1">
        <v>5.0000000000000001E-3</v>
      </c>
      <c r="B4">
        <f t="shared" ref="B4:B67" si="0">A4*PI()</f>
        <v>1.5707963267948967E-2</v>
      </c>
      <c r="C4">
        <f t="shared" ref="C4:C67" si="1">SIN(B4)</f>
        <v>1.5707317311820675E-2</v>
      </c>
      <c r="E4" s="3">
        <v>0.5</v>
      </c>
      <c r="F4">
        <f t="shared" ref="F4:F5" si="2">E4*PI()</f>
        <v>1.5707963267948966</v>
      </c>
      <c r="G4">
        <f t="shared" ref="G4:G5" si="3">SIN(F4)</f>
        <v>1</v>
      </c>
      <c r="I4">
        <f>((E4+E5)/2)*PI()</f>
        <v>2.3561944901923448</v>
      </c>
      <c r="J4">
        <f>G4+((I4-F4)/(F5-F4))*(G5-G4)</f>
        <v>0.5</v>
      </c>
      <c r="K4">
        <f>_xlfn.XLOOKUP(I4,$B$3:$B$203,$C$3:$C$203,,-1)</f>
        <v>0.70710678118654757</v>
      </c>
      <c r="L4">
        <f>ABS(K4-J4)</f>
        <v>0.20710678118654757</v>
      </c>
      <c r="N4" t="s">
        <v>14</v>
      </c>
      <c r="O4">
        <v>1.571</v>
      </c>
      <c r="P4">
        <v>0.13400000000000001</v>
      </c>
      <c r="Q4">
        <v>0.52400000000000002</v>
      </c>
      <c r="R4">
        <v>6.2E-2</v>
      </c>
    </row>
    <row r="5" spans="1:18" x14ac:dyDescent="0.3">
      <c r="A5" s="1">
        <v>0.01</v>
      </c>
      <c r="B5">
        <f t="shared" si="0"/>
        <v>3.1415926535897934E-2</v>
      </c>
      <c r="C5">
        <f t="shared" si="1"/>
        <v>3.1410759078128292E-2</v>
      </c>
      <c r="E5" s="3">
        <v>1</v>
      </c>
      <c r="F5">
        <f t="shared" si="2"/>
        <v>3.1415926535897931</v>
      </c>
      <c r="G5">
        <f t="shared" si="3"/>
        <v>1.22514845490862E-16</v>
      </c>
      <c r="N5" t="s">
        <v>15</v>
      </c>
      <c r="O5">
        <v>1.1779999999999999</v>
      </c>
      <c r="P5">
        <v>7.0300000000000001E-2</v>
      </c>
      <c r="Q5">
        <v>0.39200000000000002</v>
      </c>
      <c r="R5">
        <v>2.9000000000000001E-2</v>
      </c>
    </row>
    <row r="6" spans="1:18" x14ac:dyDescent="0.3">
      <c r="A6" s="1">
        <v>1.4999999999999999E-2</v>
      </c>
      <c r="B6">
        <f t="shared" si="0"/>
        <v>4.7123889803846894E-2</v>
      </c>
      <c r="C6">
        <f t="shared" si="1"/>
        <v>4.7106450709642658E-2</v>
      </c>
    </row>
    <row r="7" spans="1:18" ht="14.4" customHeight="1" x14ac:dyDescent="0.3">
      <c r="A7" s="1">
        <v>0.02</v>
      </c>
      <c r="B7">
        <f t="shared" si="0"/>
        <v>6.2831853071795868E-2</v>
      </c>
      <c r="C7">
        <f t="shared" si="1"/>
        <v>6.2790519529313374E-2</v>
      </c>
      <c r="E7" s="34" t="s">
        <v>17</v>
      </c>
      <c r="F7" s="34"/>
      <c r="G7" s="34"/>
      <c r="H7" s="34"/>
      <c r="I7" s="34"/>
      <c r="J7" s="34"/>
      <c r="K7" s="34"/>
      <c r="L7" s="34"/>
      <c r="N7" s="7"/>
      <c r="O7" s="7"/>
      <c r="P7" s="7"/>
      <c r="Q7" s="7"/>
      <c r="R7" s="7"/>
    </row>
    <row r="8" spans="1:18" x14ac:dyDescent="0.3">
      <c r="A8" s="1">
        <v>2.5000000000000001E-2</v>
      </c>
      <c r="B8">
        <f t="shared" si="0"/>
        <v>7.8539816339744828E-2</v>
      </c>
      <c r="C8">
        <f t="shared" si="1"/>
        <v>7.8459095727844944E-2</v>
      </c>
      <c r="E8" s="4" t="s">
        <v>3</v>
      </c>
      <c r="F8" s="5" t="s">
        <v>1</v>
      </c>
      <c r="G8" s="5" t="s">
        <v>0</v>
      </c>
      <c r="H8" s="5"/>
      <c r="I8" s="5" t="s">
        <v>4</v>
      </c>
      <c r="J8" s="5" t="s">
        <v>5</v>
      </c>
      <c r="K8" s="5" t="s">
        <v>6</v>
      </c>
      <c r="L8" s="5" t="s">
        <v>7</v>
      </c>
      <c r="N8" s="7"/>
      <c r="O8" s="7"/>
      <c r="P8" s="7"/>
      <c r="Q8" s="7"/>
      <c r="R8" s="7"/>
    </row>
    <row r="9" spans="1:18" x14ac:dyDescent="0.3">
      <c r="A9" s="1">
        <v>0.03</v>
      </c>
      <c r="B9">
        <f t="shared" si="0"/>
        <v>9.4247779607693788E-2</v>
      </c>
      <c r="C9">
        <f t="shared" si="1"/>
        <v>9.4108313318514311E-2</v>
      </c>
      <c r="E9" s="3">
        <f>0/3</f>
        <v>0</v>
      </c>
      <c r="F9">
        <f>E9*PI()</f>
        <v>0</v>
      </c>
      <c r="G9">
        <f>SIN(F9)</f>
        <v>0</v>
      </c>
      <c r="I9">
        <f>((E9+E10)/2)*PI()</f>
        <v>0.52359877559829882</v>
      </c>
      <c r="J9">
        <f>G9+((I9-F9)/(F10-F9))*(G10-G9)</f>
        <v>0.4330127018922193</v>
      </c>
      <c r="K9">
        <f>_xlfn.XLOOKUP(I9,$B$3:$B$203,$C$3:$C$203,,-1)</f>
        <v>0.4954586684324076</v>
      </c>
      <c r="L9">
        <f t="shared" ref="L9:L19" si="4">ABS(K9-J9)</f>
        <v>6.2445966540188302E-2</v>
      </c>
      <c r="N9" s="7"/>
      <c r="O9" s="7"/>
      <c r="P9" s="7"/>
      <c r="Q9" s="7"/>
      <c r="R9" s="7"/>
    </row>
    <row r="10" spans="1:18" x14ac:dyDescent="0.3">
      <c r="A10" s="1">
        <v>3.5000000000000003E-2</v>
      </c>
      <c r="B10">
        <f t="shared" si="0"/>
        <v>0.10995574287564278</v>
      </c>
      <c r="C10">
        <f t="shared" si="1"/>
        <v>0.10973431109104528</v>
      </c>
      <c r="E10" s="3">
        <f>1/3</f>
        <v>0.33333333333333331</v>
      </c>
      <c r="F10">
        <f t="shared" ref="F10:F12" si="5">E10*PI()</f>
        <v>1.0471975511965976</v>
      </c>
      <c r="G10">
        <f t="shared" ref="G10:G12" si="6">SIN(F10)</f>
        <v>0.8660254037844386</v>
      </c>
      <c r="I10">
        <f t="shared" ref="I10:I11" si="7">((E10+E11)/2)*PI()</f>
        <v>1.5707963267948966</v>
      </c>
      <c r="J10">
        <f t="shared" ref="J10:J11" si="8">G10+((I10-F10)/(F11-F10))*(G11-G10)</f>
        <v>0.8660254037844386</v>
      </c>
      <c r="K10">
        <f t="shared" ref="K10:K11" si="9">_xlfn.XLOOKUP(I10,$B$3:$B$203,$C$3:$C$203,,-1)</f>
        <v>1</v>
      </c>
      <c r="L10">
        <f t="shared" si="4"/>
        <v>0.1339745962155614</v>
      </c>
      <c r="N10" s="7"/>
      <c r="O10" s="7"/>
      <c r="P10" s="7"/>
      <c r="Q10" s="7"/>
      <c r="R10" s="7"/>
    </row>
    <row r="11" spans="1:18" x14ac:dyDescent="0.3">
      <c r="A11" s="1">
        <v>0.04</v>
      </c>
      <c r="B11">
        <f t="shared" si="0"/>
        <v>0.12566370614359174</v>
      </c>
      <c r="C11">
        <f t="shared" si="1"/>
        <v>0.12533323356430426</v>
      </c>
      <c r="E11" s="3">
        <f>2/3</f>
        <v>0.66666666666666663</v>
      </c>
      <c r="F11">
        <f t="shared" si="5"/>
        <v>2.0943951023931953</v>
      </c>
      <c r="G11">
        <f t="shared" si="6"/>
        <v>0.86602540378443871</v>
      </c>
      <c r="I11">
        <f t="shared" si="7"/>
        <v>2.617993877991494</v>
      </c>
      <c r="J11">
        <f t="shared" si="8"/>
        <v>0.43301270189221958</v>
      </c>
      <c r="K11">
        <f t="shared" si="9"/>
        <v>0.50904141575037143</v>
      </c>
      <c r="L11">
        <f t="shared" si="4"/>
        <v>7.6028713858151853E-2</v>
      </c>
      <c r="N11" s="7"/>
      <c r="O11" s="7"/>
      <c r="P11" s="7"/>
      <c r="Q11" s="7"/>
      <c r="R11" s="7"/>
    </row>
    <row r="12" spans="1:18" x14ac:dyDescent="0.3">
      <c r="A12" s="1">
        <v>4.4999999999999998E-2</v>
      </c>
      <c r="B12">
        <f t="shared" si="0"/>
        <v>0.1413716694115407</v>
      </c>
      <c r="C12">
        <f t="shared" si="1"/>
        <v>0.14090123193758267</v>
      </c>
      <c r="E12" s="3">
        <f>3/3</f>
        <v>1</v>
      </c>
      <c r="F12">
        <f t="shared" si="5"/>
        <v>3.1415926535897931</v>
      </c>
      <c r="G12">
        <f t="shared" si="6"/>
        <v>1.22514845490862E-16</v>
      </c>
      <c r="N12" s="7"/>
      <c r="O12" s="7"/>
      <c r="P12" s="7"/>
      <c r="Q12" s="7"/>
      <c r="R12" s="7"/>
    </row>
    <row r="13" spans="1:18" x14ac:dyDescent="0.3">
      <c r="A13" s="1">
        <v>0.05</v>
      </c>
      <c r="B13">
        <f t="shared" si="0"/>
        <v>0.15707963267948966</v>
      </c>
      <c r="C13">
        <f t="shared" si="1"/>
        <v>0.15643446504023087</v>
      </c>
      <c r="N13" s="7"/>
      <c r="O13" s="7"/>
      <c r="P13" s="7"/>
      <c r="Q13" s="7"/>
      <c r="R13" s="7"/>
    </row>
    <row r="14" spans="1:18" x14ac:dyDescent="0.3">
      <c r="A14" s="1">
        <v>5.5E-2</v>
      </c>
      <c r="B14">
        <f t="shared" si="0"/>
        <v>0.17278759594743862</v>
      </c>
      <c r="C14">
        <f t="shared" si="1"/>
        <v>0.17192910027940952</v>
      </c>
      <c r="E14" s="34" t="s">
        <v>18</v>
      </c>
      <c r="F14" s="34"/>
      <c r="G14" s="34"/>
      <c r="H14" s="34"/>
      <c r="I14" s="34"/>
      <c r="J14" s="34"/>
      <c r="K14" s="34"/>
      <c r="L14" s="34"/>
      <c r="N14" s="7"/>
      <c r="O14" s="7"/>
      <c r="P14" s="7"/>
      <c r="Q14" s="7"/>
      <c r="R14" s="7"/>
    </row>
    <row r="15" spans="1:18" x14ac:dyDescent="0.3">
      <c r="A15" s="1">
        <v>0.06</v>
      </c>
      <c r="B15">
        <f t="shared" si="0"/>
        <v>0.18849555921538758</v>
      </c>
      <c r="C15">
        <f t="shared" si="1"/>
        <v>0.1873813145857246</v>
      </c>
      <c r="E15" s="4" t="s">
        <v>3</v>
      </c>
      <c r="F15" s="5" t="s">
        <v>1</v>
      </c>
      <c r="G15" s="5" t="s">
        <v>0</v>
      </c>
      <c r="H15" s="5"/>
      <c r="I15" s="5" t="s">
        <v>4</v>
      </c>
      <c r="J15" s="5" t="s">
        <v>5</v>
      </c>
      <c r="K15" s="5" t="s">
        <v>6</v>
      </c>
      <c r="L15" s="5" t="s">
        <v>7</v>
      </c>
      <c r="N15" s="7"/>
      <c r="O15" s="7"/>
      <c r="P15" s="7"/>
      <c r="Q15" s="7"/>
      <c r="R15" s="7"/>
    </row>
    <row r="16" spans="1:18" x14ac:dyDescent="0.3">
      <c r="A16" s="1">
        <v>6.5000000000000002E-2</v>
      </c>
      <c r="B16">
        <f t="shared" si="0"/>
        <v>0.20420352248333656</v>
      </c>
      <c r="C16">
        <f t="shared" si="1"/>
        <v>0.20278729535651249</v>
      </c>
      <c r="E16" s="3">
        <f>0/5</f>
        <v>0</v>
      </c>
      <c r="F16">
        <f>E16*PI()</f>
        <v>0</v>
      </c>
      <c r="G16">
        <f>SIN(F16)</f>
        <v>0</v>
      </c>
      <c r="I16">
        <f>((E16+E17)/2)*PI()</f>
        <v>0.39269908169872414</v>
      </c>
      <c r="J16">
        <f>G16+((I16-F16)/(F17-F16))*(G17-G16)</f>
        <v>0.35355339059327373</v>
      </c>
      <c r="K16">
        <f>_xlfn.XLOOKUP(I16,$B$3:$B$203,$C$3:$C$203,,-1)</f>
        <v>0.38268343236508978</v>
      </c>
      <c r="L16">
        <f>ABS(K16-J16)</f>
        <v>2.9130041771816051E-2</v>
      </c>
    </row>
    <row r="17" spans="1:18" ht="15" customHeight="1" x14ac:dyDescent="0.3">
      <c r="A17" s="1">
        <v>7.0000000000000007E-2</v>
      </c>
      <c r="B17">
        <f t="shared" si="0"/>
        <v>0.21991148575128555</v>
      </c>
      <c r="C17">
        <f t="shared" si="1"/>
        <v>0.21814324139654256</v>
      </c>
      <c r="E17" s="3">
        <f>1/4</f>
        <v>0.25</v>
      </c>
      <c r="F17">
        <f t="shared" ref="F17:F20" si="10">E17*PI()</f>
        <v>0.78539816339744828</v>
      </c>
      <c r="G17">
        <f t="shared" ref="G17:G20" si="11">SIN(F17)</f>
        <v>0.70710678118654746</v>
      </c>
      <c r="I17">
        <f t="shared" ref="I17:I19" si="12">((E17+E18)/2)*PI()</f>
        <v>1.1780972450961724</v>
      </c>
      <c r="J17">
        <f t="shared" ref="J17:J19" si="13">G17+((I17-F17)/(F18-F17))*(G18-G17)</f>
        <v>0.85355339059327373</v>
      </c>
      <c r="K17">
        <f t="shared" ref="K17:K19" si="14">_xlfn.XLOOKUP(I17,$B$3:$B$203,$C$3:$C$203,,-1)</f>
        <v>0.92387953251128674</v>
      </c>
      <c r="L17">
        <f t="shared" si="4"/>
        <v>7.0326141918013008E-2</v>
      </c>
      <c r="N17" s="7"/>
      <c r="O17" s="7"/>
      <c r="P17" s="7"/>
      <c r="Q17" s="7"/>
      <c r="R17" s="7"/>
    </row>
    <row r="18" spans="1:18" x14ac:dyDescent="0.3">
      <c r="A18" s="1">
        <v>7.4999999999999997E-2</v>
      </c>
      <c r="B18">
        <f t="shared" si="0"/>
        <v>0.23561944901923448</v>
      </c>
      <c r="C18">
        <f t="shared" si="1"/>
        <v>0.23344536385590539</v>
      </c>
      <c r="E18" s="3">
        <f>2/4</f>
        <v>0.5</v>
      </c>
      <c r="F18">
        <f t="shared" si="10"/>
        <v>1.5707963267948966</v>
      </c>
      <c r="G18">
        <f t="shared" si="11"/>
        <v>1</v>
      </c>
      <c r="I18">
        <f t="shared" si="12"/>
        <v>1.9634954084936207</v>
      </c>
      <c r="J18">
        <f t="shared" si="13"/>
        <v>0.85355339059327373</v>
      </c>
      <c r="K18">
        <f t="shared" si="14"/>
        <v>0.92387953251128674</v>
      </c>
      <c r="L18">
        <f t="shared" si="4"/>
        <v>7.0326141918013008E-2</v>
      </c>
      <c r="N18" s="7"/>
      <c r="O18" s="7"/>
      <c r="P18" s="7"/>
      <c r="Q18" s="7"/>
      <c r="R18" s="7"/>
    </row>
    <row r="19" spans="1:18" x14ac:dyDescent="0.3">
      <c r="A19" s="1">
        <v>0.08</v>
      </c>
      <c r="B19">
        <f t="shared" si="0"/>
        <v>0.25132741228718347</v>
      </c>
      <c r="C19">
        <f t="shared" si="1"/>
        <v>0.24868988716485479</v>
      </c>
      <c r="E19" s="3">
        <f>3/4</f>
        <v>0.75</v>
      </c>
      <c r="F19">
        <f t="shared" si="10"/>
        <v>2.3561944901923448</v>
      </c>
      <c r="G19">
        <f t="shared" si="11"/>
        <v>0.70710678118654757</v>
      </c>
      <c r="I19">
        <f t="shared" si="12"/>
        <v>2.748893571891069</v>
      </c>
      <c r="J19">
        <f t="shared" si="13"/>
        <v>0.35355339059327384</v>
      </c>
      <c r="K19">
        <f t="shared" si="14"/>
        <v>0.38268343236508989</v>
      </c>
      <c r="L19">
        <f t="shared" si="4"/>
        <v>2.9130041771816051E-2</v>
      </c>
      <c r="N19" s="7"/>
      <c r="O19" s="7"/>
      <c r="P19" s="7"/>
      <c r="Q19" s="7"/>
      <c r="R19" s="7"/>
    </row>
    <row r="20" spans="1:18" x14ac:dyDescent="0.3">
      <c r="A20" s="1">
        <v>8.5000000000000006E-2</v>
      </c>
      <c r="B20">
        <f t="shared" si="0"/>
        <v>0.26703537555513246</v>
      </c>
      <c r="C20">
        <f t="shared" si="1"/>
        <v>0.26387304996537292</v>
      </c>
      <c r="E20" s="3">
        <f>4/4</f>
        <v>1</v>
      </c>
      <c r="F20">
        <f t="shared" si="10"/>
        <v>3.1415926535897931</v>
      </c>
      <c r="G20">
        <f t="shared" si="11"/>
        <v>1.22514845490862E-16</v>
      </c>
      <c r="N20" s="7"/>
      <c r="O20" s="7"/>
      <c r="P20" s="7"/>
      <c r="Q20" s="7"/>
      <c r="R20" s="7"/>
    </row>
    <row r="21" spans="1:18" x14ac:dyDescent="0.3">
      <c r="A21" s="1">
        <v>0.09</v>
      </c>
      <c r="B21">
        <f t="shared" si="0"/>
        <v>0.28274333882308139</v>
      </c>
      <c r="C21">
        <f t="shared" si="1"/>
        <v>0.27899110603922928</v>
      </c>
      <c r="N21" s="7"/>
      <c r="O21" s="7"/>
      <c r="P21" s="7"/>
      <c r="Q21" s="7"/>
      <c r="R21" s="7"/>
    </row>
    <row r="22" spans="1:18" x14ac:dyDescent="0.3">
      <c r="A22" s="1">
        <v>9.5000000000000001E-2</v>
      </c>
      <c r="B22">
        <f t="shared" si="0"/>
        <v>0.29845130209103032</v>
      </c>
      <c r="C22">
        <f t="shared" si="1"/>
        <v>0.29404032523230395</v>
      </c>
      <c r="N22" s="7"/>
      <c r="O22" s="7"/>
      <c r="P22" s="7"/>
      <c r="Q22" s="7"/>
      <c r="R22" s="7"/>
    </row>
    <row r="23" spans="1:18" x14ac:dyDescent="0.3">
      <c r="A23" s="1">
        <v>0.1</v>
      </c>
      <c r="B23">
        <f t="shared" si="0"/>
        <v>0.31415926535897931</v>
      </c>
      <c r="C23">
        <f t="shared" si="1"/>
        <v>0.3090169943749474</v>
      </c>
      <c r="N23" s="7"/>
      <c r="O23" s="7"/>
      <c r="P23" s="7"/>
      <c r="Q23" s="7"/>
      <c r="R23" s="7"/>
    </row>
    <row r="24" spans="1:18" x14ac:dyDescent="0.3">
      <c r="A24" s="1">
        <v>0.105</v>
      </c>
      <c r="B24">
        <f t="shared" si="0"/>
        <v>0.32986722862692824</v>
      </c>
      <c r="C24">
        <f t="shared" si="1"/>
        <v>0.3239174181981494</v>
      </c>
      <c r="N24" s="7"/>
      <c r="O24" s="7"/>
      <c r="P24" s="7"/>
      <c r="Q24" s="7"/>
      <c r="R24" s="7"/>
    </row>
    <row r="25" spans="1:18" x14ac:dyDescent="0.3">
      <c r="A25" s="1">
        <v>0.11</v>
      </c>
      <c r="B25">
        <f t="shared" si="0"/>
        <v>0.34557519189487723</v>
      </c>
      <c r="C25">
        <f t="shared" si="1"/>
        <v>0.33873792024529137</v>
      </c>
      <c r="N25" s="7"/>
      <c r="O25" s="7"/>
      <c r="P25" s="7"/>
      <c r="Q25" s="7"/>
      <c r="R25" s="7"/>
    </row>
    <row r="26" spans="1:18" x14ac:dyDescent="0.3">
      <c r="A26" s="1">
        <v>0.115</v>
      </c>
      <c r="B26">
        <f t="shared" si="0"/>
        <v>0.36128315516282622</v>
      </c>
      <c r="C26">
        <f t="shared" si="1"/>
        <v>0.35347484377925714</v>
      </c>
      <c r="N26" s="7"/>
      <c r="O26" s="7"/>
      <c r="P26" s="7"/>
      <c r="Q26" s="7"/>
      <c r="R26" s="7"/>
    </row>
    <row r="27" spans="1:18" x14ac:dyDescent="0.3">
      <c r="A27" s="1">
        <v>0.12</v>
      </c>
      <c r="B27">
        <f t="shared" si="0"/>
        <v>0.37699111843077515</v>
      </c>
      <c r="C27">
        <f t="shared" si="1"/>
        <v>0.36812455268467792</v>
      </c>
      <c r="N27" s="7"/>
      <c r="O27" s="7"/>
      <c r="P27" s="7"/>
      <c r="Q27" s="7"/>
      <c r="R27" s="7"/>
    </row>
    <row r="28" spans="1:18" x14ac:dyDescent="0.3">
      <c r="A28" s="1">
        <v>0.125</v>
      </c>
      <c r="B28">
        <f t="shared" si="0"/>
        <v>0.39269908169872414</v>
      </c>
      <c r="C28">
        <f t="shared" si="1"/>
        <v>0.38268343236508978</v>
      </c>
      <c r="N28" s="7"/>
      <c r="O28" s="7"/>
      <c r="P28" s="7"/>
      <c r="Q28" s="7"/>
      <c r="R28" s="7"/>
    </row>
    <row r="29" spans="1:18" x14ac:dyDescent="0.3">
      <c r="A29" s="1">
        <v>0.13</v>
      </c>
      <c r="B29">
        <f t="shared" si="0"/>
        <v>0.40840704496667313</v>
      </c>
      <c r="C29">
        <f t="shared" si="1"/>
        <v>0.39714789063478062</v>
      </c>
    </row>
    <row r="30" spans="1:18" x14ac:dyDescent="0.3">
      <c r="A30" s="1">
        <v>0.13500000000000001</v>
      </c>
      <c r="B30">
        <f t="shared" si="0"/>
        <v>0.42411500823462212</v>
      </c>
      <c r="C30">
        <f t="shared" si="1"/>
        <v>0.41151435860510882</v>
      </c>
    </row>
    <row r="31" spans="1:18" x14ac:dyDescent="0.3">
      <c r="A31" s="1">
        <v>0.14000000000000001</v>
      </c>
      <c r="B31">
        <f t="shared" si="0"/>
        <v>0.4398229715025711</v>
      </c>
      <c r="C31">
        <f t="shared" si="1"/>
        <v>0.42577929156507272</v>
      </c>
    </row>
    <row r="32" spans="1:18" x14ac:dyDescent="0.3">
      <c r="A32" s="1">
        <v>0.14499999999999999</v>
      </c>
      <c r="B32">
        <f t="shared" si="0"/>
        <v>0.45553093477051998</v>
      </c>
      <c r="C32">
        <f t="shared" si="1"/>
        <v>0.43993916985591508</v>
      </c>
    </row>
    <row r="33" spans="1:3" x14ac:dyDescent="0.3">
      <c r="A33" s="1">
        <v>0.15</v>
      </c>
      <c r="B33">
        <f t="shared" si="0"/>
        <v>0.47123889803846897</v>
      </c>
      <c r="C33">
        <f t="shared" si="1"/>
        <v>0.45399049973954675</v>
      </c>
    </row>
    <row r="34" spans="1:3" x14ac:dyDescent="0.3">
      <c r="A34" s="1">
        <v>0.155</v>
      </c>
      <c r="B34">
        <f t="shared" si="0"/>
        <v>0.48694686130641796</v>
      </c>
      <c r="C34">
        <f t="shared" si="1"/>
        <v>0.4679298142605734</v>
      </c>
    </row>
    <row r="35" spans="1:3" x14ac:dyDescent="0.3">
      <c r="A35" s="1">
        <v>0.16</v>
      </c>
      <c r="B35">
        <f t="shared" si="0"/>
        <v>0.50265482457436694</v>
      </c>
      <c r="C35">
        <f t="shared" si="1"/>
        <v>0.48175367410171532</v>
      </c>
    </row>
    <row r="36" spans="1:3" x14ac:dyDescent="0.3">
      <c r="A36" s="1">
        <v>0.16500000000000001</v>
      </c>
      <c r="B36">
        <f t="shared" si="0"/>
        <v>0.51836278784231593</v>
      </c>
      <c r="C36">
        <f t="shared" si="1"/>
        <v>0.4954586684324076</v>
      </c>
    </row>
    <row r="37" spans="1:3" x14ac:dyDescent="0.3">
      <c r="A37" s="1">
        <v>0.17</v>
      </c>
      <c r="B37">
        <f t="shared" si="0"/>
        <v>0.53407075111026492</v>
      </c>
      <c r="C37">
        <f t="shared" si="1"/>
        <v>0.50904141575037132</v>
      </c>
    </row>
    <row r="38" spans="1:3" x14ac:dyDescent="0.3">
      <c r="A38" s="1">
        <v>0.17499999999999999</v>
      </c>
      <c r="B38">
        <f t="shared" si="0"/>
        <v>0.5497787143782138</v>
      </c>
      <c r="C38">
        <f t="shared" si="1"/>
        <v>0.5224985647159488</v>
      </c>
    </row>
    <row r="39" spans="1:3" x14ac:dyDescent="0.3">
      <c r="A39" s="1">
        <v>0.18</v>
      </c>
      <c r="B39">
        <f t="shared" si="0"/>
        <v>0.56548667764616278</v>
      </c>
      <c r="C39">
        <f t="shared" si="1"/>
        <v>0.53582679497899666</v>
      </c>
    </row>
    <row r="40" spans="1:3" x14ac:dyDescent="0.3">
      <c r="A40" s="1">
        <v>0.185</v>
      </c>
      <c r="B40">
        <f t="shared" si="0"/>
        <v>0.58119464091411177</v>
      </c>
      <c r="C40">
        <f t="shared" si="1"/>
        <v>0.5490228179981318</v>
      </c>
    </row>
    <row r="41" spans="1:3" x14ac:dyDescent="0.3">
      <c r="A41" s="1">
        <v>0.19</v>
      </c>
      <c r="B41">
        <f t="shared" si="0"/>
        <v>0.59690260418206065</v>
      </c>
      <c r="C41">
        <f t="shared" si="1"/>
        <v>0.56208337785213058</v>
      </c>
    </row>
    <row r="42" spans="1:3" x14ac:dyDescent="0.3">
      <c r="A42" s="1">
        <v>0.19500000000000001</v>
      </c>
      <c r="B42">
        <f t="shared" si="0"/>
        <v>0.61261056745000964</v>
      </c>
      <c r="C42">
        <f t="shared" si="1"/>
        <v>0.57500525204327857</v>
      </c>
    </row>
    <row r="43" spans="1:3" x14ac:dyDescent="0.3">
      <c r="A43" s="1">
        <v>0.2</v>
      </c>
      <c r="B43">
        <f t="shared" si="0"/>
        <v>0.62831853071795862</v>
      </c>
      <c r="C43">
        <f t="shared" si="1"/>
        <v>0.58778525229247314</v>
      </c>
    </row>
    <row r="44" spans="1:3" x14ac:dyDescent="0.3">
      <c r="A44" s="1">
        <v>0.20499999999999999</v>
      </c>
      <c r="B44">
        <f t="shared" si="0"/>
        <v>0.6440264939859075</v>
      </c>
      <c r="C44">
        <f t="shared" si="1"/>
        <v>0.60042022532588391</v>
      </c>
    </row>
    <row r="45" spans="1:3" x14ac:dyDescent="0.3">
      <c r="A45" s="1">
        <v>0.21</v>
      </c>
      <c r="B45">
        <f t="shared" si="0"/>
        <v>0.65973445725385649</v>
      </c>
      <c r="C45">
        <f t="shared" si="1"/>
        <v>0.61290705365297637</v>
      </c>
    </row>
    <row r="46" spans="1:3" x14ac:dyDescent="0.3">
      <c r="A46" s="1">
        <v>0.215</v>
      </c>
      <c r="B46">
        <f t="shared" si="0"/>
        <v>0.67544242052180548</v>
      </c>
      <c r="C46">
        <f t="shared" si="1"/>
        <v>0.62524265633570508</v>
      </c>
    </row>
    <row r="47" spans="1:3" x14ac:dyDescent="0.3">
      <c r="A47" s="1">
        <v>0.22</v>
      </c>
      <c r="B47">
        <f t="shared" si="0"/>
        <v>0.69115038378975446</v>
      </c>
      <c r="C47">
        <f t="shared" si="1"/>
        <v>0.63742398974868963</v>
      </c>
    </row>
    <row r="48" spans="1:3" x14ac:dyDescent="0.3">
      <c r="A48" s="1">
        <v>0.22500000000000001</v>
      </c>
      <c r="B48">
        <f t="shared" si="0"/>
        <v>0.70685834705770345</v>
      </c>
      <c r="C48">
        <f t="shared" si="1"/>
        <v>0.64944804833018366</v>
      </c>
    </row>
    <row r="49" spans="1:3" x14ac:dyDescent="0.3">
      <c r="A49" s="1">
        <v>0.23</v>
      </c>
      <c r="B49">
        <f t="shared" si="0"/>
        <v>0.72256631032565244</v>
      </c>
      <c r="C49">
        <f t="shared" si="1"/>
        <v>0.66131186532365183</v>
      </c>
    </row>
    <row r="50" spans="1:3" x14ac:dyDescent="0.3">
      <c r="A50" s="1">
        <v>0.23499999999999999</v>
      </c>
      <c r="B50">
        <f t="shared" si="0"/>
        <v>0.73827427359360132</v>
      </c>
      <c r="C50">
        <f t="shared" si="1"/>
        <v>0.67301251350977331</v>
      </c>
    </row>
    <row r="51" spans="1:3" x14ac:dyDescent="0.3">
      <c r="A51" s="1">
        <v>0.24</v>
      </c>
      <c r="B51">
        <f t="shared" si="0"/>
        <v>0.7539822368615503</v>
      </c>
      <c r="C51">
        <f t="shared" si="1"/>
        <v>0.68454710592868862</v>
      </c>
    </row>
    <row r="52" spans="1:3" x14ac:dyDescent="0.3">
      <c r="A52" s="1">
        <v>0.245</v>
      </c>
      <c r="B52">
        <f t="shared" si="0"/>
        <v>0.76969020012949929</v>
      </c>
      <c r="C52">
        <f t="shared" si="1"/>
        <v>0.69591279659231431</v>
      </c>
    </row>
    <row r="53" spans="1:3" x14ac:dyDescent="0.3">
      <c r="A53" s="1">
        <v>0.25</v>
      </c>
      <c r="B53">
        <f t="shared" si="0"/>
        <v>0.78539816339744828</v>
      </c>
      <c r="C53">
        <f t="shared" si="1"/>
        <v>0.70710678118654746</v>
      </c>
    </row>
    <row r="54" spans="1:3" x14ac:dyDescent="0.3">
      <c r="A54" s="1">
        <v>0.255</v>
      </c>
      <c r="B54">
        <f t="shared" si="0"/>
        <v>0.80110612666539727</v>
      </c>
      <c r="C54">
        <f t="shared" si="1"/>
        <v>0.71812629776318881</v>
      </c>
    </row>
    <row r="55" spans="1:3" x14ac:dyDescent="0.3">
      <c r="A55" s="1">
        <v>0.26</v>
      </c>
      <c r="B55">
        <f t="shared" si="0"/>
        <v>0.81681408993334625</v>
      </c>
      <c r="C55">
        <f t="shared" si="1"/>
        <v>0.72896862742141155</v>
      </c>
    </row>
    <row r="56" spans="1:3" x14ac:dyDescent="0.3">
      <c r="A56" s="1">
        <v>0.26500000000000001</v>
      </c>
      <c r="B56">
        <f t="shared" si="0"/>
        <v>0.83252205320129524</v>
      </c>
      <c r="C56">
        <f t="shared" si="1"/>
        <v>0.73963109497860968</v>
      </c>
    </row>
    <row r="57" spans="1:3" x14ac:dyDescent="0.3">
      <c r="A57" s="1">
        <v>0.27</v>
      </c>
      <c r="B57">
        <f t="shared" si="0"/>
        <v>0.84823001646924423</v>
      </c>
      <c r="C57">
        <f t="shared" si="1"/>
        <v>0.75011106963045959</v>
      </c>
    </row>
    <row r="58" spans="1:3" x14ac:dyDescent="0.3">
      <c r="A58" s="1">
        <v>0.27500000000000002</v>
      </c>
      <c r="B58">
        <f t="shared" si="0"/>
        <v>0.86393797973719322</v>
      </c>
      <c r="C58">
        <f t="shared" si="1"/>
        <v>0.76040596560003104</v>
      </c>
    </row>
    <row r="59" spans="1:3" x14ac:dyDescent="0.3">
      <c r="A59" s="1">
        <v>0.28000000000000003</v>
      </c>
      <c r="B59">
        <f t="shared" si="0"/>
        <v>0.87964594300514221</v>
      </c>
      <c r="C59">
        <f t="shared" si="1"/>
        <v>0.77051324277578925</v>
      </c>
    </row>
    <row r="60" spans="1:3" x14ac:dyDescent="0.3">
      <c r="A60" s="1">
        <v>0.28499999999999998</v>
      </c>
      <c r="B60">
        <f t="shared" si="0"/>
        <v>0.89535390627309097</v>
      </c>
      <c r="C60">
        <f t="shared" si="1"/>
        <v>0.78043040733832969</v>
      </c>
    </row>
    <row r="61" spans="1:3" x14ac:dyDescent="0.3">
      <c r="A61" s="1">
        <v>0.28999999999999998</v>
      </c>
      <c r="B61">
        <f t="shared" si="0"/>
        <v>0.91106186954103996</v>
      </c>
      <c r="C61">
        <f t="shared" si="1"/>
        <v>0.7901550123756903</v>
      </c>
    </row>
    <row r="62" spans="1:3" x14ac:dyDescent="0.3">
      <c r="A62" s="1">
        <v>0.29499999999999998</v>
      </c>
      <c r="B62">
        <f t="shared" si="0"/>
        <v>0.92676983280898895</v>
      </c>
      <c r="C62">
        <f t="shared" si="1"/>
        <v>0.79968465848709047</v>
      </c>
    </row>
    <row r="63" spans="1:3" x14ac:dyDescent="0.3">
      <c r="A63" s="1">
        <v>0.3</v>
      </c>
      <c r="B63">
        <f t="shared" si="0"/>
        <v>0.94247779607693793</v>
      </c>
      <c r="C63">
        <f t="shared" si="1"/>
        <v>0.80901699437494745</v>
      </c>
    </row>
    <row r="64" spans="1:3" x14ac:dyDescent="0.3">
      <c r="A64" s="1">
        <v>0.30499999999999999</v>
      </c>
      <c r="B64">
        <f t="shared" si="0"/>
        <v>0.95818575934488692</v>
      </c>
      <c r="C64">
        <f t="shared" si="1"/>
        <v>0.8181497174250234</v>
      </c>
    </row>
    <row r="65" spans="1:3" x14ac:dyDescent="0.3">
      <c r="A65" s="1">
        <v>0.31</v>
      </c>
      <c r="B65">
        <f t="shared" si="0"/>
        <v>0.97389372261283591</v>
      </c>
      <c r="C65">
        <f t="shared" si="1"/>
        <v>0.82708057427456183</v>
      </c>
    </row>
    <row r="66" spans="1:3" x14ac:dyDescent="0.3">
      <c r="A66" s="1">
        <v>0.315</v>
      </c>
      <c r="B66">
        <f t="shared" si="0"/>
        <v>0.98960168588078479</v>
      </c>
      <c r="C66">
        <f t="shared" si="1"/>
        <v>0.83580736136827016</v>
      </c>
    </row>
    <row r="67" spans="1:3" x14ac:dyDescent="0.3">
      <c r="A67" s="1">
        <v>0.32</v>
      </c>
      <c r="B67">
        <f t="shared" si="0"/>
        <v>1.0053096491487339</v>
      </c>
      <c r="C67">
        <f t="shared" si="1"/>
        <v>0.84432792550201508</v>
      </c>
    </row>
    <row r="68" spans="1:3" x14ac:dyDescent="0.3">
      <c r="A68" s="1">
        <v>0.32500000000000001</v>
      </c>
      <c r="B68">
        <f t="shared" ref="B68:B131" si="15">A68*PI()</f>
        <v>1.0210176124166828</v>
      </c>
      <c r="C68">
        <f t="shared" ref="C68:C131" si="16">SIN(B68)</f>
        <v>0.85264016435409218</v>
      </c>
    </row>
    <row r="69" spans="1:3" x14ac:dyDescent="0.3">
      <c r="A69" s="1">
        <v>0.33</v>
      </c>
      <c r="B69">
        <f t="shared" si="15"/>
        <v>1.0367255756846319</v>
      </c>
      <c r="C69">
        <f t="shared" si="16"/>
        <v>0.86074202700394364</v>
      </c>
    </row>
    <row r="70" spans="1:3" x14ac:dyDescent="0.3">
      <c r="A70" s="1">
        <v>0.33500000000000002</v>
      </c>
      <c r="B70">
        <f t="shared" si="15"/>
        <v>1.0524335389525807</v>
      </c>
      <c r="C70">
        <f t="shared" si="16"/>
        <v>0.8686315144381912</v>
      </c>
    </row>
    <row r="71" spans="1:3" x14ac:dyDescent="0.3">
      <c r="A71" s="1">
        <v>0.34</v>
      </c>
      <c r="B71">
        <f t="shared" si="15"/>
        <v>1.0681415022205298</v>
      </c>
      <c r="C71">
        <f t="shared" si="16"/>
        <v>0.87630668004386369</v>
      </c>
    </row>
    <row r="72" spans="1:3" x14ac:dyDescent="0.3">
      <c r="A72" s="1">
        <v>0.34499999999999997</v>
      </c>
      <c r="B72">
        <f t="shared" si="15"/>
        <v>1.0838494654884785</v>
      </c>
      <c r="C72">
        <f t="shared" si="16"/>
        <v>0.88376563008869335</v>
      </c>
    </row>
    <row r="73" spans="1:3" x14ac:dyDescent="0.3">
      <c r="A73" s="1">
        <v>0.35</v>
      </c>
      <c r="B73">
        <f t="shared" si="15"/>
        <v>1.0995574287564276</v>
      </c>
      <c r="C73">
        <f t="shared" si="16"/>
        <v>0.89100652418836779</v>
      </c>
    </row>
    <row r="74" spans="1:3" x14ac:dyDescent="0.3">
      <c r="A74" s="1">
        <v>0.35499999999999998</v>
      </c>
      <c r="B74">
        <f t="shared" si="15"/>
        <v>1.1152653920243765</v>
      </c>
      <c r="C74">
        <f t="shared" si="16"/>
        <v>0.89802757576061554</v>
      </c>
    </row>
    <row r="75" spans="1:3" x14ac:dyDescent="0.3">
      <c r="A75" s="1">
        <v>0.36</v>
      </c>
      <c r="B75">
        <f t="shared" si="15"/>
        <v>1.1309733552923256</v>
      </c>
      <c r="C75">
        <f t="shared" si="16"/>
        <v>0.90482705246601958</v>
      </c>
    </row>
    <row r="76" spans="1:3" x14ac:dyDescent="0.3">
      <c r="A76" s="1">
        <v>0.36499999999999999</v>
      </c>
      <c r="B76">
        <f t="shared" si="15"/>
        <v>1.1466813185602744</v>
      </c>
      <c r="C76">
        <f t="shared" si="16"/>
        <v>0.91140327663544518</v>
      </c>
    </row>
    <row r="77" spans="1:3" x14ac:dyDescent="0.3">
      <c r="A77" s="1">
        <v>0.37</v>
      </c>
      <c r="B77">
        <f t="shared" si="15"/>
        <v>1.1623892818282235</v>
      </c>
      <c r="C77">
        <f t="shared" si="16"/>
        <v>0.91775462568398114</v>
      </c>
    </row>
    <row r="78" spans="1:3" x14ac:dyDescent="0.3">
      <c r="A78" s="1">
        <v>0.375</v>
      </c>
      <c r="B78">
        <f t="shared" si="15"/>
        <v>1.1780972450961724</v>
      </c>
      <c r="C78">
        <f t="shared" si="16"/>
        <v>0.92387953251128674</v>
      </c>
    </row>
    <row r="79" spans="1:3" x14ac:dyDescent="0.3">
      <c r="A79" s="1">
        <v>0.38</v>
      </c>
      <c r="B79">
        <f t="shared" si="15"/>
        <v>1.1938052083641213</v>
      </c>
      <c r="C79">
        <f t="shared" si="16"/>
        <v>0.92977648588825135</v>
      </c>
    </row>
    <row r="80" spans="1:3" x14ac:dyDescent="0.3">
      <c r="A80" s="1">
        <v>0.38500000000000001</v>
      </c>
      <c r="B80">
        <f t="shared" si="15"/>
        <v>1.2095131716320704</v>
      </c>
      <c r="C80">
        <f t="shared" si="16"/>
        <v>0.93544403082986738</v>
      </c>
    </row>
    <row r="81" spans="1:3" x14ac:dyDescent="0.3">
      <c r="A81" s="1">
        <v>0.39</v>
      </c>
      <c r="B81">
        <f t="shared" si="15"/>
        <v>1.2252211349000193</v>
      </c>
      <c r="C81">
        <f t="shared" si="16"/>
        <v>0.94088076895422545</v>
      </c>
    </row>
    <row r="82" spans="1:3" x14ac:dyDescent="0.3">
      <c r="A82" s="1">
        <v>0.39500000000000002</v>
      </c>
      <c r="B82">
        <f t="shared" si="15"/>
        <v>1.2409290981679684</v>
      </c>
      <c r="C82">
        <f t="shared" si="16"/>
        <v>0.9460853588275453</v>
      </c>
    </row>
    <row r="83" spans="1:3" x14ac:dyDescent="0.3">
      <c r="A83" s="1">
        <v>0.4</v>
      </c>
      <c r="B83">
        <f t="shared" si="15"/>
        <v>1.2566370614359172</v>
      </c>
      <c r="C83">
        <f t="shared" si="16"/>
        <v>0.95105651629515353</v>
      </c>
    </row>
    <row r="84" spans="1:3" x14ac:dyDescent="0.3">
      <c r="A84" s="1">
        <v>0.40500000000000003</v>
      </c>
      <c r="B84">
        <f t="shared" si="15"/>
        <v>1.2723450247038663</v>
      </c>
      <c r="C84">
        <f t="shared" si="16"/>
        <v>0.95579301479833012</v>
      </c>
    </row>
    <row r="85" spans="1:3" x14ac:dyDescent="0.3">
      <c r="A85" s="1">
        <v>0.41</v>
      </c>
      <c r="B85">
        <f t="shared" si="15"/>
        <v>1.288052987971815</v>
      </c>
      <c r="C85">
        <f t="shared" si="16"/>
        <v>0.96029368567694295</v>
      </c>
    </row>
    <row r="86" spans="1:3" x14ac:dyDescent="0.3">
      <c r="A86" s="1">
        <v>0.41499999999999998</v>
      </c>
      <c r="B86">
        <f t="shared" si="15"/>
        <v>1.3037609512397641</v>
      </c>
      <c r="C86">
        <f t="shared" si="16"/>
        <v>0.96455741845779808</v>
      </c>
    </row>
    <row r="87" spans="1:3" x14ac:dyDescent="0.3">
      <c r="A87" s="1">
        <v>0.42</v>
      </c>
      <c r="B87">
        <f t="shared" si="15"/>
        <v>1.319468914507713</v>
      </c>
      <c r="C87">
        <f t="shared" si="16"/>
        <v>0.96858316112863108</v>
      </c>
    </row>
    <row r="88" spans="1:3" x14ac:dyDescent="0.3">
      <c r="A88" s="1">
        <v>0.42499999999999999</v>
      </c>
      <c r="B88">
        <f t="shared" si="15"/>
        <v>1.3351768777756621</v>
      </c>
      <c r="C88">
        <f t="shared" si="16"/>
        <v>0.97236992039767656</v>
      </c>
    </row>
    <row r="89" spans="1:3" x14ac:dyDescent="0.3">
      <c r="A89" s="1">
        <v>0.43</v>
      </c>
      <c r="B89">
        <f t="shared" si="15"/>
        <v>1.350884841043611</v>
      </c>
      <c r="C89">
        <f t="shared" si="16"/>
        <v>0.97591676193874732</v>
      </c>
    </row>
    <row r="90" spans="1:3" x14ac:dyDescent="0.3">
      <c r="A90" s="1">
        <v>0.435</v>
      </c>
      <c r="B90">
        <f t="shared" si="15"/>
        <v>1.36659280431156</v>
      </c>
      <c r="C90">
        <f t="shared" si="16"/>
        <v>0.97922281062176575</v>
      </c>
    </row>
    <row r="91" spans="1:3" x14ac:dyDescent="0.3">
      <c r="A91" s="1">
        <v>0.44</v>
      </c>
      <c r="B91">
        <f t="shared" si="15"/>
        <v>1.3823007675795089</v>
      </c>
      <c r="C91">
        <f t="shared" si="16"/>
        <v>0.98228725072868861</v>
      </c>
    </row>
    <row r="92" spans="1:3" x14ac:dyDescent="0.3">
      <c r="A92" s="1">
        <v>0.44500000000000001</v>
      </c>
      <c r="B92">
        <f t="shared" si="15"/>
        <v>1.398008730847458</v>
      </c>
      <c r="C92">
        <f t="shared" si="16"/>
        <v>0.98510932615477398</v>
      </c>
    </row>
    <row r="93" spans="1:3" x14ac:dyDescent="0.3">
      <c r="A93" s="1">
        <v>0.45</v>
      </c>
      <c r="B93">
        <f t="shared" si="15"/>
        <v>1.4137166941154069</v>
      </c>
      <c r="C93">
        <f t="shared" si="16"/>
        <v>0.98768834059513777</v>
      </c>
    </row>
    <row r="94" spans="1:3" x14ac:dyDescent="0.3">
      <c r="A94" s="1">
        <v>0.45500000000000002</v>
      </c>
      <c r="B94">
        <f t="shared" si="15"/>
        <v>1.429424657383356</v>
      </c>
      <c r="C94">
        <f t="shared" si="16"/>
        <v>0.99002365771655754</v>
      </c>
    </row>
    <row r="95" spans="1:3" x14ac:dyDescent="0.3">
      <c r="A95" s="1">
        <v>0.46</v>
      </c>
      <c r="B95">
        <f t="shared" si="15"/>
        <v>1.4451326206513049</v>
      </c>
      <c r="C95">
        <f t="shared" si="16"/>
        <v>0.99211470131447788</v>
      </c>
    </row>
    <row r="96" spans="1:3" x14ac:dyDescent="0.3">
      <c r="A96" s="1">
        <v>0.46500000000000002</v>
      </c>
      <c r="B96">
        <f t="shared" si="15"/>
        <v>1.460840583919254</v>
      </c>
      <c r="C96">
        <f t="shared" si="16"/>
        <v>0.99396095545517971</v>
      </c>
    </row>
    <row r="97" spans="1:3" x14ac:dyDescent="0.3">
      <c r="A97" s="1">
        <v>0.47</v>
      </c>
      <c r="B97">
        <f t="shared" si="15"/>
        <v>1.4765485471872026</v>
      </c>
      <c r="C97">
        <f t="shared" si="16"/>
        <v>0.99556196460308</v>
      </c>
    </row>
    <row r="98" spans="1:3" x14ac:dyDescent="0.3">
      <c r="A98" s="1">
        <v>0.47499999999999998</v>
      </c>
      <c r="B98">
        <f t="shared" si="15"/>
        <v>1.4922565104551517</v>
      </c>
      <c r="C98">
        <f t="shared" si="16"/>
        <v>0.99691733373312796</v>
      </c>
    </row>
    <row r="99" spans="1:3" x14ac:dyDescent="0.3">
      <c r="A99" s="1">
        <v>0.48</v>
      </c>
      <c r="B99">
        <f t="shared" si="15"/>
        <v>1.5079644737231006</v>
      </c>
      <c r="C99">
        <f t="shared" si="16"/>
        <v>0.99802672842827156</v>
      </c>
    </row>
    <row r="100" spans="1:3" x14ac:dyDescent="0.3">
      <c r="A100" s="1">
        <v>0.48499999999999999</v>
      </c>
      <c r="B100">
        <f t="shared" si="15"/>
        <v>1.5236724369910497</v>
      </c>
      <c r="C100">
        <f t="shared" si="16"/>
        <v>0.99888987496197001</v>
      </c>
    </row>
    <row r="101" spans="1:3" x14ac:dyDescent="0.3">
      <c r="A101" s="1">
        <v>0.49</v>
      </c>
      <c r="B101">
        <f t="shared" si="15"/>
        <v>1.5393804002589986</v>
      </c>
      <c r="C101">
        <f t="shared" si="16"/>
        <v>0.9995065603657316</v>
      </c>
    </row>
    <row r="102" spans="1:3" x14ac:dyDescent="0.3">
      <c r="A102" s="1">
        <v>0.495</v>
      </c>
      <c r="B102">
        <f t="shared" si="15"/>
        <v>1.5550883635269477</v>
      </c>
      <c r="C102">
        <f t="shared" si="16"/>
        <v>0.99987663248166059</v>
      </c>
    </row>
    <row r="103" spans="1:3" x14ac:dyDescent="0.3">
      <c r="A103" s="1">
        <v>0.5</v>
      </c>
      <c r="B103">
        <f t="shared" si="15"/>
        <v>1.5707963267948966</v>
      </c>
      <c r="C103">
        <f t="shared" si="16"/>
        <v>1</v>
      </c>
    </row>
    <row r="104" spans="1:3" x14ac:dyDescent="0.3">
      <c r="A104" s="1">
        <v>0.505</v>
      </c>
      <c r="B104">
        <f t="shared" si="15"/>
        <v>1.5865042900628454</v>
      </c>
      <c r="C104">
        <f t="shared" si="16"/>
        <v>0.99987663248166059</v>
      </c>
    </row>
    <row r="105" spans="1:3" x14ac:dyDescent="0.3">
      <c r="A105" s="1">
        <v>0.51</v>
      </c>
      <c r="B105">
        <f t="shared" si="15"/>
        <v>1.6022122533307945</v>
      </c>
      <c r="C105">
        <f t="shared" si="16"/>
        <v>0.9995065603657316</v>
      </c>
    </row>
    <row r="106" spans="1:3" x14ac:dyDescent="0.3">
      <c r="A106" s="1">
        <v>0.51500000000000001</v>
      </c>
      <c r="B106">
        <f t="shared" si="15"/>
        <v>1.6179202165987434</v>
      </c>
      <c r="C106">
        <f t="shared" si="16"/>
        <v>0.99888987496197001</v>
      </c>
    </row>
    <row r="107" spans="1:3" x14ac:dyDescent="0.3">
      <c r="A107" s="1">
        <v>0.52</v>
      </c>
      <c r="B107">
        <f t="shared" si="15"/>
        <v>1.6336281798666925</v>
      </c>
      <c r="C107">
        <f t="shared" si="16"/>
        <v>0.99802672842827156</v>
      </c>
    </row>
    <row r="108" spans="1:3" x14ac:dyDescent="0.3">
      <c r="A108" s="1">
        <v>0.52500000000000002</v>
      </c>
      <c r="B108">
        <f t="shared" si="15"/>
        <v>1.6493361431346414</v>
      </c>
      <c r="C108">
        <f t="shared" si="16"/>
        <v>0.99691733373312796</v>
      </c>
    </row>
    <row r="109" spans="1:3" x14ac:dyDescent="0.3">
      <c r="A109" s="1">
        <v>0.53</v>
      </c>
      <c r="B109">
        <f t="shared" si="15"/>
        <v>1.6650441064025905</v>
      </c>
      <c r="C109">
        <f t="shared" si="16"/>
        <v>0.99556196460308</v>
      </c>
    </row>
    <row r="110" spans="1:3" x14ac:dyDescent="0.3">
      <c r="A110" s="1">
        <v>0.53500000000000003</v>
      </c>
      <c r="B110">
        <f t="shared" si="15"/>
        <v>1.6807520696705394</v>
      </c>
      <c r="C110">
        <f t="shared" si="16"/>
        <v>0.99396095545517971</v>
      </c>
    </row>
    <row r="111" spans="1:3" x14ac:dyDescent="0.3">
      <c r="A111" s="1">
        <v>0.54</v>
      </c>
      <c r="B111">
        <f t="shared" si="15"/>
        <v>1.6964600329384885</v>
      </c>
      <c r="C111">
        <f t="shared" si="16"/>
        <v>0.99211470131447776</v>
      </c>
    </row>
    <row r="112" spans="1:3" x14ac:dyDescent="0.3">
      <c r="A112" s="1">
        <v>0.54500000000000004</v>
      </c>
      <c r="B112">
        <f t="shared" si="15"/>
        <v>1.7121679962064373</v>
      </c>
      <c r="C112">
        <f t="shared" si="16"/>
        <v>0.99002365771655754</v>
      </c>
    </row>
    <row r="113" spans="1:3" x14ac:dyDescent="0.3">
      <c r="A113" s="1">
        <v>0.55000000000000004</v>
      </c>
      <c r="B113">
        <f t="shared" si="15"/>
        <v>1.7278759594743864</v>
      </c>
      <c r="C113">
        <f t="shared" si="16"/>
        <v>0.98768834059513766</v>
      </c>
    </row>
    <row r="114" spans="1:3" x14ac:dyDescent="0.3">
      <c r="A114" s="1">
        <v>0.55500000000000005</v>
      </c>
      <c r="B114">
        <f t="shared" si="15"/>
        <v>1.7435839227423353</v>
      </c>
      <c r="C114">
        <f t="shared" si="16"/>
        <v>0.98510932615477387</v>
      </c>
    </row>
    <row r="115" spans="1:3" x14ac:dyDescent="0.3">
      <c r="A115" s="1">
        <v>0.56000000000000005</v>
      </c>
      <c r="B115">
        <f t="shared" si="15"/>
        <v>1.7592918860102844</v>
      </c>
      <c r="C115">
        <f t="shared" si="16"/>
        <v>0.98228725072868861</v>
      </c>
    </row>
    <row r="116" spans="1:3" x14ac:dyDescent="0.3">
      <c r="A116" s="1">
        <v>0.56499999999999995</v>
      </c>
      <c r="B116">
        <f t="shared" si="15"/>
        <v>1.7749998492782328</v>
      </c>
      <c r="C116">
        <f t="shared" si="16"/>
        <v>0.97922281062176586</v>
      </c>
    </row>
    <row r="117" spans="1:3" x14ac:dyDescent="0.3">
      <c r="A117" s="1">
        <v>0.56999999999999995</v>
      </c>
      <c r="B117">
        <f t="shared" si="15"/>
        <v>1.7907078125461819</v>
      </c>
      <c r="C117">
        <f t="shared" si="16"/>
        <v>0.97591676193874743</v>
      </c>
    </row>
    <row r="118" spans="1:3" x14ac:dyDescent="0.3">
      <c r="A118" s="1">
        <v>0.57499999999999996</v>
      </c>
      <c r="B118">
        <f t="shared" si="15"/>
        <v>1.8064157758141308</v>
      </c>
      <c r="C118">
        <f t="shared" si="16"/>
        <v>0.97236992039767667</v>
      </c>
    </row>
    <row r="119" spans="1:3" x14ac:dyDescent="0.3">
      <c r="A119" s="1">
        <v>0.57999999999999996</v>
      </c>
      <c r="B119">
        <f t="shared" si="15"/>
        <v>1.8221237390820799</v>
      </c>
      <c r="C119">
        <f t="shared" si="16"/>
        <v>0.96858316112863119</v>
      </c>
    </row>
    <row r="120" spans="1:3" x14ac:dyDescent="0.3">
      <c r="A120" s="1">
        <v>0.58499999999999996</v>
      </c>
      <c r="B120">
        <f t="shared" si="15"/>
        <v>1.8378317023500288</v>
      </c>
      <c r="C120">
        <f t="shared" si="16"/>
        <v>0.96455741845779819</v>
      </c>
    </row>
    <row r="121" spans="1:3" x14ac:dyDescent="0.3">
      <c r="A121" s="1">
        <v>0.59</v>
      </c>
      <c r="B121">
        <f t="shared" si="15"/>
        <v>1.8535396656179779</v>
      </c>
      <c r="C121">
        <f t="shared" si="16"/>
        <v>0.96029368567694307</v>
      </c>
    </row>
    <row r="122" spans="1:3" x14ac:dyDescent="0.3">
      <c r="A122" s="1">
        <v>0.59499999999999997</v>
      </c>
      <c r="B122">
        <f t="shared" si="15"/>
        <v>1.8692476288859268</v>
      </c>
      <c r="C122">
        <f t="shared" si="16"/>
        <v>0.95579301479833023</v>
      </c>
    </row>
    <row r="123" spans="1:3" x14ac:dyDescent="0.3">
      <c r="A123" s="1">
        <v>0.6</v>
      </c>
      <c r="B123">
        <f t="shared" si="15"/>
        <v>1.8849555921538759</v>
      </c>
      <c r="C123">
        <f t="shared" si="16"/>
        <v>0.95105651629515364</v>
      </c>
    </row>
    <row r="124" spans="1:3" x14ac:dyDescent="0.3">
      <c r="A124" s="1">
        <v>0.60499999999999998</v>
      </c>
      <c r="B124">
        <f t="shared" si="15"/>
        <v>1.9006635554218247</v>
      </c>
      <c r="C124">
        <f t="shared" si="16"/>
        <v>0.94608535882754541</v>
      </c>
    </row>
    <row r="125" spans="1:3" x14ac:dyDescent="0.3">
      <c r="A125" s="1">
        <v>0.61</v>
      </c>
      <c r="B125">
        <f t="shared" si="15"/>
        <v>1.9163715186897738</v>
      </c>
      <c r="C125">
        <f t="shared" si="16"/>
        <v>0.94088076895422545</v>
      </c>
    </row>
    <row r="126" spans="1:3" x14ac:dyDescent="0.3">
      <c r="A126" s="1">
        <v>0.61499999999999999</v>
      </c>
      <c r="B126">
        <f t="shared" si="15"/>
        <v>1.9320794819577227</v>
      </c>
      <c r="C126">
        <f t="shared" si="16"/>
        <v>0.93544403082986738</v>
      </c>
    </row>
    <row r="127" spans="1:3" x14ac:dyDescent="0.3">
      <c r="A127" s="1">
        <v>0.62</v>
      </c>
      <c r="B127">
        <f t="shared" si="15"/>
        <v>1.9477874452256718</v>
      </c>
      <c r="C127">
        <f t="shared" si="16"/>
        <v>0.92977648588825135</v>
      </c>
    </row>
    <row r="128" spans="1:3" x14ac:dyDescent="0.3">
      <c r="A128" s="1">
        <v>0.625</v>
      </c>
      <c r="B128">
        <f t="shared" si="15"/>
        <v>1.9634954084936207</v>
      </c>
      <c r="C128">
        <f t="shared" si="16"/>
        <v>0.92387953251128674</v>
      </c>
    </row>
    <row r="129" spans="1:3" x14ac:dyDescent="0.3">
      <c r="A129" s="1">
        <v>0.63</v>
      </c>
      <c r="B129">
        <f t="shared" si="15"/>
        <v>1.9792033717615696</v>
      </c>
      <c r="C129">
        <f t="shared" si="16"/>
        <v>0.91775462568398125</v>
      </c>
    </row>
    <row r="130" spans="1:3" x14ac:dyDescent="0.3">
      <c r="A130" s="1">
        <v>0.63500000000000001</v>
      </c>
      <c r="B130">
        <f t="shared" si="15"/>
        <v>1.9949113350295187</v>
      </c>
      <c r="C130">
        <f t="shared" si="16"/>
        <v>0.91140327663544529</v>
      </c>
    </row>
    <row r="131" spans="1:3" x14ac:dyDescent="0.3">
      <c r="A131" s="1">
        <v>0.64</v>
      </c>
      <c r="B131">
        <f t="shared" si="15"/>
        <v>2.0106192982974678</v>
      </c>
      <c r="C131">
        <f t="shared" si="16"/>
        <v>0.90482705246601947</v>
      </c>
    </row>
    <row r="132" spans="1:3" x14ac:dyDescent="0.3">
      <c r="A132" s="1">
        <v>0.64500000000000002</v>
      </c>
      <c r="B132">
        <f t="shared" ref="B132:B195" si="17">A132*PI()</f>
        <v>2.0263272615654166</v>
      </c>
      <c r="C132">
        <f t="shared" ref="C132:C195" si="18">SIN(B132)</f>
        <v>0.89802757576061565</v>
      </c>
    </row>
    <row r="133" spans="1:3" x14ac:dyDescent="0.3">
      <c r="A133" s="1">
        <v>0.65</v>
      </c>
      <c r="B133">
        <f t="shared" si="17"/>
        <v>2.0420352248333655</v>
      </c>
      <c r="C133">
        <f t="shared" si="18"/>
        <v>0.8910065241883679</v>
      </c>
    </row>
    <row r="134" spans="1:3" x14ac:dyDescent="0.3">
      <c r="A134" s="1">
        <v>0.65500000000000003</v>
      </c>
      <c r="B134">
        <f t="shared" si="17"/>
        <v>2.0577431881013144</v>
      </c>
      <c r="C134">
        <f t="shared" si="18"/>
        <v>0.88376563008869347</v>
      </c>
    </row>
    <row r="135" spans="1:3" x14ac:dyDescent="0.3">
      <c r="A135" s="1">
        <v>0.66</v>
      </c>
      <c r="B135">
        <f t="shared" si="17"/>
        <v>2.0734511513692637</v>
      </c>
      <c r="C135">
        <f t="shared" si="18"/>
        <v>0.87630668004386347</v>
      </c>
    </row>
    <row r="136" spans="1:3" x14ac:dyDescent="0.3">
      <c r="A136" s="1">
        <v>0.66500000000000004</v>
      </c>
      <c r="B136">
        <f t="shared" si="17"/>
        <v>2.0891591146372126</v>
      </c>
      <c r="C136">
        <f t="shared" si="18"/>
        <v>0.8686315144381912</v>
      </c>
    </row>
    <row r="137" spans="1:3" x14ac:dyDescent="0.3">
      <c r="A137" s="1">
        <v>0.67</v>
      </c>
      <c r="B137">
        <f t="shared" si="17"/>
        <v>2.1048670779051615</v>
      </c>
      <c r="C137">
        <f t="shared" si="18"/>
        <v>0.86074202700394364</v>
      </c>
    </row>
    <row r="138" spans="1:3" x14ac:dyDescent="0.3">
      <c r="A138" s="1">
        <v>0.67500000000000004</v>
      </c>
      <c r="B138">
        <f t="shared" si="17"/>
        <v>2.1205750411731104</v>
      </c>
      <c r="C138">
        <f t="shared" si="18"/>
        <v>0.85264016435409229</v>
      </c>
    </row>
    <row r="139" spans="1:3" x14ac:dyDescent="0.3">
      <c r="A139" s="1">
        <v>0.68</v>
      </c>
      <c r="B139">
        <f t="shared" si="17"/>
        <v>2.1362830044410597</v>
      </c>
      <c r="C139">
        <f t="shared" si="18"/>
        <v>0.84432792550201496</v>
      </c>
    </row>
    <row r="140" spans="1:3" x14ac:dyDescent="0.3">
      <c r="A140" s="1">
        <v>0.68500000000000005</v>
      </c>
      <c r="B140">
        <f t="shared" si="17"/>
        <v>2.1519909677090086</v>
      </c>
      <c r="C140">
        <f t="shared" si="18"/>
        <v>0.83580736136827016</v>
      </c>
    </row>
    <row r="141" spans="1:3" x14ac:dyDescent="0.3">
      <c r="A141" s="1">
        <v>0.69</v>
      </c>
      <c r="B141">
        <f t="shared" si="17"/>
        <v>2.167698930976957</v>
      </c>
      <c r="C141">
        <f t="shared" si="18"/>
        <v>0.82708057427456205</v>
      </c>
    </row>
    <row r="142" spans="1:3" x14ac:dyDescent="0.3">
      <c r="A142" s="1">
        <v>0.69499999999999995</v>
      </c>
      <c r="B142">
        <f t="shared" si="17"/>
        <v>2.1834068942449059</v>
      </c>
      <c r="C142">
        <f t="shared" si="18"/>
        <v>0.81814971742502374</v>
      </c>
    </row>
    <row r="143" spans="1:3" x14ac:dyDescent="0.3">
      <c r="A143" s="1">
        <v>0.7</v>
      </c>
      <c r="B143">
        <f t="shared" si="17"/>
        <v>2.1991148575128552</v>
      </c>
      <c r="C143">
        <f t="shared" si="18"/>
        <v>0.80901699437494745</v>
      </c>
    </row>
    <row r="144" spans="1:3" x14ac:dyDescent="0.3">
      <c r="A144" s="1">
        <v>0.70499999999999996</v>
      </c>
      <c r="B144">
        <f t="shared" si="17"/>
        <v>2.2148228207808041</v>
      </c>
      <c r="C144">
        <f t="shared" si="18"/>
        <v>0.79968465848709069</v>
      </c>
    </row>
    <row r="145" spans="1:3" x14ac:dyDescent="0.3">
      <c r="A145" s="1">
        <v>0.71</v>
      </c>
      <c r="B145">
        <f t="shared" si="17"/>
        <v>2.2305307840487529</v>
      </c>
      <c r="C145">
        <f t="shared" si="18"/>
        <v>0.79015501237569052</v>
      </c>
    </row>
    <row r="146" spans="1:3" x14ac:dyDescent="0.3">
      <c r="A146" s="1">
        <v>0.71499999999999997</v>
      </c>
      <c r="B146">
        <f t="shared" si="17"/>
        <v>2.2462387473167018</v>
      </c>
      <c r="C146">
        <f t="shared" si="18"/>
        <v>0.78043040733832991</v>
      </c>
    </row>
    <row r="147" spans="1:3" x14ac:dyDescent="0.3">
      <c r="A147" s="1">
        <v>0.72</v>
      </c>
      <c r="B147">
        <f t="shared" si="17"/>
        <v>2.2619467105846511</v>
      </c>
      <c r="C147">
        <f t="shared" si="18"/>
        <v>0.77051324277578925</v>
      </c>
    </row>
    <row r="148" spans="1:3" x14ac:dyDescent="0.3">
      <c r="A148" s="1">
        <v>0.72499999999999998</v>
      </c>
      <c r="B148">
        <f t="shared" si="17"/>
        <v>2.2776546738526</v>
      </c>
      <c r="C148">
        <f t="shared" si="18"/>
        <v>0.76040596560003104</v>
      </c>
    </row>
    <row r="149" spans="1:3" x14ac:dyDescent="0.3">
      <c r="A149" s="1">
        <v>0.73</v>
      </c>
      <c r="B149">
        <f t="shared" si="17"/>
        <v>2.2933626371205489</v>
      </c>
      <c r="C149">
        <f t="shared" si="18"/>
        <v>0.7501110696304597</v>
      </c>
    </row>
    <row r="150" spans="1:3" x14ac:dyDescent="0.3">
      <c r="A150" s="1">
        <v>0.73499999999999999</v>
      </c>
      <c r="B150">
        <f t="shared" si="17"/>
        <v>2.3090706003884978</v>
      </c>
      <c r="C150">
        <f t="shared" si="18"/>
        <v>0.7396310949786099</v>
      </c>
    </row>
    <row r="151" spans="1:3" x14ac:dyDescent="0.3">
      <c r="A151" s="1">
        <v>0.74</v>
      </c>
      <c r="B151">
        <f t="shared" si="17"/>
        <v>2.3247785636564471</v>
      </c>
      <c r="C151">
        <f t="shared" si="18"/>
        <v>0.72896862742141144</v>
      </c>
    </row>
    <row r="152" spans="1:3" x14ac:dyDescent="0.3">
      <c r="A152" s="1">
        <v>0.745</v>
      </c>
      <c r="B152">
        <f t="shared" si="17"/>
        <v>2.340486526924396</v>
      </c>
      <c r="C152">
        <f t="shared" si="18"/>
        <v>0.71812629776318881</v>
      </c>
    </row>
    <row r="153" spans="1:3" x14ac:dyDescent="0.3">
      <c r="A153" s="1">
        <v>0.75</v>
      </c>
      <c r="B153">
        <f t="shared" si="17"/>
        <v>2.3561944901923448</v>
      </c>
      <c r="C153">
        <f t="shared" si="18"/>
        <v>0.70710678118654757</v>
      </c>
    </row>
    <row r="154" spans="1:3" x14ac:dyDescent="0.3">
      <c r="A154" s="1">
        <v>0.755</v>
      </c>
      <c r="B154">
        <f t="shared" si="17"/>
        <v>2.3719024534602937</v>
      </c>
      <c r="C154">
        <f t="shared" si="18"/>
        <v>0.69591279659231442</v>
      </c>
    </row>
    <row r="155" spans="1:3" x14ac:dyDescent="0.3">
      <c r="A155" s="1">
        <v>0.76</v>
      </c>
      <c r="B155">
        <f t="shared" si="17"/>
        <v>2.3876104167282426</v>
      </c>
      <c r="C155">
        <f t="shared" si="18"/>
        <v>0.68454710592868884</v>
      </c>
    </row>
    <row r="156" spans="1:3" x14ac:dyDescent="0.3">
      <c r="A156" s="1">
        <v>0.76500000000000001</v>
      </c>
      <c r="B156">
        <f t="shared" si="17"/>
        <v>2.4033183799961919</v>
      </c>
      <c r="C156">
        <f t="shared" si="18"/>
        <v>0.67301251350977331</v>
      </c>
    </row>
    <row r="157" spans="1:3" x14ac:dyDescent="0.3">
      <c r="A157" s="1">
        <v>0.77</v>
      </c>
      <c r="B157">
        <f t="shared" si="17"/>
        <v>2.4190263432641408</v>
      </c>
      <c r="C157">
        <f t="shared" si="18"/>
        <v>0.66131186532365183</v>
      </c>
    </row>
    <row r="158" spans="1:3" x14ac:dyDescent="0.3">
      <c r="A158" s="1">
        <v>0.77500000000000002</v>
      </c>
      <c r="B158">
        <f t="shared" si="17"/>
        <v>2.4347343065320897</v>
      </c>
      <c r="C158">
        <f t="shared" si="18"/>
        <v>0.64944804833018377</v>
      </c>
    </row>
    <row r="159" spans="1:3" x14ac:dyDescent="0.3">
      <c r="A159" s="1">
        <v>0.78</v>
      </c>
      <c r="B159">
        <f t="shared" si="17"/>
        <v>2.4504422698000385</v>
      </c>
      <c r="C159">
        <f t="shared" si="18"/>
        <v>0.63742398974868986</v>
      </c>
    </row>
    <row r="160" spans="1:3" x14ac:dyDescent="0.3">
      <c r="A160" s="1">
        <v>0.78500000000000003</v>
      </c>
      <c r="B160">
        <f t="shared" si="17"/>
        <v>2.4661502330679879</v>
      </c>
      <c r="C160">
        <f t="shared" si="18"/>
        <v>0.62524265633570508</v>
      </c>
    </row>
    <row r="161" spans="1:3" x14ac:dyDescent="0.3">
      <c r="A161" s="1">
        <v>0.79</v>
      </c>
      <c r="B161">
        <f t="shared" si="17"/>
        <v>2.4818581963359367</v>
      </c>
      <c r="C161">
        <f t="shared" si="18"/>
        <v>0.61290705365297637</v>
      </c>
    </row>
    <row r="162" spans="1:3" x14ac:dyDescent="0.3">
      <c r="A162" s="1">
        <v>0.79500000000000004</v>
      </c>
      <c r="B162">
        <f t="shared" si="17"/>
        <v>2.4975661596038856</v>
      </c>
      <c r="C162">
        <f t="shared" si="18"/>
        <v>0.60042022532588402</v>
      </c>
    </row>
    <row r="163" spans="1:3" x14ac:dyDescent="0.3">
      <c r="A163" s="1">
        <v>0.8</v>
      </c>
      <c r="B163">
        <f t="shared" si="17"/>
        <v>2.5132741228718345</v>
      </c>
      <c r="C163">
        <f t="shared" si="18"/>
        <v>0.58778525229247325</v>
      </c>
    </row>
    <row r="164" spans="1:3" x14ac:dyDescent="0.3">
      <c r="A164" s="1">
        <v>0.80500000000000005</v>
      </c>
      <c r="B164">
        <f t="shared" si="17"/>
        <v>2.5289820861397838</v>
      </c>
      <c r="C164">
        <f t="shared" si="18"/>
        <v>0.57500525204327835</v>
      </c>
    </row>
    <row r="165" spans="1:3" x14ac:dyDescent="0.3">
      <c r="A165" s="1">
        <v>0.81</v>
      </c>
      <c r="B165">
        <f t="shared" si="17"/>
        <v>2.5446900494077327</v>
      </c>
      <c r="C165">
        <f t="shared" si="18"/>
        <v>0.56208337785213047</v>
      </c>
    </row>
    <row r="166" spans="1:3" x14ac:dyDescent="0.3">
      <c r="A166" s="1">
        <v>0.81499999999999995</v>
      </c>
      <c r="B166">
        <f t="shared" si="17"/>
        <v>2.5603980126756811</v>
      </c>
      <c r="C166">
        <f t="shared" si="18"/>
        <v>0.54902281799813202</v>
      </c>
    </row>
    <row r="167" spans="1:3" x14ac:dyDescent="0.3">
      <c r="A167" s="1">
        <v>0.82</v>
      </c>
      <c r="B167">
        <f t="shared" si="17"/>
        <v>2.57610597594363</v>
      </c>
      <c r="C167">
        <f t="shared" si="18"/>
        <v>0.53582679497899699</v>
      </c>
    </row>
    <row r="168" spans="1:3" x14ac:dyDescent="0.3">
      <c r="A168" s="1">
        <v>0.82499999999999996</v>
      </c>
      <c r="B168">
        <f t="shared" si="17"/>
        <v>2.5918139392115793</v>
      </c>
      <c r="C168">
        <f t="shared" si="18"/>
        <v>0.52249856471594891</v>
      </c>
    </row>
    <row r="169" spans="1:3" x14ac:dyDescent="0.3">
      <c r="A169" s="1">
        <v>0.83</v>
      </c>
      <c r="B169">
        <f t="shared" si="17"/>
        <v>2.6075219024795282</v>
      </c>
      <c r="C169">
        <f t="shared" si="18"/>
        <v>0.50904141575037143</v>
      </c>
    </row>
    <row r="170" spans="1:3" x14ac:dyDescent="0.3">
      <c r="A170" s="1">
        <v>0.83499999999999996</v>
      </c>
      <c r="B170">
        <f t="shared" si="17"/>
        <v>2.6232298657474771</v>
      </c>
      <c r="C170">
        <f t="shared" si="18"/>
        <v>0.49545866843240777</v>
      </c>
    </row>
    <row r="171" spans="1:3" x14ac:dyDescent="0.3">
      <c r="A171" s="1">
        <v>0.84</v>
      </c>
      <c r="B171">
        <f t="shared" si="17"/>
        <v>2.638937829015426</v>
      </c>
      <c r="C171">
        <f t="shared" si="18"/>
        <v>0.4817536741017156</v>
      </c>
    </row>
    <row r="172" spans="1:3" x14ac:dyDescent="0.3">
      <c r="A172" s="1">
        <v>0.84499999999999997</v>
      </c>
      <c r="B172">
        <f t="shared" si="17"/>
        <v>2.6546457922833753</v>
      </c>
      <c r="C172">
        <f t="shared" si="18"/>
        <v>0.4679298142605734</v>
      </c>
    </row>
    <row r="173" spans="1:3" x14ac:dyDescent="0.3">
      <c r="A173" s="1">
        <v>0.85</v>
      </c>
      <c r="B173">
        <f t="shared" si="17"/>
        <v>2.6703537555513241</v>
      </c>
      <c r="C173">
        <f t="shared" si="18"/>
        <v>0.45399049973954686</v>
      </c>
    </row>
    <row r="174" spans="1:3" x14ac:dyDescent="0.3">
      <c r="A174" s="1">
        <v>0.85499999999999998</v>
      </c>
      <c r="B174">
        <f t="shared" si="17"/>
        <v>2.686061718819273</v>
      </c>
      <c r="C174">
        <f t="shared" si="18"/>
        <v>0.4399391698559153</v>
      </c>
    </row>
    <row r="175" spans="1:3" x14ac:dyDescent="0.3">
      <c r="A175" s="1">
        <v>0.86</v>
      </c>
      <c r="B175">
        <f t="shared" si="17"/>
        <v>2.7017696820872219</v>
      </c>
      <c r="C175">
        <f t="shared" si="18"/>
        <v>0.42577929156507288</v>
      </c>
    </row>
    <row r="176" spans="1:3" x14ac:dyDescent="0.3">
      <c r="A176" s="1">
        <v>0.86499999999999999</v>
      </c>
      <c r="B176">
        <f t="shared" si="17"/>
        <v>2.7174776453551712</v>
      </c>
      <c r="C176">
        <f t="shared" si="18"/>
        <v>0.41151435860510871</v>
      </c>
    </row>
    <row r="177" spans="1:3" x14ac:dyDescent="0.3">
      <c r="A177" s="1">
        <v>0.87</v>
      </c>
      <c r="B177">
        <f t="shared" si="17"/>
        <v>2.7331856086231201</v>
      </c>
      <c r="C177">
        <f t="shared" si="18"/>
        <v>0.39714789063478062</v>
      </c>
    </row>
    <row r="178" spans="1:3" x14ac:dyDescent="0.3">
      <c r="A178" s="1">
        <v>0.875</v>
      </c>
      <c r="B178">
        <f t="shared" si="17"/>
        <v>2.748893571891069</v>
      </c>
      <c r="C178">
        <f t="shared" si="18"/>
        <v>0.38268343236508989</v>
      </c>
    </row>
    <row r="179" spans="1:3" x14ac:dyDescent="0.3">
      <c r="A179" s="1">
        <v>0.88</v>
      </c>
      <c r="B179">
        <f t="shared" si="17"/>
        <v>2.7646015351590179</v>
      </c>
      <c r="C179">
        <f t="shared" si="18"/>
        <v>0.36812455268467814</v>
      </c>
    </row>
    <row r="180" spans="1:3" x14ac:dyDescent="0.3">
      <c r="A180" s="1">
        <v>0.88500000000000001</v>
      </c>
      <c r="B180">
        <f t="shared" si="17"/>
        <v>2.7803094984269667</v>
      </c>
      <c r="C180">
        <f t="shared" si="18"/>
        <v>0.35347484377925742</v>
      </c>
    </row>
    <row r="181" spans="1:3" x14ac:dyDescent="0.3">
      <c r="A181" s="1">
        <v>0.89</v>
      </c>
      <c r="B181">
        <f t="shared" si="17"/>
        <v>2.7960174616949161</v>
      </c>
      <c r="C181">
        <f t="shared" si="18"/>
        <v>0.33873792024529131</v>
      </c>
    </row>
    <row r="182" spans="1:3" x14ac:dyDescent="0.3">
      <c r="A182" s="1">
        <v>0.89500000000000002</v>
      </c>
      <c r="B182">
        <f t="shared" si="17"/>
        <v>2.8117254249628649</v>
      </c>
      <c r="C182">
        <f t="shared" si="18"/>
        <v>0.32391741819814945</v>
      </c>
    </row>
    <row r="183" spans="1:3" x14ac:dyDescent="0.3">
      <c r="A183" s="1">
        <v>0.9</v>
      </c>
      <c r="B183">
        <f t="shared" si="17"/>
        <v>2.8274333882308138</v>
      </c>
      <c r="C183">
        <f t="shared" si="18"/>
        <v>0.30901699437494751</v>
      </c>
    </row>
    <row r="184" spans="1:3" x14ac:dyDescent="0.3">
      <c r="A184" s="1">
        <v>0.90500000000000003</v>
      </c>
      <c r="B184">
        <f t="shared" si="17"/>
        <v>2.8431413514987627</v>
      </c>
      <c r="C184">
        <f t="shared" si="18"/>
        <v>0.29404032523230417</v>
      </c>
    </row>
    <row r="185" spans="1:3" x14ac:dyDescent="0.3">
      <c r="A185" s="1">
        <v>0.91</v>
      </c>
      <c r="B185">
        <f t="shared" si="17"/>
        <v>2.858849314766712</v>
      </c>
      <c r="C185">
        <f t="shared" si="18"/>
        <v>0.27899110603922911</v>
      </c>
    </row>
    <row r="186" spans="1:3" x14ac:dyDescent="0.3">
      <c r="A186" s="1">
        <v>0.91500000000000004</v>
      </c>
      <c r="B186">
        <f t="shared" si="17"/>
        <v>2.8745572780346609</v>
      </c>
      <c r="C186">
        <f t="shared" si="18"/>
        <v>0.26387304996537281</v>
      </c>
    </row>
    <row r="187" spans="1:3" x14ac:dyDescent="0.3">
      <c r="A187" s="1">
        <v>0.92</v>
      </c>
      <c r="B187">
        <f t="shared" si="17"/>
        <v>2.8902652413026098</v>
      </c>
      <c r="C187">
        <f t="shared" si="18"/>
        <v>0.24868988716485482</v>
      </c>
    </row>
    <row r="188" spans="1:3" x14ac:dyDescent="0.3">
      <c r="A188" s="1">
        <v>0.92500000000000004</v>
      </c>
      <c r="B188">
        <f t="shared" si="17"/>
        <v>2.9059732045705586</v>
      </c>
      <c r="C188">
        <f t="shared" si="18"/>
        <v>0.23344536385590553</v>
      </c>
    </row>
    <row r="189" spans="1:3" x14ac:dyDescent="0.3">
      <c r="A189" s="1">
        <v>0.93</v>
      </c>
      <c r="B189">
        <f t="shared" si="17"/>
        <v>2.921681167838508</v>
      </c>
      <c r="C189">
        <f t="shared" si="18"/>
        <v>0.21814324139654231</v>
      </c>
    </row>
    <row r="190" spans="1:3" x14ac:dyDescent="0.3">
      <c r="A190" s="1">
        <v>0.93500000000000005</v>
      </c>
      <c r="B190">
        <f t="shared" si="17"/>
        <v>2.9373891311064568</v>
      </c>
      <c r="C190">
        <f t="shared" si="18"/>
        <v>0.20278729535651233</v>
      </c>
    </row>
    <row r="191" spans="1:3" x14ac:dyDescent="0.3">
      <c r="A191" s="1">
        <v>0.94</v>
      </c>
      <c r="B191">
        <f t="shared" si="17"/>
        <v>2.9530970943744053</v>
      </c>
      <c r="C191">
        <f t="shared" si="18"/>
        <v>0.18738131458572502</v>
      </c>
    </row>
    <row r="192" spans="1:3" x14ac:dyDescent="0.3">
      <c r="A192" s="1">
        <v>0.94499999999999995</v>
      </c>
      <c r="B192">
        <f t="shared" si="17"/>
        <v>2.9688050576423541</v>
      </c>
      <c r="C192">
        <f t="shared" si="18"/>
        <v>0.17192910027941002</v>
      </c>
    </row>
    <row r="193" spans="1:3" x14ac:dyDescent="0.3">
      <c r="A193" s="1">
        <v>0.95</v>
      </c>
      <c r="B193">
        <f t="shared" si="17"/>
        <v>2.9845130209103035</v>
      </c>
      <c r="C193">
        <f t="shared" si="18"/>
        <v>0.15643446504023098</v>
      </c>
    </row>
    <row r="194" spans="1:3" x14ac:dyDescent="0.3">
      <c r="A194" s="1">
        <v>0.95499999999999996</v>
      </c>
      <c r="B194">
        <f t="shared" si="17"/>
        <v>3.0002209841782523</v>
      </c>
      <c r="C194">
        <f t="shared" si="18"/>
        <v>0.14090123193758286</v>
      </c>
    </row>
    <row r="195" spans="1:3" x14ac:dyDescent="0.3">
      <c r="A195" s="1">
        <v>0.96</v>
      </c>
      <c r="B195">
        <f t="shared" si="17"/>
        <v>3.0159289474462012</v>
      </c>
      <c r="C195">
        <f t="shared" si="18"/>
        <v>0.12533323356430454</v>
      </c>
    </row>
    <row r="196" spans="1:3" x14ac:dyDescent="0.3">
      <c r="A196" s="1">
        <v>0.96499999999999997</v>
      </c>
      <c r="B196">
        <f t="shared" ref="B196:B203" si="19">A196*PI()</f>
        <v>3.0316369107141501</v>
      </c>
      <c r="C196">
        <f t="shared" ref="C196:C203" si="20">SIN(B196)</f>
        <v>0.10973431109104564</v>
      </c>
    </row>
    <row r="197" spans="1:3" x14ac:dyDescent="0.3">
      <c r="A197" s="1">
        <v>0.97</v>
      </c>
      <c r="B197">
        <f t="shared" si="19"/>
        <v>3.0473448739820994</v>
      </c>
      <c r="C197">
        <f t="shared" si="20"/>
        <v>9.4108313318514353E-2</v>
      </c>
    </row>
    <row r="198" spans="1:3" x14ac:dyDescent="0.3">
      <c r="A198" s="1">
        <v>0.97499999999999998</v>
      </c>
      <c r="B198">
        <f t="shared" si="19"/>
        <v>3.0630528372500483</v>
      </c>
      <c r="C198">
        <f t="shared" si="20"/>
        <v>7.8459095727845068E-2</v>
      </c>
    </row>
    <row r="199" spans="1:3" x14ac:dyDescent="0.3">
      <c r="A199" s="1">
        <v>0.98</v>
      </c>
      <c r="B199">
        <f t="shared" si="19"/>
        <v>3.0787608005179972</v>
      </c>
      <c r="C199">
        <f t="shared" si="20"/>
        <v>6.2790519529313582E-2</v>
      </c>
    </row>
    <row r="200" spans="1:3" x14ac:dyDescent="0.3">
      <c r="A200" s="1">
        <v>0.98499999999999999</v>
      </c>
      <c r="B200">
        <f t="shared" si="19"/>
        <v>3.094468763785946</v>
      </c>
      <c r="C200">
        <f t="shared" si="20"/>
        <v>4.7106450709642957E-2</v>
      </c>
    </row>
    <row r="201" spans="1:3" x14ac:dyDescent="0.3">
      <c r="A201" s="1">
        <v>0.99</v>
      </c>
      <c r="B201">
        <f t="shared" si="19"/>
        <v>3.1101767270538954</v>
      </c>
      <c r="C201">
        <f t="shared" si="20"/>
        <v>3.1410759078128236E-2</v>
      </c>
    </row>
    <row r="202" spans="1:3" x14ac:dyDescent="0.3">
      <c r="A202" s="1">
        <v>0.995</v>
      </c>
      <c r="B202">
        <f t="shared" si="19"/>
        <v>3.1258846903218442</v>
      </c>
      <c r="C202">
        <f t="shared" si="20"/>
        <v>1.570731731182071E-2</v>
      </c>
    </row>
    <row r="203" spans="1:3" x14ac:dyDescent="0.3">
      <c r="A203" s="1">
        <v>1</v>
      </c>
      <c r="B203">
        <f t="shared" si="19"/>
        <v>3.1415926535897931</v>
      </c>
      <c r="C203">
        <f t="shared" si="20"/>
        <v>1.22514845490862E-16</v>
      </c>
    </row>
  </sheetData>
  <mergeCells count="3">
    <mergeCell ref="E1:L1"/>
    <mergeCell ref="E14:L14"/>
    <mergeCell ref="E7:L7"/>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06CE1-FB4A-42E8-8558-CD1B732693FB}">
  <dimension ref="A1:U503"/>
  <sheetViews>
    <sheetView topLeftCell="A20" zoomScale="79" workbookViewId="0">
      <selection activeCell="G47" sqref="G47"/>
    </sheetView>
  </sheetViews>
  <sheetFormatPr defaultRowHeight="14.4" x14ac:dyDescent="0.3"/>
  <cols>
    <col min="1" max="1" width="17" customWidth="1"/>
    <col min="2" max="2" width="11.5546875" customWidth="1"/>
    <col min="4" max="4" width="15.109375" customWidth="1"/>
    <col min="5" max="5" width="14.21875" customWidth="1"/>
    <col min="7" max="7" width="12.21875" customWidth="1"/>
    <col min="8" max="8" width="17.109375" customWidth="1"/>
    <col min="9" max="9" width="14.6640625" style="13" customWidth="1"/>
    <col min="11" max="11" width="41.109375" customWidth="1"/>
    <col min="14" max="14" width="29" bestFit="1" customWidth="1"/>
    <col min="15" max="15" width="12" bestFit="1" customWidth="1"/>
    <col min="17" max="17" width="29" bestFit="1" customWidth="1"/>
    <col min="18" max="18" width="12.6640625" bestFit="1" customWidth="1"/>
    <col min="20" max="20" width="29" bestFit="1" customWidth="1"/>
    <col min="21" max="21" width="12.6640625" bestFit="1" customWidth="1"/>
  </cols>
  <sheetData>
    <row r="1" spans="1:21" x14ac:dyDescent="0.3">
      <c r="A1" s="32" t="s">
        <v>56</v>
      </c>
      <c r="B1" s="32"/>
      <c r="D1" s="32" t="s">
        <v>55</v>
      </c>
      <c r="E1" s="32"/>
      <c r="N1" s="36" t="s">
        <v>68</v>
      </c>
      <c r="O1" s="36"/>
      <c r="Q1" s="36" t="s">
        <v>67</v>
      </c>
      <c r="R1" s="36"/>
      <c r="T1" s="36" t="s">
        <v>66</v>
      </c>
      <c r="U1" s="36"/>
    </row>
    <row r="2" spans="1:21" x14ac:dyDescent="0.3">
      <c r="A2" s="21" t="s">
        <v>54</v>
      </c>
      <c r="B2" s="21" t="s">
        <v>63</v>
      </c>
      <c r="D2" s="21" t="s">
        <v>58</v>
      </c>
      <c r="E2" s="21" t="s">
        <v>63</v>
      </c>
      <c r="H2" s="35" t="s">
        <v>57</v>
      </c>
      <c r="I2" s="35"/>
      <c r="J2" s="35"/>
      <c r="K2" s="35"/>
      <c r="N2" s="21" t="s">
        <v>65</v>
      </c>
      <c r="O2" s="21" t="s">
        <v>64</v>
      </c>
      <c r="Q2" s="21" t="s">
        <v>65</v>
      </c>
      <c r="R2" s="21" t="s">
        <v>64</v>
      </c>
      <c r="T2" s="21" t="s">
        <v>65</v>
      </c>
      <c r="U2" s="21" t="s">
        <v>64</v>
      </c>
    </row>
    <row r="3" spans="1:21" x14ac:dyDescent="0.3">
      <c r="A3">
        <v>0</v>
      </c>
      <c r="B3">
        <v>0</v>
      </c>
      <c r="D3">
        <f t="shared" ref="D3:D66" si="0">A3*0.000000001</f>
        <v>0</v>
      </c>
      <c r="E3">
        <f t="shared" ref="E3:E34" si="1">IF(D3&lt;=$I$4,0,IF($I$4&lt;A3&lt;=$I$4+$I$8,($I$9*$I$6)/(2*$I$10)*(A3-$I$4)^2))</f>
        <v>0</v>
      </c>
      <c r="H3" s="12" t="s">
        <v>53</v>
      </c>
      <c r="I3" s="14" t="s">
        <v>52</v>
      </c>
      <c r="J3" s="12" t="s">
        <v>51</v>
      </c>
      <c r="K3" s="12" t="s">
        <v>50</v>
      </c>
      <c r="N3">
        <v>0</v>
      </c>
      <c r="O3">
        <v>0</v>
      </c>
      <c r="Q3">
        <v>0</v>
      </c>
      <c r="R3">
        <v>0</v>
      </c>
      <c r="T3">
        <v>0</v>
      </c>
      <c r="U3">
        <v>0</v>
      </c>
    </row>
    <row r="4" spans="1:21" x14ac:dyDescent="0.3">
      <c r="A4">
        <v>0.08</v>
      </c>
      <c r="B4" s="11">
        <v>-1.23E-14</v>
      </c>
      <c r="D4">
        <f t="shared" si="0"/>
        <v>8.0000000000000008E-11</v>
      </c>
      <c r="E4">
        <f t="shared" si="1"/>
        <v>0</v>
      </c>
      <c r="H4" t="s">
        <v>32</v>
      </c>
      <c r="I4" s="13">
        <v>1E-8</v>
      </c>
      <c r="J4" t="s">
        <v>43</v>
      </c>
      <c r="K4" t="s">
        <v>49</v>
      </c>
      <c r="N4">
        <v>7.9999999999999905E-2</v>
      </c>
      <c r="O4" s="11">
        <v>-1.22966647501116E-14</v>
      </c>
      <c r="Q4">
        <v>0.18518518518518501</v>
      </c>
      <c r="R4">
        <v>-2.2063054005366299E-3</v>
      </c>
      <c r="T4">
        <v>0.296296296296296</v>
      </c>
      <c r="U4">
        <v>-6.3541595535442303E-3</v>
      </c>
    </row>
    <row r="5" spans="1:21" x14ac:dyDescent="0.3">
      <c r="A5">
        <v>0.16</v>
      </c>
      <c r="B5" s="11">
        <v>-2.4600000000000001E-14</v>
      </c>
      <c r="D5">
        <f t="shared" si="0"/>
        <v>1.6000000000000002E-10</v>
      </c>
      <c r="E5">
        <f t="shared" si="1"/>
        <v>0</v>
      </c>
      <c r="H5" t="s">
        <v>31</v>
      </c>
      <c r="I5" s="13">
        <v>9.9999999999999998E+23</v>
      </c>
      <c r="J5" t="s">
        <v>48</v>
      </c>
      <c r="K5" t="s">
        <v>47</v>
      </c>
      <c r="N5">
        <v>0.159999999999999</v>
      </c>
      <c r="O5" s="11">
        <v>-2.4593329500223301E-14</v>
      </c>
      <c r="Q5">
        <v>0.37037037037037002</v>
      </c>
      <c r="R5">
        <v>-4.4126108010732598E-3</v>
      </c>
      <c r="T5">
        <v>0.592592592592592</v>
      </c>
      <c r="U5">
        <v>-1.27083191070884E-2</v>
      </c>
    </row>
    <row r="6" spans="1:21" x14ac:dyDescent="0.3">
      <c r="A6">
        <v>0.24</v>
      </c>
      <c r="B6" s="11">
        <v>-3.6899999999999999E-14</v>
      </c>
      <c r="D6">
        <f t="shared" si="0"/>
        <v>2.4E-10</v>
      </c>
      <c r="E6">
        <f t="shared" si="1"/>
        <v>0</v>
      </c>
      <c r="H6" t="s">
        <v>30</v>
      </c>
      <c r="I6" s="13">
        <v>9.9999999999999998E+23</v>
      </c>
      <c r="J6" t="s">
        <v>46</v>
      </c>
      <c r="K6" t="s">
        <v>45</v>
      </c>
      <c r="N6">
        <v>0.23999999999999899</v>
      </c>
      <c r="O6" s="11">
        <v>-3.6889994250335001E-14</v>
      </c>
      <c r="Q6">
        <v>0.55555555555555503</v>
      </c>
      <c r="R6">
        <v>-6.6189162016098901E-3</v>
      </c>
      <c r="T6">
        <v>0.88888888888888795</v>
      </c>
      <c r="U6">
        <v>-1.9062478660632699E-2</v>
      </c>
    </row>
    <row r="7" spans="1:21" x14ac:dyDescent="0.3">
      <c r="A7">
        <v>0.32</v>
      </c>
      <c r="B7" s="11">
        <v>-4.9200000000000001E-14</v>
      </c>
      <c r="D7">
        <f t="shared" si="0"/>
        <v>3.2000000000000003E-10</v>
      </c>
      <c r="E7">
        <f t="shared" si="1"/>
        <v>0</v>
      </c>
      <c r="H7" t="s">
        <v>29</v>
      </c>
      <c r="I7" s="13">
        <v>1E-8</v>
      </c>
      <c r="J7" t="s">
        <v>43</v>
      </c>
      <c r="K7" t="s">
        <v>44</v>
      </c>
      <c r="N7">
        <v>0.31999999999999901</v>
      </c>
      <c r="O7" s="11">
        <v>-4.9186659000446702E-14</v>
      </c>
      <c r="Q7">
        <v>0.74074074074074003</v>
      </c>
      <c r="R7">
        <v>-8.8252216021465196E-3</v>
      </c>
      <c r="T7">
        <v>1.18518518518518</v>
      </c>
      <c r="U7">
        <v>-2.54166382141769E-2</v>
      </c>
    </row>
    <row r="8" spans="1:21" x14ac:dyDescent="0.3">
      <c r="A8">
        <v>0.4</v>
      </c>
      <c r="B8" s="11">
        <v>-6.1500000000000003E-14</v>
      </c>
      <c r="D8">
        <f t="shared" si="0"/>
        <v>4.0000000000000007E-10</v>
      </c>
      <c r="E8">
        <f t="shared" si="1"/>
        <v>0</v>
      </c>
      <c r="H8" t="s">
        <v>28</v>
      </c>
      <c r="I8" s="13">
        <v>1E-8</v>
      </c>
      <c r="J8" t="s">
        <v>43</v>
      </c>
      <c r="K8" t="s">
        <v>42</v>
      </c>
      <c r="N8">
        <v>0.39999999999999902</v>
      </c>
      <c r="O8" s="11">
        <v>-6.1483323750558397E-14</v>
      </c>
      <c r="Q8">
        <v>0.92592592592592504</v>
      </c>
      <c r="R8">
        <v>-1.10315270026831E-2</v>
      </c>
      <c r="T8">
        <v>1.4814814814814801</v>
      </c>
      <c r="U8">
        <v>-3.1770797767721098E-2</v>
      </c>
    </row>
    <row r="9" spans="1:21" x14ac:dyDescent="0.3">
      <c r="A9">
        <v>0.48</v>
      </c>
      <c r="B9" s="11">
        <v>-7.3799999999999999E-14</v>
      </c>
      <c r="D9">
        <f t="shared" si="0"/>
        <v>4.8E-10</v>
      </c>
      <c r="E9">
        <f t="shared" si="1"/>
        <v>0</v>
      </c>
      <c r="H9" t="s">
        <v>27</v>
      </c>
      <c r="I9" s="13">
        <v>1.6021766339999999E-19</v>
      </c>
      <c r="J9" t="s">
        <v>41</v>
      </c>
      <c r="K9" t="s">
        <v>40</v>
      </c>
      <c r="N9">
        <v>0.47999999999999898</v>
      </c>
      <c r="O9" s="11">
        <v>-7.3779988500670104E-14</v>
      </c>
      <c r="Q9">
        <v>1.1111111111111101</v>
      </c>
      <c r="R9">
        <v>-1.32378324032197E-2</v>
      </c>
      <c r="T9">
        <v>1.7777777777777699</v>
      </c>
      <c r="U9">
        <v>-3.8124957321265397E-2</v>
      </c>
    </row>
    <row r="10" spans="1:21" x14ac:dyDescent="0.3">
      <c r="A10">
        <v>0.56000000000000005</v>
      </c>
      <c r="B10" s="11">
        <v>-8.6099999999999994E-14</v>
      </c>
      <c r="D10">
        <f t="shared" si="0"/>
        <v>5.6000000000000013E-10</v>
      </c>
      <c r="E10">
        <f t="shared" si="1"/>
        <v>0</v>
      </c>
      <c r="H10" t="s">
        <v>26</v>
      </c>
      <c r="I10" s="13">
        <v>8.8541878100000007E-12</v>
      </c>
      <c r="J10" t="s">
        <v>39</v>
      </c>
      <c r="K10" t="s">
        <v>38</v>
      </c>
      <c r="N10">
        <v>0.55999999999999905</v>
      </c>
      <c r="O10" s="11">
        <v>-8.6076653250781798E-14</v>
      </c>
      <c r="Q10">
        <v>1.2962962962962901</v>
      </c>
      <c r="R10">
        <v>-1.54441378037564E-2</v>
      </c>
      <c r="T10">
        <v>2.07407407407407</v>
      </c>
      <c r="U10">
        <v>-4.4479116874809599E-2</v>
      </c>
    </row>
    <row r="11" spans="1:21" x14ac:dyDescent="0.3">
      <c r="A11">
        <v>0.64</v>
      </c>
      <c r="B11" s="11">
        <v>-9.8400000000000002E-14</v>
      </c>
      <c r="D11">
        <f t="shared" si="0"/>
        <v>6.4000000000000006E-10</v>
      </c>
      <c r="E11">
        <f t="shared" si="1"/>
        <v>0</v>
      </c>
      <c r="H11" t="s">
        <v>25</v>
      </c>
      <c r="I11" s="13">
        <f>I9*I5</f>
        <v>160217.66339999999</v>
      </c>
      <c r="J11" t="s">
        <v>35</v>
      </c>
      <c r="K11" t="s">
        <v>37</v>
      </c>
      <c r="N11">
        <v>0.63999999999999901</v>
      </c>
      <c r="O11" s="11">
        <v>-9.8373318000893505E-14</v>
      </c>
      <c r="Q11">
        <v>1.4814814814814801</v>
      </c>
      <c r="R11">
        <v>-1.7650443204293001E-2</v>
      </c>
      <c r="T11">
        <v>2.37037037037036</v>
      </c>
      <c r="U11">
        <v>-5.0833276428353801E-2</v>
      </c>
    </row>
    <row r="12" spans="1:21" x14ac:dyDescent="0.3">
      <c r="A12">
        <v>0.72</v>
      </c>
      <c r="B12" s="11">
        <v>-1.1099999999999999E-13</v>
      </c>
      <c r="D12">
        <f t="shared" si="0"/>
        <v>7.2E-10</v>
      </c>
      <c r="E12">
        <f t="shared" si="1"/>
        <v>0</v>
      </c>
      <c r="H12" t="s">
        <v>24</v>
      </c>
      <c r="I12" s="13">
        <f>-I9*I6</f>
        <v>-160217.66339999999</v>
      </c>
      <c r="J12" t="s">
        <v>35</v>
      </c>
      <c r="K12" t="s">
        <v>36</v>
      </c>
      <c r="N12">
        <v>0.71999999999999897</v>
      </c>
      <c r="O12" s="11">
        <v>-1.10669982751005E-13</v>
      </c>
      <c r="Q12">
        <v>1.6666666666666601</v>
      </c>
      <c r="R12">
        <v>-1.98567486048296E-2</v>
      </c>
      <c r="T12">
        <v>2.6666666666666599</v>
      </c>
      <c r="U12">
        <v>-5.7187435981898099E-2</v>
      </c>
    </row>
    <row r="13" spans="1:21" x14ac:dyDescent="0.3">
      <c r="A13">
        <v>0.8</v>
      </c>
      <c r="B13" s="11">
        <v>-1.2300000000000001E-13</v>
      </c>
      <c r="D13">
        <f t="shared" si="0"/>
        <v>8.0000000000000013E-10</v>
      </c>
      <c r="E13">
        <f t="shared" si="1"/>
        <v>0</v>
      </c>
      <c r="H13" t="s">
        <v>23</v>
      </c>
      <c r="I13" s="13">
        <v>0</v>
      </c>
      <c r="J13" t="s">
        <v>35</v>
      </c>
      <c r="K13" t="s">
        <v>34</v>
      </c>
      <c r="N13">
        <v>0.79999999999999905</v>
      </c>
      <c r="O13" s="11">
        <v>-1.2296664750111601E-13</v>
      </c>
      <c r="Q13">
        <v>1.8518518518518501</v>
      </c>
      <c r="R13">
        <v>-2.20630540053663E-2</v>
      </c>
      <c r="T13">
        <v>2.9629629629629601</v>
      </c>
      <c r="U13">
        <v>-6.3541595535442294E-2</v>
      </c>
    </row>
    <row r="14" spans="1:21" x14ac:dyDescent="0.3">
      <c r="A14">
        <v>0.88</v>
      </c>
      <c r="B14" s="11">
        <v>-1.3500000000000001E-13</v>
      </c>
      <c r="D14">
        <f t="shared" si="0"/>
        <v>8.8000000000000006E-10</v>
      </c>
      <c r="E14">
        <f t="shared" si="1"/>
        <v>0</v>
      </c>
      <c r="N14">
        <v>0.87999999999999901</v>
      </c>
      <c r="O14" s="11">
        <v>-1.35263312251228E-13</v>
      </c>
      <c r="Q14">
        <v>2.0370370370370301</v>
      </c>
      <c r="R14">
        <v>-2.4269359405902899E-2</v>
      </c>
      <c r="T14">
        <v>3.2592592592592502</v>
      </c>
      <c r="U14">
        <v>-6.98957550889866E-2</v>
      </c>
    </row>
    <row r="15" spans="1:21" ht="14.4" customHeight="1" x14ac:dyDescent="0.3">
      <c r="A15">
        <v>0.96</v>
      </c>
      <c r="B15" s="11">
        <v>-1.48E-13</v>
      </c>
      <c r="D15">
        <f t="shared" si="0"/>
        <v>9.5999999999999999E-10</v>
      </c>
      <c r="E15">
        <f t="shared" si="1"/>
        <v>0</v>
      </c>
      <c r="G15" s="32" t="s">
        <v>33</v>
      </c>
      <c r="H15" s="32"/>
      <c r="J15" s="33" t="s">
        <v>69</v>
      </c>
      <c r="K15" s="33"/>
      <c r="L15" s="33"/>
      <c r="N15">
        <v>0.95999999999999897</v>
      </c>
      <c r="O15" s="11">
        <v>-1.4755997700134001E-13</v>
      </c>
      <c r="Q15">
        <v>2.2222222222222201</v>
      </c>
      <c r="R15">
        <v>-2.6475664806439501E-2</v>
      </c>
      <c r="T15">
        <v>3.55555555555555</v>
      </c>
      <c r="U15">
        <v>-7.6249914642530794E-2</v>
      </c>
    </row>
    <row r="16" spans="1:21" x14ac:dyDescent="0.3">
      <c r="A16">
        <v>1.04</v>
      </c>
      <c r="B16" s="11">
        <v>-1.6E-13</v>
      </c>
      <c r="D16">
        <f t="shared" si="0"/>
        <v>1.0400000000000001E-9</v>
      </c>
      <c r="E16">
        <f t="shared" si="1"/>
        <v>0</v>
      </c>
      <c r="G16" t="s">
        <v>59</v>
      </c>
      <c r="H16" s="10">
        <f>I4</f>
        <v>1E-8</v>
      </c>
      <c r="J16" s="33"/>
      <c r="K16" s="33"/>
      <c r="L16" s="33"/>
      <c r="N16">
        <v>1.03999999999999</v>
      </c>
      <c r="O16" s="11">
        <v>-1.5985664175145101E-13</v>
      </c>
      <c r="Q16">
        <v>2.4074074074073999</v>
      </c>
      <c r="R16">
        <v>-2.8681970206976201E-2</v>
      </c>
      <c r="T16">
        <v>3.8518518518518401</v>
      </c>
      <c r="U16">
        <v>-8.2604074196075003E-2</v>
      </c>
    </row>
    <row r="17" spans="1:21" x14ac:dyDescent="0.3">
      <c r="A17">
        <v>1.1200000000000001</v>
      </c>
      <c r="B17" s="11">
        <v>-1.72E-13</v>
      </c>
      <c r="D17">
        <f t="shared" si="0"/>
        <v>1.1200000000000003E-9</v>
      </c>
      <c r="E17">
        <f t="shared" si="1"/>
        <v>0</v>
      </c>
      <c r="G17" t="s">
        <v>60</v>
      </c>
      <c r="H17" s="10">
        <f>I4+I8</f>
        <v>2E-8</v>
      </c>
      <c r="J17" s="33"/>
      <c r="K17" s="33"/>
      <c r="L17" s="33"/>
      <c r="N17">
        <v>1.1199999999999899</v>
      </c>
      <c r="O17" s="11">
        <v>-1.7215330650156299E-13</v>
      </c>
      <c r="Q17">
        <v>2.5925925925925899</v>
      </c>
      <c r="R17">
        <v>-3.08882756075128E-2</v>
      </c>
      <c r="T17">
        <v>4.1481481481481399</v>
      </c>
      <c r="U17">
        <v>-8.8958233749619295E-2</v>
      </c>
    </row>
    <row r="18" spans="1:21" x14ac:dyDescent="0.3">
      <c r="A18">
        <v>1.2</v>
      </c>
      <c r="B18" s="11">
        <v>-1.84E-13</v>
      </c>
      <c r="D18">
        <f t="shared" si="0"/>
        <v>1.2E-9</v>
      </c>
      <c r="E18">
        <f t="shared" si="1"/>
        <v>0</v>
      </c>
      <c r="G18" t="s">
        <v>61</v>
      </c>
      <c r="H18" s="10">
        <f>I4+I8+I7</f>
        <v>3.0000000000000004E-8</v>
      </c>
      <c r="J18" s="33"/>
      <c r="K18" s="33"/>
      <c r="L18" s="33"/>
      <c r="N18">
        <v>1.19999999999999</v>
      </c>
      <c r="O18" s="11">
        <v>-1.84449971251675E-13</v>
      </c>
      <c r="Q18">
        <v>2.7777777777777701</v>
      </c>
      <c r="R18">
        <v>-3.3094581008049399E-2</v>
      </c>
      <c r="T18">
        <v>4.4444444444444402</v>
      </c>
      <c r="U18">
        <v>-9.5312393303163503E-2</v>
      </c>
    </row>
    <row r="19" spans="1:21" x14ac:dyDescent="0.3">
      <c r="A19">
        <v>1.28</v>
      </c>
      <c r="B19" s="11">
        <v>-1.9699999999999999E-13</v>
      </c>
      <c r="D19">
        <f t="shared" si="0"/>
        <v>1.2800000000000001E-9</v>
      </c>
      <c r="E19">
        <f t="shared" si="1"/>
        <v>0</v>
      </c>
      <c r="G19" t="s">
        <v>62</v>
      </c>
      <c r="H19" s="10">
        <f>2*I4+I8+I7</f>
        <v>4.0000000000000001E-8</v>
      </c>
      <c r="J19" s="33"/>
      <c r="K19" s="33"/>
      <c r="L19" s="33"/>
      <c r="N19">
        <v>1.27999999999999</v>
      </c>
      <c r="O19" s="11">
        <v>-1.9674663600178701E-13</v>
      </c>
      <c r="Q19">
        <v>2.9629629629629601</v>
      </c>
      <c r="R19">
        <v>-3.5300886408586099E-2</v>
      </c>
      <c r="T19">
        <v>4.7407407407407298</v>
      </c>
      <c r="U19">
        <v>-0.101666552856707</v>
      </c>
    </row>
    <row r="20" spans="1:21" x14ac:dyDescent="0.3">
      <c r="A20">
        <v>1.36</v>
      </c>
      <c r="B20" s="11">
        <v>-2.0899999999999999E-13</v>
      </c>
      <c r="D20">
        <f t="shared" si="0"/>
        <v>1.3600000000000003E-9</v>
      </c>
      <c r="E20">
        <f t="shared" si="1"/>
        <v>0</v>
      </c>
      <c r="J20" s="33"/>
      <c r="K20" s="33"/>
      <c r="L20" s="33"/>
      <c r="N20">
        <v>1.3599999999999901</v>
      </c>
      <c r="O20" s="11">
        <v>-2.0904330075189801E-13</v>
      </c>
      <c r="Q20">
        <v>3.1481481481481399</v>
      </c>
      <c r="R20">
        <v>-3.7507191809122702E-2</v>
      </c>
      <c r="T20">
        <v>5.0370370370370301</v>
      </c>
      <c r="U20">
        <v>-0.108020712410252</v>
      </c>
    </row>
    <row r="21" spans="1:21" x14ac:dyDescent="0.3">
      <c r="A21">
        <v>1.44</v>
      </c>
      <c r="B21" s="11">
        <v>-2.2099999999999999E-13</v>
      </c>
      <c r="D21">
        <f t="shared" si="0"/>
        <v>1.44E-9</v>
      </c>
      <c r="E21">
        <f t="shared" si="1"/>
        <v>0</v>
      </c>
      <c r="N21">
        <v>1.43999999999999</v>
      </c>
      <c r="O21" s="11">
        <v>-2.2133996550201E-13</v>
      </c>
      <c r="Q21">
        <v>3.3333333333333299</v>
      </c>
      <c r="R21">
        <v>-3.9713497209659297E-2</v>
      </c>
      <c r="T21">
        <v>5.3333333333333304</v>
      </c>
      <c r="U21">
        <v>-0.114374871963796</v>
      </c>
    </row>
    <row r="22" spans="1:21" x14ac:dyDescent="0.3">
      <c r="A22">
        <v>1.52</v>
      </c>
      <c r="B22" s="11">
        <v>-2.3400000000000001E-13</v>
      </c>
      <c r="D22">
        <f t="shared" si="0"/>
        <v>1.5200000000000001E-9</v>
      </c>
      <c r="E22">
        <f t="shared" si="1"/>
        <v>0</v>
      </c>
      <c r="N22">
        <v>1.51999999999999</v>
      </c>
      <c r="O22" s="11">
        <v>-2.3363663025212198E-13</v>
      </c>
      <c r="Q22">
        <v>3.5185185185185102</v>
      </c>
      <c r="R22">
        <v>-4.1919802610195997E-2</v>
      </c>
      <c r="T22">
        <v>5.62962962962962</v>
      </c>
      <c r="U22">
        <v>-0.12072903151734</v>
      </c>
    </row>
    <row r="23" spans="1:21" x14ac:dyDescent="0.3">
      <c r="A23">
        <v>1.6</v>
      </c>
      <c r="B23" s="11">
        <v>-2.4600000000000001E-13</v>
      </c>
      <c r="D23">
        <f t="shared" si="0"/>
        <v>1.6000000000000003E-9</v>
      </c>
      <c r="E23">
        <f t="shared" si="1"/>
        <v>0</v>
      </c>
      <c r="N23">
        <v>1.5999999999999901</v>
      </c>
      <c r="O23" s="11">
        <v>-2.4593329500223298E-13</v>
      </c>
      <c r="Q23">
        <v>3.7037037037037002</v>
      </c>
      <c r="R23">
        <v>-4.41261080107326E-2</v>
      </c>
      <c r="T23">
        <v>5.9259259259259203</v>
      </c>
      <c r="U23">
        <v>-0.12708319107088401</v>
      </c>
    </row>
    <row r="24" spans="1:21" x14ac:dyDescent="0.3">
      <c r="A24">
        <v>1.68</v>
      </c>
      <c r="B24" s="11">
        <v>-2.5800000000000001E-13</v>
      </c>
      <c r="D24">
        <f t="shared" si="0"/>
        <v>1.68E-9</v>
      </c>
      <c r="E24">
        <f t="shared" si="1"/>
        <v>0</v>
      </c>
      <c r="N24">
        <v>1.6799999999999899</v>
      </c>
      <c r="O24" s="11">
        <v>-2.5822995975234499E-13</v>
      </c>
      <c r="Q24">
        <v>3.88888888888888</v>
      </c>
      <c r="R24">
        <v>-4.6332413411269202E-2</v>
      </c>
      <c r="T24">
        <v>6.2222222222222099</v>
      </c>
      <c r="U24">
        <v>-0.13343735062442899</v>
      </c>
    </row>
    <row r="25" spans="1:21" x14ac:dyDescent="0.3">
      <c r="A25">
        <v>1.76</v>
      </c>
      <c r="B25" s="11">
        <v>-2.7100000000000001E-13</v>
      </c>
      <c r="D25">
        <f t="shared" si="0"/>
        <v>1.7600000000000001E-9</v>
      </c>
      <c r="E25">
        <f t="shared" si="1"/>
        <v>0</v>
      </c>
      <c r="N25">
        <v>1.75999999999999</v>
      </c>
      <c r="O25" s="11">
        <v>-2.7052662450245599E-13</v>
      </c>
      <c r="Q25">
        <v>4.07407407407407</v>
      </c>
      <c r="R25">
        <v>-4.8538718811805902E-2</v>
      </c>
      <c r="T25">
        <v>6.5185185185185102</v>
      </c>
      <c r="U25">
        <v>-0.13979151017797301</v>
      </c>
    </row>
    <row r="26" spans="1:21" x14ac:dyDescent="0.3">
      <c r="A26">
        <v>1.84</v>
      </c>
      <c r="B26" s="11">
        <v>-2.8300000000000001E-13</v>
      </c>
      <c r="D26">
        <f t="shared" si="0"/>
        <v>1.8400000000000003E-9</v>
      </c>
      <c r="E26">
        <f t="shared" si="1"/>
        <v>0</v>
      </c>
      <c r="N26">
        <v>1.8399999999999901</v>
      </c>
      <c r="O26" s="11">
        <v>-2.82823289252568E-13</v>
      </c>
      <c r="Q26">
        <v>4.2592592592592498</v>
      </c>
      <c r="R26">
        <v>-5.0745024212342497E-2</v>
      </c>
      <c r="T26">
        <v>6.8148148148148104</v>
      </c>
      <c r="U26">
        <v>-0.14614566973151699</v>
      </c>
    </row>
    <row r="27" spans="1:21" x14ac:dyDescent="0.3">
      <c r="A27">
        <v>1.92</v>
      </c>
      <c r="B27" s="11">
        <v>-2.9500000000000001E-13</v>
      </c>
      <c r="D27">
        <f t="shared" si="0"/>
        <v>1.92E-9</v>
      </c>
      <c r="E27">
        <f t="shared" si="1"/>
        <v>0</v>
      </c>
      <c r="N27">
        <v>1.9199999999999899</v>
      </c>
      <c r="O27" s="11">
        <v>-2.9511995400268001E-13</v>
      </c>
      <c r="Q27">
        <v>4.4444444444444402</v>
      </c>
      <c r="R27">
        <v>-5.29513296128791E-2</v>
      </c>
      <c r="T27">
        <v>7.1111111111111001</v>
      </c>
      <c r="U27">
        <v>-0.15249982928506101</v>
      </c>
    </row>
    <row r="28" spans="1:21" x14ac:dyDescent="0.3">
      <c r="A28">
        <v>2</v>
      </c>
      <c r="B28" s="11">
        <v>-3.07E-13</v>
      </c>
      <c r="D28">
        <f t="shared" si="0"/>
        <v>2.0000000000000001E-9</v>
      </c>
      <c r="E28">
        <f t="shared" si="1"/>
        <v>0</v>
      </c>
      <c r="N28">
        <v>1.99999999999999</v>
      </c>
      <c r="O28" s="11">
        <v>-3.0741661875279101E-13</v>
      </c>
      <c r="Q28">
        <v>4.62962962962962</v>
      </c>
      <c r="R28">
        <v>-5.51576350134158E-2</v>
      </c>
      <c r="T28">
        <v>7.4074074074074003</v>
      </c>
      <c r="U28">
        <v>-0.15885398883860599</v>
      </c>
    </row>
    <row r="29" spans="1:21" x14ac:dyDescent="0.3">
      <c r="A29">
        <v>2.08</v>
      </c>
      <c r="B29" s="11">
        <v>-3.2E-13</v>
      </c>
      <c r="D29">
        <f t="shared" si="0"/>
        <v>2.0800000000000003E-9</v>
      </c>
      <c r="E29">
        <f t="shared" si="1"/>
        <v>0</v>
      </c>
      <c r="N29">
        <v>2.0799999999999899</v>
      </c>
      <c r="O29" s="11">
        <v>-3.1971328350290302E-13</v>
      </c>
      <c r="Q29">
        <v>4.8148148148148104</v>
      </c>
      <c r="R29">
        <v>-5.7363940413952402E-2</v>
      </c>
      <c r="T29">
        <v>7.7037037037036997</v>
      </c>
      <c r="U29">
        <v>-0.16520814839215001</v>
      </c>
    </row>
    <row r="30" spans="1:21" x14ac:dyDescent="0.3">
      <c r="A30">
        <v>2.16</v>
      </c>
      <c r="B30" s="11">
        <v>-3.32E-13</v>
      </c>
      <c r="D30">
        <f t="shared" si="0"/>
        <v>2.1600000000000004E-9</v>
      </c>
      <c r="E30">
        <f t="shared" si="1"/>
        <v>0</v>
      </c>
      <c r="N30">
        <v>2.1599999999999899</v>
      </c>
      <c r="O30" s="11">
        <v>-3.3200994825301498E-13</v>
      </c>
      <c r="Q30">
        <v>4.9999999999999902</v>
      </c>
      <c r="R30">
        <v>-5.9570245814488998E-2</v>
      </c>
      <c r="T30">
        <v>7.9999999999999902</v>
      </c>
      <c r="U30">
        <v>-0.17156230794569399</v>
      </c>
    </row>
    <row r="31" spans="1:21" x14ac:dyDescent="0.3">
      <c r="A31">
        <v>2.2400000000000002</v>
      </c>
      <c r="B31" s="11">
        <v>-3.44E-13</v>
      </c>
      <c r="C31" s="9"/>
      <c r="D31">
        <f t="shared" si="0"/>
        <v>2.2400000000000005E-9</v>
      </c>
      <c r="E31">
        <f t="shared" si="1"/>
        <v>0</v>
      </c>
      <c r="F31" s="9"/>
      <c r="N31">
        <v>2.23999999999999</v>
      </c>
      <c r="O31" s="11">
        <v>-3.4430661300312598E-13</v>
      </c>
      <c r="Q31">
        <v>5.1851851851851798</v>
      </c>
      <c r="R31">
        <v>-6.1776551215025698E-2</v>
      </c>
      <c r="T31">
        <v>8.2962962962962905</v>
      </c>
      <c r="U31">
        <v>-0.17852791636413901</v>
      </c>
    </row>
    <row r="32" spans="1:21" x14ac:dyDescent="0.3">
      <c r="A32">
        <v>2.3199999999999998</v>
      </c>
      <c r="B32" s="11">
        <v>-3.5699999999999999E-13</v>
      </c>
      <c r="C32" s="9"/>
      <c r="D32">
        <f t="shared" si="0"/>
        <v>2.3199999999999998E-9</v>
      </c>
      <c r="E32">
        <f t="shared" si="1"/>
        <v>0</v>
      </c>
      <c r="F32" s="9"/>
      <c r="N32">
        <v>2.3199999999999901</v>
      </c>
      <c r="O32" s="11">
        <v>-3.5660327775323799E-13</v>
      </c>
      <c r="Q32">
        <v>5.3703703703703596</v>
      </c>
      <c r="R32">
        <v>-6.39828566155623E-2</v>
      </c>
      <c r="T32">
        <v>8.5925925925925792</v>
      </c>
      <c r="U32">
        <v>-0.18522876813451999</v>
      </c>
    </row>
    <row r="33" spans="1:21" x14ac:dyDescent="0.3">
      <c r="A33">
        <v>2.4</v>
      </c>
      <c r="B33" s="11">
        <v>-3.6899999999999999E-13</v>
      </c>
      <c r="C33" s="9"/>
      <c r="D33">
        <f t="shared" si="0"/>
        <v>2.4E-9</v>
      </c>
      <c r="E33">
        <f t="shared" si="1"/>
        <v>0</v>
      </c>
      <c r="F33" s="9"/>
      <c r="N33">
        <v>2.3999999999999901</v>
      </c>
      <c r="O33" s="11">
        <v>-3.6889994250334899E-13</v>
      </c>
      <c r="Q33">
        <v>5.55555555555555</v>
      </c>
      <c r="R33">
        <v>-6.6189162016098896E-2</v>
      </c>
      <c r="T33">
        <v>8.8888888888888804</v>
      </c>
      <c r="U33">
        <v>-0.19166486325683699</v>
      </c>
    </row>
    <row r="34" spans="1:21" x14ac:dyDescent="0.3">
      <c r="A34">
        <v>2.48</v>
      </c>
      <c r="B34" s="11">
        <v>-3.8099999999999999E-13</v>
      </c>
      <c r="C34" s="9"/>
      <c r="D34">
        <f t="shared" si="0"/>
        <v>2.4800000000000001E-9</v>
      </c>
      <c r="E34">
        <f t="shared" si="1"/>
        <v>0</v>
      </c>
      <c r="F34" s="9"/>
      <c r="N34">
        <v>2.4799999999999902</v>
      </c>
      <c r="O34" s="11">
        <v>-3.81196607253461E-13</v>
      </c>
      <c r="Q34">
        <v>5.7407407407407298</v>
      </c>
      <c r="R34">
        <v>-6.8395467416635602E-2</v>
      </c>
      <c r="T34">
        <v>9.1851851851851798</v>
      </c>
      <c r="U34">
        <v>-0.19783620173109001</v>
      </c>
    </row>
    <row r="35" spans="1:21" x14ac:dyDescent="0.3">
      <c r="A35">
        <v>2.56</v>
      </c>
      <c r="B35" s="11">
        <v>-3.9299999999999999E-13</v>
      </c>
      <c r="C35" s="9"/>
      <c r="D35">
        <f t="shared" si="0"/>
        <v>2.5600000000000003E-9</v>
      </c>
      <c r="E35">
        <f t="shared" ref="E35:E66" si="2">IF(D35&lt;=$I$4,0,IF($I$4&lt;A35&lt;=$I$4+$I$8,($I$9*$I$6)/(2*$I$10)*(A35-$I$4)^2))</f>
        <v>0</v>
      </c>
      <c r="F35" s="9"/>
      <c r="G35" s="16"/>
      <c r="H35" s="17"/>
      <c r="I35" s="17"/>
      <c r="J35" s="17"/>
      <c r="K35" s="17"/>
      <c r="L35" s="17"/>
      <c r="N35">
        <v>2.5599999999999898</v>
      </c>
      <c r="O35" s="11">
        <v>-3.9349327200357301E-13</v>
      </c>
      <c r="Q35">
        <v>5.9259259259259203</v>
      </c>
      <c r="R35">
        <v>-7.0601772817172198E-2</v>
      </c>
      <c r="T35">
        <v>9.4814814814814703</v>
      </c>
      <c r="U35">
        <v>-0.20374278355727801</v>
      </c>
    </row>
    <row r="36" spans="1:21" x14ac:dyDescent="0.3">
      <c r="A36">
        <v>2.64</v>
      </c>
      <c r="B36" s="11">
        <v>-4.0599999999999999E-13</v>
      </c>
      <c r="C36" s="9"/>
      <c r="D36">
        <f t="shared" si="0"/>
        <v>2.6400000000000004E-9</v>
      </c>
      <c r="E36">
        <f t="shared" si="2"/>
        <v>0</v>
      </c>
      <c r="F36" s="9"/>
      <c r="G36" s="17"/>
      <c r="H36" s="17"/>
      <c r="I36" s="17"/>
      <c r="J36" s="17"/>
      <c r="K36" s="17"/>
      <c r="L36" s="17"/>
      <c r="N36">
        <v>2.6399999999999899</v>
      </c>
      <c r="O36" s="11">
        <v>-4.0578993675368401E-13</v>
      </c>
      <c r="Q36">
        <v>6.1111111111111001</v>
      </c>
      <c r="R36">
        <v>-7.2808078217708794E-2</v>
      </c>
      <c r="T36">
        <v>9.7777777777777697</v>
      </c>
      <c r="U36">
        <v>-0.20938460873540099</v>
      </c>
    </row>
    <row r="37" spans="1:21" x14ac:dyDescent="0.3">
      <c r="A37">
        <v>2.72</v>
      </c>
      <c r="B37" s="11">
        <v>-4.1799999999999999E-13</v>
      </c>
      <c r="C37" s="9"/>
      <c r="D37">
        <f t="shared" si="0"/>
        <v>2.7200000000000005E-9</v>
      </c>
      <c r="E37">
        <f t="shared" si="2"/>
        <v>0</v>
      </c>
      <c r="F37" s="9"/>
      <c r="H37" s="9"/>
      <c r="I37" s="15"/>
      <c r="J37" s="9"/>
      <c r="K37" s="9"/>
      <c r="N37">
        <v>2.71999999999999</v>
      </c>
      <c r="O37" s="11">
        <v>-4.1808660150379602E-13</v>
      </c>
      <c r="Q37">
        <v>6.2962962962962896</v>
      </c>
      <c r="R37">
        <v>-7.5014383618245403E-2</v>
      </c>
      <c r="T37">
        <v>10.074074074074</v>
      </c>
      <c r="U37">
        <v>-0.214761677265461</v>
      </c>
    </row>
    <row r="38" spans="1:21" x14ac:dyDescent="0.3">
      <c r="A38">
        <v>2.8</v>
      </c>
      <c r="B38" s="11">
        <v>-4.2999999999999999E-13</v>
      </c>
      <c r="C38" s="9"/>
      <c r="D38">
        <f t="shared" si="0"/>
        <v>2.7999999999999998E-9</v>
      </c>
      <c r="E38">
        <f t="shared" si="2"/>
        <v>0</v>
      </c>
      <c r="F38" s="9"/>
      <c r="H38" s="9"/>
      <c r="I38" s="15"/>
      <c r="J38" s="9"/>
      <c r="K38" s="9"/>
      <c r="N38">
        <v>2.7999999999999901</v>
      </c>
      <c r="O38" s="11">
        <v>-4.3038326625390798E-13</v>
      </c>
      <c r="Q38">
        <v>6.4814814814814703</v>
      </c>
      <c r="R38">
        <v>-7.7220689018781999E-2</v>
      </c>
      <c r="T38">
        <v>10.370370370370299</v>
      </c>
      <c r="U38">
        <v>-0.21987398914745601</v>
      </c>
    </row>
    <row r="39" spans="1:21" x14ac:dyDescent="0.3">
      <c r="A39">
        <v>2.88</v>
      </c>
      <c r="B39" s="11">
        <v>-4.4299999999999998E-13</v>
      </c>
      <c r="C39" s="9"/>
      <c r="D39">
        <f t="shared" si="0"/>
        <v>2.88E-9</v>
      </c>
      <c r="E39">
        <f t="shared" si="2"/>
        <v>0</v>
      </c>
      <c r="F39" s="9"/>
      <c r="H39" s="9"/>
      <c r="I39" s="15"/>
      <c r="J39" s="9"/>
      <c r="K39" s="9"/>
      <c r="N39">
        <v>2.8799999999999901</v>
      </c>
      <c r="O39" s="11">
        <v>-4.4267993100401999E-13</v>
      </c>
      <c r="Q39">
        <v>6.6666666666666599</v>
      </c>
      <c r="R39">
        <v>-7.9426994419318594E-2</v>
      </c>
      <c r="T39">
        <v>10.6666666666666</v>
      </c>
      <c r="U39">
        <v>-0.224721544381386</v>
      </c>
    </row>
    <row r="40" spans="1:21" x14ac:dyDescent="0.3">
      <c r="A40">
        <v>2.96</v>
      </c>
      <c r="B40" s="11">
        <v>-4.5499999999999998E-13</v>
      </c>
      <c r="C40" s="9"/>
      <c r="D40">
        <f t="shared" si="0"/>
        <v>2.9600000000000001E-9</v>
      </c>
      <c r="E40">
        <f t="shared" si="2"/>
        <v>0</v>
      </c>
      <c r="F40" s="9"/>
      <c r="H40" s="9"/>
      <c r="I40" s="15"/>
      <c r="J40" s="9"/>
      <c r="K40" s="9"/>
      <c r="N40">
        <v>2.9599999999999902</v>
      </c>
      <c r="O40" s="11">
        <v>-4.5497659575413099E-13</v>
      </c>
      <c r="Q40">
        <v>6.8518518518518396</v>
      </c>
      <c r="R40">
        <v>-8.1633299819855301E-2</v>
      </c>
      <c r="T40">
        <v>10.9629629629629</v>
      </c>
      <c r="U40">
        <v>-0.226310084269773</v>
      </c>
    </row>
    <row r="41" spans="1:21" x14ac:dyDescent="0.3">
      <c r="A41">
        <v>3.04</v>
      </c>
      <c r="B41" s="11">
        <v>-4.6700000000000003E-13</v>
      </c>
      <c r="C41" s="9"/>
      <c r="D41">
        <f t="shared" si="0"/>
        <v>3.0400000000000003E-9</v>
      </c>
      <c r="E41">
        <f t="shared" si="2"/>
        <v>0</v>
      </c>
      <c r="F41" s="9"/>
      <c r="H41" s="9"/>
      <c r="I41" s="15"/>
      <c r="J41" s="9"/>
      <c r="K41" s="9"/>
      <c r="N41">
        <v>3.0399999999999898</v>
      </c>
      <c r="O41" s="11">
        <v>-4.6727326050424295E-13</v>
      </c>
      <c r="Q41">
        <v>7.0370370370370301</v>
      </c>
      <c r="R41">
        <v>-8.3839605220391897E-2</v>
      </c>
      <c r="T41">
        <v>11.259259259259199</v>
      </c>
      <c r="U41">
        <v>-0.226310084269773</v>
      </c>
    </row>
    <row r="42" spans="1:21" x14ac:dyDescent="0.3">
      <c r="A42">
        <v>3.12</v>
      </c>
      <c r="B42" s="11">
        <v>-4.7999999999999997E-13</v>
      </c>
      <c r="C42" s="9"/>
      <c r="D42">
        <f t="shared" si="0"/>
        <v>3.1200000000000004E-9</v>
      </c>
      <c r="E42">
        <f t="shared" si="2"/>
        <v>0</v>
      </c>
      <c r="F42" s="9"/>
      <c r="H42" s="9"/>
      <c r="I42" s="15"/>
      <c r="J42" s="9"/>
      <c r="K42" s="9"/>
      <c r="N42">
        <v>3.1199999999999899</v>
      </c>
      <c r="O42" s="11">
        <v>-4.7956992525435501E-13</v>
      </c>
      <c r="Q42">
        <v>7.2222222222222099</v>
      </c>
      <c r="R42">
        <v>-8.6045910620928506E-2</v>
      </c>
      <c r="T42">
        <v>11.5555555555555</v>
      </c>
      <c r="U42">
        <v>-0.224721544381387</v>
      </c>
    </row>
    <row r="43" spans="1:21" x14ac:dyDescent="0.3">
      <c r="A43">
        <v>3.2</v>
      </c>
      <c r="B43" s="11">
        <v>-4.9200000000000002E-13</v>
      </c>
      <c r="C43" s="9"/>
      <c r="D43">
        <f t="shared" si="0"/>
        <v>3.2000000000000005E-9</v>
      </c>
      <c r="E43">
        <f t="shared" si="2"/>
        <v>0</v>
      </c>
      <c r="F43" s="9"/>
      <c r="H43" s="9"/>
      <c r="I43" s="15"/>
      <c r="J43" s="9"/>
      <c r="K43" s="9"/>
      <c r="N43">
        <v>3.19999999999999</v>
      </c>
      <c r="O43" s="11">
        <v>-4.9186659000446697E-13</v>
      </c>
      <c r="Q43">
        <v>7.4074074074074003</v>
      </c>
      <c r="R43">
        <v>-8.8252216021465102E-2</v>
      </c>
      <c r="T43">
        <v>11.8518518518518</v>
      </c>
      <c r="U43">
        <v>-0.22154446460461599</v>
      </c>
    </row>
    <row r="44" spans="1:21" x14ac:dyDescent="0.3">
      <c r="A44">
        <v>3.28</v>
      </c>
      <c r="B44" s="11">
        <v>-5.0399999999999997E-13</v>
      </c>
      <c r="C44" s="9"/>
      <c r="D44">
        <f t="shared" si="0"/>
        <v>3.2799999999999998E-9</v>
      </c>
      <c r="E44">
        <f t="shared" si="2"/>
        <v>0</v>
      </c>
      <c r="F44" s="9"/>
      <c r="H44" s="9"/>
      <c r="I44" s="15"/>
      <c r="J44" s="9"/>
      <c r="K44" s="9"/>
      <c r="N44">
        <v>3.27999999999999</v>
      </c>
      <c r="O44" s="11">
        <v>-5.0416325475457903E-13</v>
      </c>
      <c r="Q44">
        <v>7.5925925925925899</v>
      </c>
      <c r="R44">
        <v>-9.0458521422001698E-2</v>
      </c>
      <c r="T44">
        <v>12.148148148148101</v>
      </c>
      <c r="U44">
        <v>-0.21677884493945801</v>
      </c>
    </row>
    <row r="45" spans="1:21" x14ac:dyDescent="0.3">
      <c r="A45">
        <v>3.36</v>
      </c>
      <c r="B45" s="11">
        <v>-5.1600000000000002E-13</v>
      </c>
      <c r="C45" s="9"/>
      <c r="D45">
        <f t="shared" si="0"/>
        <v>3.36E-9</v>
      </c>
      <c r="E45">
        <f t="shared" si="2"/>
        <v>0</v>
      </c>
      <c r="F45" s="9"/>
      <c r="H45" s="9"/>
      <c r="I45" s="15"/>
      <c r="J45" s="9"/>
      <c r="K45" s="9"/>
      <c r="N45">
        <v>3.3599999999999901</v>
      </c>
      <c r="O45" s="11">
        <v>-5.1645991950469099E-13</v>
      </c>
      <c r="Q45">
        <v>7.7777777777777697</v>
      </c>
      <c r="R45">
        <v>-9.2664826822538293E-2</v>
      </c>
      <c r="T45">
        <v>12.4444444444444</v>
      </c>
      <c r="U45">
        <v>-0.21042468538591499</v>
      </c>
    </row>
    <row r="46" spans="1:21" x14ac:dyDescent="0.3">
      <c r="A46">
        <v>3.44</v>
      </c>
      <c r="B46" s="11">
        <v>-5.2899999999999997E-13</v>
      </c>
      <c r="D46">
        <f t="shared" si="0"/>
        <v>3.4400000000000001E-9</v>
      </c>
      <c r="E46">
        <f t="shared" si="2"/>
        <v>0</v>
      </c>
      <c r="H46" s="9"/>
      <c r="I46" s="15"/>
      <c r="J46" s="9"/>
      <c r="K46" s="9"/>
      <c r="N46">
        <v>3.4399999999999902</v>
      </c>
      <c r="O46" s="11">
        <v>-5.2875658425480204E-13</v>
      </c>
      <c r="Q46">
        <v>7.9629629629629504</v>
      </c>
      <c r="R46">
        <v>-9.4871132223074903E-2</v>
      </c>
      <c r="T46">
        <v>12.7407407407407</v>
      </c>
      <c r="U46">
        <v>-0.202481985943985</v>
      </c>
    </row>
    <row r="47" spans="1:21" x14ac:dyDescent="0.3">
      <c r="A47">
        <v>3.52</v>
      </c>
      <c r="B47" s="11">
        <v>-5.4100000000000002E-13</v>
      </c>
      <c r="D47">
        <f t="shared" si="0"/>
        <v>3.5200000000000003E-9</v>
      </c>
      <c r="E47">
        <f t="shared" si="2"/>
        <v>0</v>
      </c>
      <c r="H47" s="9"/>
      <c r="I47" s="15"/>
      <c r="J47" s="9"/>
      <c r="K47" s="9"/>
      <c r="N47">
        <v>3.5199999999999898</v>
      </c>
      <c r="O47" s="11">
        <v>-5.41053249004914E-13</v>
      </c>
      <c r="Q47">
        <v>8.1481481481481399</v>
      </c>
      <c r="R47">
        <v>-9.7077437623611595E-2</v>
      </c>
      <c r="T47">
        <v>13.037037037037001</v>
      </c>
      <c r="U47">
        <v>-0.19295074661367001</v>
      </c>
    </row>
    <row r="48" spans="1:21" x14ac:dyDescent="0.3">
      <c r="A48">
        <v>3.6</v>
      </c>
      <c r="B48" s="11">
        <v>-5.5299999999999997E-13</v>
      </c>
      <c r="D48">
        <f t="shared" si="0"/>
        <v>3.6000000000000004E-9</v>
      </c>
      <c r="E48">
        <f t="shared" si="2"/>
        <v>0</v>
      </c>
      <c r="H48" s="9"/>
      <c r="I48" s="15"/>
      <c r="J48" s="9"/>
      <c r="K48" s="9"/>
      <c r="N48">
        <v>3.5999999999999899</v>
      </c>
      <c r="O48" s="11">
        <v>-5.5334991375502596E-13</v>
      </c>
      <c r="Q48">
        <v>8.3333333333333304</v>
      </c>
      <c r="R48">
        <v>-9.9283743024148205E-2</v>
      </c>
      <c r="T48">
        <v>13.3333333333333</v>
      </c>
      <c r="U48">
        <v>-0.18183096739496801</v>
      </c>
    </row>
    <row r="49" spans="1:21" x14ac:dyDescent="0.3">
      <c r="A49">
        <v>3.68</v>
      </c>
      <c r="B49" s="11">
        <v>-5.6600000000000001E-13</v>
      </c>
      <c r="D49">
        <f t="shared" si="0"/>
        <v>3.6800000000000005E-9</v>
      </c>
      <c r="E49">
        <f t="shared" si="2"/>
        <v>0</v>
      </c>
      <c r="H49" s="9"/>
      <c r="I49" s="15"/>
      <c r="J49" s="9"/>
      <c r="K49" s="9"/>
      <c r="N49">
        <v>3.6799999999999899</v>
      </c>
      <c r="O49" s="11">
        <v>-5.6564657850513802E-13</v>
      </c>
      <c r="Q49">
        <v>8.5185185185185102</v>
      </c>
      <c r="R49">
        <v>-0.101490048424684</v>
      </c>
      <c r="T49">
        <v>13.6296296296296</v>
      </c>
      <c r="U49">
        <v>-0.16912264828788101</v>
      </c>
    </row>
    <row r="50" spans="1:21" x14ac:dyDescent="0.3">
      <c r="A50">
        <v>3.76</v>
      </c>
      <c r="B50" s="11">
        <v>-5.7799999999999996E-13</v>
      </c>
      <c r="D50">
        <f t="shared" si="0"/>
        <v>3.7600000000000003E-9</v>
      </c>
      <c r="E50">
        <f t="shared" si="2"/>
        <v>0</v>
      </c>
      <c r="H50" s="9"/>
      <c r="I50" s="15"/>
      <c r="J50" s="9"/>
      <c r="K50" s="9"/>
      <c r="N50">
        <v>3.75999999999999</v>
      </c>
      <c r="O50" s="11">
        <v>-5.7794324325524998E-13</v>
      </c>
      <c r="Q50">
        <v>8.7037037037037006</v>
      </c>
      <c r="R50">
        <v>-0.10369635382522099</v>
      </c>
      <c r="T50">
        <v>13.925925925925901</v>
      </c>
      <c r="U50">
        <v>-0.15482578929240801</v>
      </c>
    </row>
    <row r="51" spans="1:21" x14ac:dyDescent="0.3">
      <c r="A51">
        <v>3.84</v>
      </c>
      <c r="B51" s="11">
        <v>-5.9000000000000001E-13</v>
      </c>
      <c r="D51">
        <f t="shared" si="0"/>
        <v>3.84E-9</v>
      </c>
      <c r="E51">
        <f t="shared" si="2"/>
        <v>0</v>
      </c>
      <c r="N51">
        <v>3.8399999999999901</v>
      </c>
      <c r="O51" s="11">
        <v>-5.9023990800536204E-13</v>
      </c>
      <c r="Q51">
        <v>8.8888888888888804</v>
      </c>
      <c r="R51">
        <v>-0.10590265922575801</v>
      </c>
      <c r="T51">
        <v>14.2222222222222</v>
      </c>
      <c r="U51">
        <v>-0.138940390408548</v>
      </c>
    </row>
    <row r="52" spans="1:21" x14ac:dyDescent="0.3">
      <c r="A52">
        <v>3.92</v>
      </c>
      <c r="B52" s="11">
        <v>-6.0299999999999995E-13</v>
      </c>
      <c r="D52">
        <f t="shared" si="0"/>
        <v>3.9200000000000005E-9</v>
      </c>
      <c r="E52">
        <f t="shared" si="2"/>
        <v>0</v>
      </c>
      <c r="N52">
        <v>3.9199999999999902</v>
      </c>
      <c r="O52" s="11">
        <v>-6.02536572755474E-13</v>
      </c>
      <c r="Q52">
        <v>9.0740740740740709</v>
      </c>
      <c r="R52">
        <v>-0.10831552767296</v>
      </c>
      <c r="T52">
        <v>14.5185185185185</v>
      </c>
      <c r="U52">
        <v>-0.121466451636303</v>
      </c>
    </row>
    <row r="53" spans="1:21" x14ac:dyDescent="0.3">
      <c r="A53">
        <v>4</v>
      </c>
      <c r="B53" s="11">
        <v>-6.15E-13</v>
      </c>
      <c r="D53">
        <f t="shared" si="0"/>
        <v>4.0000000000000002E-9</v>
      </c>
      <c r="E53">
        <f t="shared" si="2"/>
        <v>0</v>
      </c>
      <c r="N53">
        <v>3.9999999999999898</v>
      </c>
      <c r="O53" s="11">
        <v>-6.1483323750558495E-13</v>
      </c>
      <c r="Q53">
        <v>9.2592592592592506</v>
      </c>
      <c r="R53">
        <v>-0.11062497555451201</v>
      </c>
      <c r="T53">
        <v>14.814814814814801</v>
      </c>
      <c r="U53">
        <v>-0.102403972975672</v>
      </c>
    </row>
    <row r="54" spans="1:21" x14ac:dyDescent="0.3">
      <c r="A54">
        <v>4.08</v>
      </c>
      <c r="B54" s="11">
        <v>-6.2699999999999995E-13</v>
      </c>
      <c r="D54">
        <f t="shared" si="0"/>
        <v>4.08E-9</v>
      </c>
      <c r="E54">
        <f t="shared" si="2"/>
        <v>0</v>
      </c>
      <c r="N54">
        <v>4.0799999999999903</v>
      </c>
      <c r="O54" s="11">
        <v>-6.2712990225569701E-13</v>
      </c>
      <c r="Q54">
        <v>9.4444444444444393</v>
      </c>
      <c r="R54">
        <v>-0.112831002870414</v>
      </c>
      <c r="T54">
        <v>15.1111111111111</v>
      </c>
      <c r="U54">
        <v>-8.1752954426654895E-2</v>
      </c>
    </row>
    <row r="55" spans="1:21" x14ac:dyDescent="0.3">
      <c r="A55">
        <v>4.16</v>
      </c>
      <c r="B55" s="11">
        <v>-6.39E-13</v>
      </c>
      <c r="D55">
        <f t="shared" si="0"/>
        <v>4.1600000000000005E-9</v>
      </c>
      <c r="E55">
        <f t="shared" si="2"/>
        <v>0</v>
      </c>
      <c r="N55">
        <v>4.1599999999999904</v>
      </c>
      <c r="O55" s="11">
        <v>-6.3942656700580897E-13</v>
      </c>
      <c r="Q55">
        <v>9.6296296296296209</v>
      </c>
      <c r="R55">
        <v>-0.114933609620666</v>
      </c>
      <c r="T55">
        <v>15.4074074074073</v>
      </c>
      <c r="U55">
        <v>-5.9513395989251698E-2</v>
      </c>
    </row>
    <row r="56" spans="1:21" x14ac:dyDescent="0.3">
      <c r="A56">
        <v>4.24</v>
      </c>
      <c r="B56" s="11">
        <v>-6.5200000000000005E-13</v>
      </c>
      <c r="D56">
        <f t="shared" si="0"/>
        <v>4.2400000000000002E-9</v>
      </c>
      <c r="E56">
        <f t="shared" si="2"/>
        <v>0</v>
      </c>
      <c r="N56">
        <v>4.2399999999999904</v>
      </c>
      <c r="O56" s="11">
        <v>-6.5172323175592002E-13</v>
      </c>
      <c r="Q56">
        <v>9.8148148148148096</v>
      </c>
      <c r="R56">
        <v>-0.116932795805268</v>
      </c>
      <c r="T56">
        <v>15.703703703703599</v>
      </c>
      <c r="U56">
        <v>-3.5685297663462699E-2</v>
      </c>
    </row>
    <row r="57" spans="1:21" x14ac:dyDescent="0.3">
      <c r="A57">
        <v>4.32</v>
      </c>
      <c r="B57" s="11">
        <v>-6.64E-13</v>
      </c>
      <c r="D57">
        <f t="shared" si="0"/>
        <v>4.3200000000000008E-9</v>
      </c>
      <c r="E57">
        <f t="shared" si="2"/>
        <v>0</v>
      </c>
      <c r="N57">
        <v>4.3199999999999896</v>
      </c>
      <c r="O57" s="11">
        <v>-6.6401989650603198E-13</v>
      </c>
      <c r="Q57">
        <v>9.9999999999999893</v>
      </c>
      <c r="R57">
        <v>-0.11882856142421901</v>
      </c>
      <c r="T57">
        <v>15.999999999999901</v>
      </c>
      <c r="U57">
        <v>-1.0268659449287501E-2</v>
      </c>
    </row>
    <row r="58" spans="1:21" x14ac:dyDescent="0.3">
      <c r="A58">
        <v>4.4000000000000004</v>
      </c>
      <c r="B58" s="11">
        <v>-6.7600000000000005E-13</v>
      </c>
      <c r="D58">
        <f t="shared" si="0"/>
        <v>4.4000000000000005E-9</v>
      </c>
      <c r="E58">
        <f t="shared" si="2"/>
        <v>0</v>
      </c>
      <c r="N58">
        <v>4.3999999999999897</v>
      </c>
      <c r="O58" s="11">
        <v>-6.7631656125614404E-13</v>
      </c>
      <c r="Q58">
        <v>10.1851851851851</v>
      </c>
      <c r="R58">
        <v>-0.12062090647752099</v>
      </c>
      <c r="T58">
        <v>16.296296296296202</v>
      </c>
      <c r="U58">
        <v>1.67365186532735E-2</v>
      </c>
    </row>
    <row r="59" spans="1:21" x14ac:dyDescent="0.3">
      <c r="A59">
        <v>4.4800000000000004</v>
      </c>
      <c r="B59" s="11">
        <v>-6.8899999999999999E-13</v>
      </c>
      <c r="D59">
        <f t="shared" si="0"/>
        <v>4.4800000000000011E-9</v>
      </c>
      <c r="E59">
        <f t="shared" si="2"/>
        <v>0</v>
      </c>
      <c r="N59">
        <v>4.4799999999999898</v>
      </c>
      <c r="O59" s="11">
        <v>-6.88613226006256E-13</v>
      </c>
      <c r="Q59">
        <v>10.370370370370299</v>
      </c>
      <c r="R59">
        <v>-0.12230983096517201</v>
      </c>
      <c r="T59">
        <v>16.592592592592499</v>
      </c>
      <c r="U59">
        <v>4.5330236644220603E-2</v>
      </c>
    </row>
    <row r="60" spans="1:21" x14ac:dyDescent="0.3">
      <c r="A60">
        <v>4.5599999999999996</v>
      </c>
      <c r="B60" s="11">
        <v>-7.0100000000000004E-13</v>
      </c>
      <c r="D60">
        <f t="shared" si="0"/>
        <v>4.56E-9</v>
      </c>
      <c r="E60">
        <f t="shared" si="2"/>
        <v>0</v>
      </c>
      <c r="N60">
        <v>4.5599999999999898</v>
      </c>
      <c r="O60" s="11">
        <v>-7.0090989075636695E-13</v>
      </c>
      <c r="Q60">
        <v>10.5555555555555</v>
      </c>
      <c r="R60">
        <v>-0.12282693379342299</v>
      </c>
      <c r="T60">
        <v>16.8888888888888</v>
      </c>
      <c r="U60">
        <v>7.55124945235537E-2</v>
      </c>
    </row>
    <row r="61" spans="1:21" x14ac:dyDescent="0.3">
      <c r="A61">
        <v>4.6399999999999997</v>
      </c>
      <c r="B61" s="11">
        <v>-7.1299999999999999E-13</v>
      </c>
      <c r="D61">
        <f t="shared" si="0"/>
        <v>4.6399999999999997E-9</v>
      </c>
      <c r="E61">
        <f t="shared" si="2"/>
        <v>0</v>
      </c>
      <c r="N61">
        <v>4.6399999999999899</v>
      </c>
      <c r="O61" s="11">
        <v>-7.1320655550647901E-13</v>
      </c>
      <c r="Q61">
        <v>10.7407407407407</v>
      </c>
      <c r="R61">
        <v>-0.122723513227774</v>
      </c>
      <c r="T61">
        <v>17.185185185185102</v>
      </c>
      <c r="U61">
        <v>0.10728329229127199</v>
      </c>
    </row>
    <row r="62" spans="1:21" x14ac:dyDescent="0.3">
      <c r="A62">
        <v>4.72</v>
      </c>
      <c r="B62" s="11">
        <v>-7.2600000000000004E-13</v>
      </c>
      <c r="D62">
        <f t="shared" si="0"/>
        <v>4.7200000000000002E-9</v>
      </c>
      <c r="E62">
        <f t="shared" si="2"/>
        <v>0</v>
      </c>
      <c r="N62">
        <v>4.71999999999999</v>
      </c>
      <c r="O62" s="11">
        <v>-7.2550322025659097E-13</v>
      </c>
      <c r="Q62">
        <v>10.925925925925901</v>
      </c>
      <c r="R62">
        <v>-0.121999569268223</v>
      </c>
      <c r="T62">
        <v>17.481481481481399</v>
      </c>
      <c r="U62">
        <v>0.140642629947377</v>
      </c>
    </row>
    <row r="63" spans="1:21" x14ac:dyDescent="0.3">
      <c r="A63">
        <v>4.8</v>
      </c>
      <c r="B63" s="11">
        <v>-7.3799999999999999E-13</v>
      </c>
      <c r="D63">
        <f t="shared" si="0"/>
        <v>4.8E-9</v>
      </c>
      <c r="E63">
        <f t="shared" si="2"/>
        <v>0</v>
      </c>
      <c r="N63">
        <v>4.7999999999999901</v>
      </c>
      <c r="O63" s="11">
        <v>-7.3779988500670303E-13</v>
      </c>
      <c r="Q63">
        <v>11.1111111111111</v>
      </c>
      <c r="R63">
        <v>-0.12065510191477199</v>
      </c>
      <c r="T63">
        <v>17.7777777777777</v>
      </c>
      <c r="U63">
        <v>0.175590507491868</v>
      </c>
    </row>
    <row r="64" spans="1:21" x14ac:dyDescent="0.3">
      <c r="A64">
        <v>4.88</v>
      </c>
      <c r="B64" s="11">
        <v>-7.5000000000000004E-13</v>
      </c>
      <c r="D64">
        <f t="shared" si="0"/>
        <v>4.8800000000000005E-9</v>
      </c>
      <c r="E64">
        <f t="shared" si="2"/>
        <v>0</v>
      </c>
      <c r="N64">
        <v>4.8799999999999901</v>
      </c>
      <c r="O64" s="11">
        <v>-7.5009654975681398E-13</v>
      </c>
      <c r="Q64">
        <v>11.2962962962962</v>
      </c>
      <c r="R64">
        <v>-0.11869011116742</v>
      </c>
      <c r="T64">
        <v>18.074074074074002</v>
      </c>
      <c r="U64">
        <v>0.212126924924745</v>
      </c>
    </row>
    <row r="65" spans="1:21" x14ac:dyDescent="0.3">
      <c r="A65">
        <v>4.96</v>
      </c>
      <c r="B65" s="11">
        <v>-7.6199999999999998E-13</v>
      </c>
      <c r="D65">
        <f t="shared" si="0"/>
        <v>4.9600000000000002E-9</v>
      </c>
      <c r="E65">
        <f t="shared" si="2"/>
        <v>0</v>
      </c>
      <c r="N65">
        <v>4.9599999999999902</v>
      </c>
      <c r="O65" s="11">
        <v>-7.6239321450692604E-13</v>
      </c>
      <c r="Q65">
        <v>11.481481481481399</v>
      </c>
      <c r="R65">
        <v>-0.116104597026168</v>
      </c>
      <c r="T65">
        <v>18.370370370370299</v>
      </c>
      <c r="U65">
        <v>0.25025188224600797</v>
      </c>
    </row>
    <row r="66" spans="1:21" x14ac:dyDescent="0.3">
      <c r="A66">
        <v>5.04</v>
      </c>
      <c r="B66" s="11">
        <v>-7.7500000000000003E-13</v>
      </c>
      <c r="D66">
        <f t="shared" si="0"/>
        <v>5.04E-9</v>
      </c>
      <c r="E66">
        <f t="shared" si="2"/>
        <v>0</v>
      </c>
      <c r="N66">
        <v>5.0399999999999903</v>
      </c>
      <c r="O66" s="11">
        <v>-7.7468987925703699E-13</v>
      </c>
      <c r="Q66">
        <v>11.6666666666666</v>
      </c>
      <c r="R66">
        <v>-0.112898559491014</v>
      </c>
      <c r="T66">
        <v>18.6666666666666</v>
      </c>
      <c r="U66">
        <v>0.28996537945565698</v>
      </c>
    </row>
    <row r="67" spans="1:21" x14ac:dyDescent="0.3">
      <c r="A67">
        <v>5.12</v>
      </c>
      <c r="B67" s="11">
        <v>-7.8699999999999998E-13</v>
      </c>
      <c r="D67">
        <f t="shared" ref="D67:D130" si="3">A67*0.000000001</f>
        <v>5.1200000000000005E-9</v>
      </c>
      <c r="E67">
        <f t="shared" ref="E67:E98" si="4">IF(D67&lt;=$I$4,0,IF($I$4&lt;A67&lt;=$I$4+$I$8,($I$9*$I$6)/(2*$I$10)*(A67-$I$4)^2))</f>
        <v>0</v>
      </c>
      <c r="N67">
        <v>5.1199999999999903</v>
      </c>
      <c r="O67" s="11">
        <v>-7.8698654400714895E-13</v>
      </c>
      <c r="Q67">
        <v>11.8518518518518</v>
      </c>
      <c r="R67">
        <v>-0.10907199856196</v>
      </c>
      <c r="T67">
        <v>18.962962962962902</v>
      </c>
      <c r="U67">
        <v>0.33249031428349402</v>
      </c>
    </row>
    <row r="68" spans="1:21" x14ac:dyDescent="0.3">
      <c r="A68">
        <v>5.2</v>
      </c>
      <c r="B68" s="11">
        <v>-7.9900000000000003E-13</v>
      </c>
      <c r="D68">
        <f t="shared" si="3"/>
        <v>5.2000000000000002E-9</v>
      </c>
      <c r="E68">
        <f t="shared" si="4"/>
        <v>0</v>
      </c>
      <c r="N68">
        <v>5.1999999999999904</v>
      </c>
      <c r="O68" s="11">
        <v>-7.9928320875726101E-13</v>
      </c>
      <c r="Q68">
        <v>12.037037037037001</v>
      </c>
      <c r="R68">
        <v>-0.104624914239005</v>
      </c>
      <c r="T68">
        <v>19.259259259259199</v>
      </c>
      <c r="U68">
        <v>0.37607427570358798</v>
      </c>
    </row>
    <row r="69" spans="1:21" x14ac:dyDescent="0.3">
      <c r="A69">
        <v>5.28</v>
      </c>
      <c r="B69" s="11">
        <v>-8.1199999999999997E-13</v>
      </c>
      <c r="D69">
        <f t="shared" si="3"/>
        <v>5.2800000000000008E-9</v>
      </c>
      <c r="E69">
        <f t="shared" si="4"/>
        <v>0</v>
      </c>
      <c r="N69">
        <v>5.2799999999999896</v>
      </c>
      <c r="O69" s="11">
        <v>-8.1157987350737297E-13</v>
      </c>
      <c r="Q69">
        <v>12.2222222222222</v>
      </c>
      <c r="R69">
        <v>-9.95573065221496E-2</v>
      </c>
      <c r="T69">
        <v>19.5555555555555</v>
      </c>
      <c r="U69">
        <v>0.42071726371593998</v>
      </c>
    </row>
    <row r="70" spans="1:21" x14ac:dyDescent="0.3">
      <c r="A70">
        <v>5.36</v>
      </c>
      <c r="B70" s="11">
        <v>-8.2400000000000002E-13</v>
      </c>
      <c r="D70">
        <f t="shared" si="3"/>
        <v>5.3600000000000005E-9</v>
      </c>
      <c r="E70">
        <f t="shared" si="4"/>
        <v>0</v>
      </c>
      <c r="N70">
        <v>5.3599999999999897</v>
      </c>
      <c r="O70" s="11">
        <v>-8.2387653825748503E-13</v>
      </c>
      <c r="Q70">
        <v>12.4074074074073</v>
      </c>
      <c r="R70">
        <v>-9.3869175411393099E-2</v>
      </c>
      <c r="T70">
        <v>19.851851851851801</v>
      </c>
      <c r="U70">
        <v>0.46641927832054902</v>
      </c>
    </row>
    <row r="71" spans="1:21" x14ac:dyDescent="0.3">
      <c r="A71">
        <v>5.44</v>
      </c>
      <c r="B71" s="11">
        <v>-8.3599999999999997E-13</v>
      </c>
      <c r="D71">
        <f t="shared" si="3"/>
        <v>5.4400000000000011E-9</v>
      </c>
      <c r="E71">
        <f t="shared" si="4"/>
        <v>0</v>
      </c>
      <c r="N71">
        <v>5.4399999999999897</v>
      </c>
      <c r="O71" s="11">
        <v>-8.3617320300759699E-13</v>
      </c>
      <c r="Q71">
        <v>12.592592592592499</v>
      </c>
      <c r="R71">
        <v>-8.75605209067358E-2</v>
      </c>
      <c r="T71">
        <v>20.148148148148099</v>
      </c>
      <c r="U71">
        <v>0.51318031951741505</v>
      </c>
    </row>
    <row r="72" spans="1:21" x14ac:dyDescent="0.3">
      <c r="A72">
        <v>5.52</v>
      </c>
      <c r="B72" s="11">
        <v>-8.4800000000000002E-13</v>
      </c>
      <c r="D72">
        <f t="shared" si="3"/>
        <v>5.52E-9</v>
      </c>
      <c r="E72">
        <f t="shared" si="4"/>
        <v>0</v>
      </c>
      <c r="N72">
        <v>5.5199999999999898</v>
      </c>
      <c r="O72" s="11">
        <v>-8.4846986775770804E-13</v>
      </c>
      <c r="Q72">
        <v>12.7777777777777</v>
      </c>
      <c r="R72">
        <v>-8.0631343008177703E-2</v>
      </c>
      <c r="T72">
        <v>20.4444444444444</v>
      </c>
      <c r="U72">
        <v>0.56100038730653901</v>
      </c>
    </row>
    <row r="73" spans="1:21" x14ac:dyDescent="0.3">
      <c r="A73">
        <v>5.6</v>
      </c>
      <c r="B73" s="11">
        <v>-8.6099999999999997E-13</v>
      </c>
      <c r="D73">
        <f t="shared" si="3"/>
        <v>5.5999999999999997E-9</v>
      </c>
      <c r="E73">
        <f t="shared" si="4"/>
        <v>0</v>
      </c>
      <c r="N73">
        <v>5.5999999999999899</v>
      </c>
      <c r="O73" s="11">
        <v>-8.6076653250782E-13</v>
      </c>
      <c r="Q73">
        <v>12.9629629629629</v>
      </c>
      <c r="R73">
        <v>-7.3081641715718806E-2</v>
      </c>
      <c r="T73">
        <v>20.740740740740701</v>
      </c>
      <c r="U73">
        <v>0.60987948168792006</v>
      </c>
    </row>
    <row r="74" spans="1:21" x14ac:dyDescent="0.3">
      <c r="A74">
        <v>5.68</v>
      </c>
      <c r="B74" s="11">
        <v>-8.7300000000000002E-13</v>
      </c>
      <c r="D74">
        <f t="shared" si="3"/>
        <v>5.6800000000000002E-9</v>
      </c>
      <c r="E74">
        <f t="shared" si="4"/>
        <v>0</v>
      </c>
      <c r="N74">
        <v>5.6799999999999899</v>
      </c>
      <c r="O74" s="11">
        <v>-8.7306319725793196E-13</v>
      </c>
      <c r="Q74">
        <v>13.148148148148101</v>
      </c>
      <c r="R74">
        <v>-6.4911417029359195E-2</v>
      </c>
      <c r="T74">
        <v>21.037037037036999</v>
      </c>
      <c r="U74">
        <v>0.65981760266155798</v>
      </c>
    </row>
    <row r="75" spans="1:21" x14ac:dyDescent="0.3">
      <c r="A75">
        <v>5.76</v>
      </c>
      <c r="B75" s="11">
        <v>-8.8499999999999997E-13</v>
      </c>
      <c r="D75">
        <f t="shared" si="3"/>
        <v>5.76E-9</v>
      </c>
      <c r="E75">
        <f t="shared" si="4"/>
        <v>0</v>
      </c>
      <c r="N75">
        <v>5.75999999999999</v>
      </c>
      <c r="O75" s="11">
        <v>-8.8535986200804301E-13</v>
      </c>
      <c r="Q75">
        <v>13.3333333333333</v>
      </c>
      <c r="R75">
        <v>-5.6120668949098798E-2</v>
      </c>
      <c r="T75">
        <v>21.3333333333333</v>
      </c>
      <c r="U75">
        <v>0.710814750227453</v>
      </c>
    </row>
    <row r="76" spans="1:21" x14ac:dyDescent="0.3">
      <c r="A76">
        <v>5.84</v>
      </c>
      <c r="B76" s="11">
        <v>-8.9800000000000001E-13</v>
      </c>
      <c r="D76">
        <f t="shared" si="3"/>
        <v>5.8400000000000005E-9</v>
      </c>
      <c r="E76">
        <f t="shared" si="4"/>
        <v>0</v>
      </c>
      <c r="N76">
        <v>5.8399999999999901</v>
      </c>
      <c r="O76" s="11">
        <v>-8.9765652675815497E-13</v>
      </c>
      <c r="Q76">
        <v>13.5185185185185</v>
      </c>
      <c r="R76">
        <v>-4.6709397474937603E-2</v>
      </c>
      <c r="T76">
        <v>21.629629629629601</v>
      </c>
      <c r="U76">
        <v>0.75688240699064602</v>
      </c>
    </row>
    <row r="77" spans="1:21" x14ac:dyDescent="0.3">
      <c r="A77">
        <v>5.92</v>
      </c>
      <c r="B77" s="11">
        <v>-9.0999999999999996E-13</v>
      </c>
      <c r="D77">
        <f t="shared" si="3"/>
        <v>5.9200000000000002E-9</v>
      </c>
      <c r="E77">
        <f t="shared" si="4"/>
        <v>0</v>
      </c>
      <c r="N77">
        <v>5.9199999999999902</v>
      </c>
      <c r="O77" s="11">
        <v>-9.0995319150826703E-13</v>
      </c>
      <c r="Q77">
        <v>13.703703703703599</v>
      </c>
      <c r="R77">
        <v>-3.6677602606875699E-2</v>
      </c>
      <c r="T77">
        <v>21.925925925925899</v>
      </c>
      <c r="U77">
        <v>0.80136152386545301</v>
      </c>
    </row>
    <row r="78" spans="1:21" x14ac:dyDescent="0.3">
      <c r="A78">
        <v>6</v>
      </c>
      <c r="B78" s="11">
        <v>-9.2199999999999991E-13</v>
      </c>
      <c r="D78">
        <f t="shared" si="3"/>
        <v>6.0000000000000008E-9</v>
      </c>
      <c r="E78">
        <f t="shared" si="4"/>
        <v>0</v>
      </c>
      <c r="N78">
        <v>5.9999999999999902</v>
      </c>
      <c r="O78" s="11">
        <v>-9.2224985625837899E-13</v>
      </c>
      <c r="Q78">
        <v>13.8888888888888</v>
      </c>
      <c r="R78">
        <v>-2.6025284344913E-2</v>
      </c>
      <c r="T78">
        <v>22.2222222222222</v>
      </c>
      <c r="U78">
        <v>0.84425210085187297</v>
      </c>
    </row>
    <row r="79" spans="1:21" x14ac:dyDescent="0.3">
      <c r="A79">
        <v>6.08</v>
      </c>
      <c r="B79" s="11">
        <v>-9.3499999999999995E-13</v>
      </c>
      <c r="D79">
        <f t="shared" si="3"/>
        <v>6.0800000000000005E-9</v>
      </c>
      <c r="E79">
        <f t="shared" si="4"/>
        <v>0</v>
      </c>
      <c r="N79">
        <v>6.0799999999999903</v>
      </c>
      <c r="O79" s="11">
        <v>-9.3454652100849095E-13</v>
      </c>
      <c r="Q79">
        <v>14.074074074074</v>
      </c>
      <c r="R79">
        <v>-1.4752442689049501E-2</v>
      </c>
      <c r="T79">
        <v>22.518518518518501</v>
      </c>
      <c r="U79">
        <v>0.885554137949908</v>
      </c>
    </row>
    <row r="80" spans="1:21" x14ac:dyDescent="0.3">
      <c r="A80">
        <v>6.16</v>
      </c>
      <c r="B80" s="11">
        <v>-9.469999999999999E-13</v>
      </c>
      <c r="D80">
        <f t="shared" si="3"/>
        <v>6.1600000000000002E-9</v>
      </c>
      <c r="E80">
        <f t="shared" si="4"/>
        <v>0</v>
      </c>
      <c r="N80">
        <v>6.1599999999999904</v>
      </c>
      <c r="O80" s="11">
        <v>-9.4684318575860291E-13</v>
      </c>
      <c r="Q80">
        <v>14.259259259259199</v>
      </c>
      <c r="R80">
        <v>-2.85907763928524E-3</v>
      </c>
      <c r="T80">
        <v>22.814814814814799</v>
      </c>
      <c r="U80">
        <v>0.92526763515955701</v>
      </c>
    </row>
    <row r="81" spans="1:21" x14ac:dyDescent="0.3">
      <c r="A81">
        <v>6.24</v>
      </c>
      <c r="B81" s="11">
        <v>-9.5900000000000005E-13</v>
      </c>
      <c r="D81">
        <f t="shared" si="3"/>
        <v>6.2400000000000008E-9</v>
      </c>
      <c r="E81">
        <f t="shared" si="4"/>
        <v>0</v>
      </c>
      <c r="N81">
        <v>6.2399999999999904</v>
      </c>
      <c r="O81" s="11">
        <v>-9.5913985050871406E-13</v>
      </c>
      <c r="Q81">
        <v>14.4444444444444</v>
      </c>
      <c r="R81">
        <v>9.65481080437979E-3</v>
      </c>
      <c r="T81">
        <v>23.111111111111001</v>
      </c>
      <c r="U81">
        <v>0.96339259248081999</v>
      </c>
    </row>
    <row r="82" spans="1:21" x14ac:dyDescent="0.3">
      <c r="A82">
        <v>6.32</v>
      </c>
      <c r="B82" s="11">
        <v>-9.71E-13</v>
      </c>
      <c r="D82">
        <f t="shared" si="3"/>
        <v>6.3200000000000005E-9</v>
      </c>
      <c r="E82">
        <f t="shared" si="4"/>
        <v>0</v>
      </c>
      <c r="N82">
        <v>6.3199999999999896</v>
      </c>
      <c r="O82" s="11">
        <v>-9.7143651525882703E-13</v>
      </c>
      <c r="Q82">
        <v>14.6296296296296</v>
      </c>
      <c r="R82">
        <v>2.2789222641945599E-2</v>
      </c>
      <c r="T82">
        <v>23.407407407407302</v>
      </c>
      <c r="U82">
        <v>0.99992900991369604</v>
      </c>
    </row>
    <row r="83" spans="1:21" x14ac:dyDescent="0.3">
      <c r="A83">
        <v>6.4</v>
      </c>
      <c r="B83" s="11">
        <v>-9.8400000000000005E-13</v>
      </c>
      <c r="D83">
        <f t="shared" si="3"/>
        <v>6.4000000000000011E-9</v>
      </c>
      <c r="E83">
        <f t="shared" si="4"/>
        <v>0</v>
      </c>
      <c r="N83">
        <v>6.3999999999999897</v>
      </c>
      <c r="O83" s="11">
        <v>-9.8373318000893798E-13</v>
      </c>
      <c r="Q83">
        <v>14.814814814814801</v>
      </c>
      <c r="R83">
        <v>3.6544157873412197E-2</v>
      </c>
      <c r="T83">
        <v>23.703703703703599</v>
      </c>
      <c r="U83">
        <v>1.03487688745818</v>
      </c>
    </row>
    <row r="84" spans="1:21" x14ac:dyDescent="0.3">
      <c r="A84">
        <v>6.48</v>
      </c>
      <c r="B84" s="11">
        <v>-9.96E-13</v>
      </c>
      <c r="D84">
        <f t="shared" si="3"/>
        <v>6.4800000000000008E-9</v>
      </c>
      <c r="E84">
        <f t="shared" si="4"/>
        <v>0</v>
      </c>
      <c r="N84">
        <v>6.4799999999999898</v>
      </c>
      <c r="O84" s="11">
        <v>-9.9602984475904994E-13</v>
      </c>
      <c r="Q84">
        <v>14.999999999999901</v>
      </c>
      <c r="R84">
        <v>5.0919616498779401E-2</v>
      </c>
      <c r="T84">
        <v>23.999999999999901</v>
      </c>
      <c r="U84">
        <v>1.0682362251142901</v>
      </c>
    </row>
    <row r="85" spans="1:21" x14ac:dyDescent="0.3">
      <c r="A85">
        <v>6.56</v>
      </c>
      <c r="B85" s="11">
        <v>-1.0099999999999999E-12</v>
      </c>
      <c r="D85">
        <f t="shared" si="3"/>
        <v>6.5599999999999997E-9</v>
      </c>
      <c r="E85">
        <f t="shared" si="4"/>
        <v>0</v>
      </c>
      <c r="N85">
        <v>6.5599999999999898</v>
      </c>
      <c r="O85" s="11">
        <v>-1.0083265095091601E-12</v>
      </c>
      <c r="Q85">
        <v>15.1851851851851</v>
      </c>
      <c r="R85">
        <v>6.59155985180475E-2</v>
      </c>
      <c r="T85">
        <v>24.296296296296202</v>
      </c>
      <c r="U85">
        <v>1.10000702288201</v>
      </c>
    </row>
    <row r="86" spans="1:21" x14ac:dyDescent="0.3">
      <c r="A86">
        <v>6.64</v>
      </c>
      <c r="B86" s="11">
        <v>-1.0200000000000001E-12</v>
      </c>
      <c r="D86">
        <f t="shared" si="3"/>
        <v>6.6400000000000002E-9</v>
      </c>
      <c r="E86">
        <f t="shared" si="4"/>
        <v>0</v>
      </c>
      <c r="N86">
        <v>6.6399999999999899</v>
      </c>
      <c r="O86" s="11">
        <v>-1.02062317425927E-12</v>
      </c>
      <c r="Q86">
        <v>15.370370370370299</v>
      </c>
      <c r="R86">
        <v>8.1532103931216293E-2</v>
      </c>
      <c r="T86">
        <v>24.592592592592499</v>
      </c>
      <c r="U86">
        <v>1.1301892807613401</v>
      </c>
    </row>
    <row r="87" spans="1:21" x14ac:dyDescent="0.3">
      <c r="A87">
        <v>6.72</v>
      </c>
      <c r="B87" s="11">
        <v>-1.0300000000000001E-12</v>
      </c>
      <c r="D87">
        <f t="shared" si="3"/>
        <v>6.72E-9</v>
      </c>
      <c r="E87">
        <f t="shared" si="4"/>
        <v>0</v>
      </c>
      <c r="N87">
        <v>6.71999999999999</v>
      </c>
      <c r="O87" s="11">
        <v>-1.03291983900938E-12</v>
      </c>
      <c r="Q87">
        <v>15.5555555555555</v>
      </c>
      <c r="R87">
        <v>9.7769132738285899E-2</v>
      </c>
      <c r="T87">
        <v>24.8888888888888</v>
      </c>
      <c r="U87">
        <v>1.15878299875229</v>
      </c>
    </row>
    <row r="88" spans="1:21" x14ac:dyDescent="0.3">
      <c r="A88">
        <v>6.8</v>
      </c>
      <c r="B88" s="11">
        <v>-1.05E-12</v>
      </c>
      <c r="D88">
        <f t="shared" si="3"/>
        <v>6.8000000000000005E-9</v>
      </c>
      <c r="E88">
        <f t="shared" si="4"/>
        <v>0</v>
      </c>
      <c r="N88">
        <v>6.7999999999999901</v>
      </c>
      <c r="O88" s="11">
        <v>-1.0452165037594899E-12</v>
      </c>
      <c r="Q88">
        <v>15.7407407407407</v>
      </c>
      <c r="R88">
        <v>0.114626684939256</v>
      </c>
      <c r="T88">
        <v>25.185185185185102</v>
      </c>
      <c r="U88">
        <v>1.1857881768548499</v>
      </c>
    </row>
    <row r="89" spans="1:21" x14ac:dyDescent="0.3">
      <c r="A89">
        <v>6.88</v>
      </c>
      <c r="B89" s="11">
        <v>-1.0599999999999999E-12</v>
      </c>
      <c r="D89">
        <f t="shared" si="3"/>
        <v>6.8800000000000002E-9</v>
      </c>
      <c r="E89">
        <f t="shared" si="4"/>
        <v>0</v>
      </c>
      <c r="N89">
        <v>6.8799999999999901</v>
      </c>
      <c r="O89" s="11">
        <v>-1.0575131685096E-12</v>
      </c>
      <c r="Q89">
        <v>15.925925925925901</v>
      </c>
      <c r="R89">
        <v>0.13210476053412701</v>
      </c>
      <c r="T89">
        <v>25.481481481481399</v>
      </c>
      <c r="U89">
        <v>1.21120481506902</v>
      </c>
    </row>
    <row r="90" spans="1:21" x14ac:dyDescent="0.3">
      <c r="A90">
        <v>6.96</v>
      </c>
      <c r="B90" s="11">
        <v>-1.0700000000000001E-12</v>
      </c>
      <c r="D90">
        <f t="shared" si="3"/>
        <v>6.9600000000000008E-9</v>
      </c>
      <c r="E90">
        <f t="shared" si="4"/>
        <v>0</v>
      </c>
      <c r="N90">
        <v>6.9599999999999902</v>
      </c>
      <c r="O90" s="11">
        <v>-1.06980983325971E-12</v>
      </c>
      <c r="Q90">
        <v>16.1111111111111</v>
      </c>
      <c r="R90">
        <v>0.15020335952289901</v>
      </c>
      <c r="T90">
        <v>25.7777777777777</v>
      </c>
      <c r="U90">
        <v>1.2350329133948099</v>
      </c>
    </row>
    <row r="91" spans="1:21" x14ac:dyDescent="0.3">
      <c r="A91">
        <v>7.04</v>
      </c>
      <c r="B91" s="11">
        <v>-1.08E-12</v>
      </c>
      <c r="D91">
        <f t="shared" si="3"/>
        <v>7.0400000000000005E-9</v>
      </c>
      <c r="E91">
        <f t="shared" si="4"/>
        <v>0</v>
      </c>
      <c r="N91">
        <v>7.0399999999999903</v>
      </c>
      <c r="O91" s="11">
        <v>-1.08210649800983E-12</v>
      </c>
      <c r="Q91">
        <v>16.296296296296202</v>
      </c>
      <c r="R91">
        <v>0.16892248190557199</v>
      </c>
      <c r="T91">
        <v>26.074074074074002</v>
      </c>
      <c r="U91">
        <v>1.2572724718322199</v>
      </c>
    </row>
    <row r="92" spans="1:21" x14ac:dyDescent="0.3">
      <c r="A92">
        <v>7.12</v>
      </c>
      <c r="B92" s="11">
        <v>-1.09E-12</v>
      </c>
      <c r="D92">
        <f t="shared" si="3"/>
        <v>7.1200000000000002E-9</v>
      </c>
      <c r="E92">
        <f t="shared" si="4"/>
        <v>0</v>
      </c>
      <c r="N92">
        <v>7.1199999999999903</v>
      </c>
      <c r="O92" s="11">
        <v>-1.09440316275994E-12</v>
      </c>
      <c r="Q92">
        <v>16.481481481481399</v>
      </c>
      <c r="R92">
        <v>0.18826212768214501</v>
      </c>
      <c r="T92">
        <v>26.370370370370299</v>
      </c>
      <c r="U92">
        <v>1.27792349038123</v>
      </c>
    </row>
    <row r="93" spans="1:21" x14ac:dyDescent="0.3">
      <c r="A93">
        <v>7.2</v>
      </c>
      <c r="B93" s="11">
        <v>-1.1099999999999999E-12</v>
      </c>
      <c r="D93">
        <f t="shared" si="3"/>
        <v>7.2000000000000008E-9</v>
      </c>
      <c r="E93">
        <f t="shared" si="4"/>
        <v>0</v>
      </c>
      <c r="N93">
        <v>7.1999999999999904</v>
      </c>
      <c r="O93" s="11">
        <v>-1.1066998275100499E-12</v>
      </c>
      <c r="Q93">
        <v>16.6666666666666</v>
      </c>
      <c r="R93">
        <v>0.208222296852619</v>
      </c>
      <c r="T93">
        <v>26.6666666666666</v>
      </c>
      <c r="U93">
        <v>1.2969859690418599</v>
      </c>
    </row>
    <row r="94" spans="1:21" x14ac:dyDescent="0.3">
      <c r="A94">
        <v>7.28</v>
      </c>
      <c r="B94" s="11">
        <v>-1.1200000000000001E-12</v>
      </c>
      <c r="D94">
        <f t="shared" si="3"/>
        <v>7.2800000000000005E-9</v>
      </c>
      <c r="E94">
        <f t="shared" si="4"/>
        <v>0</v>
      </c>
      <c r="N94">
        <v>7.2799999999999896</v>
      </c>
      <c r="O94" s="11">
        <v>-1.11899649226016E-12</v>
      </c>
      <c r="Q94">
        <v>16.851851851851801</v>
      </c>
      <c r="R94">
        <v>0.22880298941699401</v>
      </c>
      <c r="T94">
        <v>26.962962962962902</v>
      </c>
      <c r="U94">
        <v>1.3144599078141099</v>
      </c>
    </row>
    <row r="95" spans="1:21" x14ac:dyDescent="0.3">
      <c r="A95">
        <v>7.36</v>
      </c>
      <c r="B95" s="11">
        <v>-1.13E-12</v>
      </c>
      <c r="D95">
        <f t="shared" si="3"/>
        <v>7.3600000000000011E-9</v>
      </c>
      <c r="E95">
        <f t="shared" si="4"/>
        <v>0</v>
      </c>
      <c r="N95">
        <v>7.3599999999999897</v>
      </c>
      <c r="O95" s="11">
        <v>-1.13129315701027E-12</v>
      </c>
      <c r="Q95">
        <v>17.037037037036999</v>
      </c>
      <c r="R95">
        <v>0.25000420537527002</v>
      </c>
      <c r="T95">
        <v>27.259259259259199</v>
      </c>
      <c r="U95">
        <v>1.33034530669797</v>
      </c>
    </row>
    <row r="96" spans="1:21" x14ac:dyDescent="0.3">
      <c r="A96">
        <v>7.44</v>
      </c>
      <c r="B96" s="11">
        <v>-1.14E-12</v>
      </c>
      <c r="D96">
        <f t="shared" si="3"/>
        <v>7.4400000000000008E-9</v>
      </c>
      <c r="E96">
        <f t="shared" si="4"/>
        <v>0</v>
      </c>
      <c r="N96">
        <v>7.4399999999999897</v>
      </c>
      <c r="O96" s="11">
        <v>-1.14358982176039E-12</v>
      </c>
      <c r="Q96">
        <v>17.2222222222222</v>
      </c>
      <c r="R96">
        <v>0.27182594472744698</v>
      </c>
      <c r="T96">
        <v>27.5555555555555</v>
      </c>
      <c r="U96">
        <v>1.34464216569344</v>
      </c>
    </row>
    <row r="97" spans="1:21" x14ac:dyDescent="0.3">
      <c r="A97">
        <v>7.52</v>
      </c>
      <c r="B97" s="11">
        <v>-1.1599999999999999E-12</v>
      </c>
      <c r="D97">
        <f t="shared" si="3"/>
        <v>7.5200000000000005E-9</v>
      </c>
      <c r="E97">
        <f t="shared" si="4"/>
        <v>0</v>
      </c>
      <c r="N97">
        <v>7.5199999999999898</v>
      </c>
      <c r="O97" s="11">
        <v>-1.1558864865105E-12</v>
      </c>
      <c r="Q97">
        <v>17.407407407407302</v>
      </c>
      <c r="R97">
        <v>0.294268207473524</v>
      </c>
      <c r="T97">
        <v>27.851851851851801</v>
      </c>
      <c r="U97">
        <v>1.35735048480053</v>
      </c>
    </row>
    <row r="98" spans="1:21" x14ac:dyDescent="0.3">
      <c r="A98">
        <v>7.6</v>
      </c>
      <c r="B98" s="11">
        <v>-1.1700000000000001E-12</v>
      </c>
      <c r="D98">
        <f t="shared" si="3"/>
        <v>7.6000000000000002E-9</v>
      </c>
      <c r="E98">
        <f t="shared" si="4"/>
        <v>0</v>
      </c>
      <c r="N98">
        <v>7.5999999999999899</v>
      </c>
      <c r="O98" s="11">
        <v>-1.1681831512606099E-12</v>
      </c>
      <c r="Q98">
        <v>17.592592592592499</v>
      </c>
      <c r="R98">
        <v>0.31733099361350198</v>
      </c>
      <c r="T98">
        <v>28.148148148148099</v>
      </c>
      <c r="U98">
        <v>1.3684702640192301</v>
      </c>
    </row>
    <row r="99" spans="1:21" x14ac:dyDescent="0.3">
      <c r="A99">
        <v>7.68</v>
      </c>
      <c r="B99" s="11">
        <v>-1.18E-12</v>
      </c>
      <c r="D99">
        <f t="shared" si="3"/>
        <v>7.6799999999999999E-9</v>
      </c>
      <c r="E99">
        <f t="shared" ref="E99:E127" si="5">IF(D99&lt;=$I$4,0,IF($I$4&lt;A99&lt;=$I$4+$I$8,($I$9*$I$6)/(2*$I$10)*(A99-$I$4)^2))</f>
        <v>0</v>
      </c>
      <c r="N99">
        <v>7.6799999999999899</v>
      </c>
      <c r="O99" s="11">
        <v>-1.18047981601072E-12</v>
      </c>
      <c r="Q99">
        <v>17.7777777777777</v>
      </c>
      <c r="R99">
        <v>0.34101430314738101</v>
      </c>
      <c r="T99">
        <v>28.4444444444444</v>
      </c>
      <c r="U99">
        <v>1.3780015033495501</v>
      </c>
    </row>
    <row r="100" spans="1:21" x14ac:dyDescent="0.3">
      <c r="A100">
        <v>7.76</v>
      </c>
      <c r="B100" s="11">
        <v>-1.19E-12</v>
      </c>
      <c r="D100">
        <f t="shared" si="3"/>
        <v>7.7599999999999997E-9</v>
      </c>
      <c r="E100">
        <f t="shared" si="5"/>
        <v>0</v>
      </c>
      <c r="N100">
        <v>7.75999999999999</v>
      </c>
      <c r="O100" s="11">
        <v>-1.19277648076083E-12</v>
      </c>
      <c r="Q100">
        <v>17.962962962962902</v>
      </c>
      <c r="R100">
        <v>0.36531813607516</v>
      </c>
      <c r="T100">
        <v>28.740740740740701</v>
      </c>
      <c r="U100">
        <v>1.3859442027914799</v>
      </c>
    </row>
    <row r="101" spans="1:21" x14ac:dyDescent="0.3">
      <c r="A101">
        <v>7.84</v>
      </c>
      <c r="B101" s="11">
        <v>-1.2100000000000001E-12</v>
      </c>
      <c r="D101">
        <f t="shared" si="3"/>
        <v>7.8400000000000011E-9</v>
      </c>
      <c r="E101">
        <f t="shared" si="5"/>
        <v>0</v>
      </c>
      <c r="N101">
        <v>7.8399999999999901</v>
      </c>
      <c r="O101" s="11">
        <v>-1.2050731455109399E-12</v>
      </c>
      <c r="Q101">
        <v>18.148148148148099</v>
      </c>
      <c r="R101">
        <v>0.390242492396841</v>
      </c>
      <c r="T101">
        <v>29.037037037036999</v>
      </c>
      <c r="U101">
        <v>1.39229836234502</v>
      </c>
    </row>
    <row r="102" spans="1:21" x14ac:dyDescent="0.3">
      <c r="A102">
        <v>7.92</v>
      </c>
      <c r="B102" s="11">
        <v>-1.2200000000000001E-12</v>
      </c>
      <c r="D102">
        <f t="shared" si="3"/>
        <v>7.9200000000000008E-9</v>
      </c>
      <c r="E102">
        <f t="shared" si="5"/>
        <v>0</v>
      </c>
      <c r="N102">
        <v>7.9199999999999902</v>
      </c>
      <c r="O102" s="11">
        <v>-1.21736981026106E-12</v>
      </c>
      <c r="Q102">
        <v>18.3333333333333</v>
      </c>
      <c r="R102">
        <v>0.415787372112422</v>
      </c>
      <c r="T102">
        <v>29.3333333333333</v>
      </c>
      <c r="U102">
        <v>1.39706398201018</v>
      </c>
    </row>
    <row r="103" spans="1:21" x14ac:dyDescent="0.3">
      <c r="A103">
        <v>8</v>
      </c>
      <c r="B103" s="11">
        <v>-1.23E-12</v>
      </c>
      <c r="D103">
        <f t="shared" si="3"/>
        <v>8.0000000000000005E-9</v>
      </c>
      <c r="E103">
        <f t="shared" si="5"/>
        <v>0</v>
      </c>
      <c r="N103">
        <v>7.9999999999999902</v>
      </c>
      <c r="O103" s="11">
        <v>-1.2296664750111699E-12</v>
      </c>
      <c r="Q103">
        <v>18.518518518518501</v>
      </c>
      <c r="R103">
        <v>0.44195277522190402</v>
      </c>
      <c r="T103">
        <v>29.629629629629601</v>
      </c>
      <c r="U103">
        <v>1.3985705863297899</v>
      </c>
    </row>
    <row r="104" spans="1:21" x14ac:dyDescent="0.3">
      <c r="A104">
        <v>8.08</v>
      </c>
      <c r="B104" s="11">
        <v>-1.24E-12</v>
      </c>
      <c r="D104">
        <f t="shared" si="3"/>
        <v>8.0800000000000002E-9</v>
      </c>
      <c r="E104">
        <f t="shared" si="5"/>
        <v>0</v>
      </c>
      <c r="N104">
        <v>8.0799999999999894</v>
      </c>
      <c r="O104" s="11">
        <v>-1.24196313976128E-12</v>
      </c>
      <c r="Q104">
        <v>18.703703703703599</v>
      </c>
      <c r="R104">
        <v>0.46873870172528598</v>
      </c>
      <c r="T104">
        <v>29.925925925925899</v>
      </c>
      <c r="U104">
        <v>1.39981243400134</v>
      </c>
    </row>
    <row r="105" spans="1:21" x14ac:dyDescent="0.3">
      <c r="A105">
        <v>8.16</v>
      </c>
      <c r="B105" s="11">
        <v>-1.2499999999999999E-12</v>
      </c>
      <c r="D105">
        <f t="shared" si="3"/>
        <v>8.1599999999999999E-9</v>
      </c>
      <c r="E105">
        <f t="shared" si="5"/>
        <v>0</v>
      </c>
      <c r="N105">
        <v>8.1599999999999895</v>
      </c>
      <c r="O105" s="11">
        <v>-1.25425980451139E-12</v>
      </c>
      <c r="Q105">
        <v>18.8888888888888</v>
      </c>
      <c r="R105">
        <v>0.496145151622569</v>
      </c>
      <c r="T105">
        <v>30.2222222222222</v>
      </c>
      <c r="U105">
        <v>1.4007895250248199</v>
      </c>
    </row>
    <row r="106" spans="1:21" x14ac:dyDescent="0.3">
      <c r="A106">
        <v>8.24</v>
      </c>
      <c r="B106" s="11">
        <v>-1.27E-12</v>
      </c>
      <c r="D106">
        <f t="shared" si="3"/>
        <v>8.2400000000000013E-9</v>
      </c>
      <c r="E106">
        <f t="shared" si="5"/>
        <v>0</v>
      </c>
      <c r="N106">
        <v>8.2399999999999896</v>
      </c>
      <c r="O106" s="11">
        <v>-1.2665564692614999E-12</v>
      </c>
      <c r="Q106">
        <v>19.074074074074002</v>
      </c>
      <c r="R106">
        <v>0.52417212491375298</v>
      </c>
      <c r="T106">
        <v>30.518518518518501</v>
      </c>
      <c r="U106">
        <v>1.40150185940024</v>
      </c>
    </row>
    <row r="107" spans="1:21" x14ac:dyDescent="0.3">
      <c r="A107">
        <v>8.32</v>
      </c>
      <c r="B107" s="11">
        <v>-1.28E-12</v>
      </c>
      <c r="D107">
        <f t="shared" si="3"/>
        <v>8.320000000000001E-9</v>
      </c>
      <c r="E107">
        <f t="shared" si="5"/>
        <v>0</v>
      </c>
      <c r="N107">
        <v>8.3199999999999896</v>
      </c>
      <c r="O107" s="11">
        <v>-1.2788531340116101E-12</v>
      </c>
      <c r="Q107">
        <v>19.259259259259199</v>
      </c>
      <c r="R107">
        <v>0.55281962159883802</v>
      </c>
      <c r="T107">
        <v>30.814814814814799</v>
      </c>
      <c r="U107">
        <v>1.4019494371276</v>
      </c>
    </row>
    <row r="108" spans="1:21" x14ac:dyDescent="0.3">
      <c r="A108">
        <v>8.4</v>
      </c>
      <c r="B108" s="11">
        <v>-1.29E-12</v>
      </c>
      <c r="D108">
        <f t="shared" si="3"/>
        <v>8.4000000000000008E-9</v>
      </c>
      <c r="E108">
        <f t="shared" si="5"/>
        <v>0</v>
      </c>
      <c r="N108">
        <v>8.3999999999999897</v>
      </c>
      <c r="O108" s="11">
        <v>-1.29114979876172E-12</v>
      </c>
      <c r="Q108">
        <v>19.4444444444444</v>
      </c>
      <c r="R108">
        <v>0.582500767771155</v>
      </c>
      <c r="T108">
        <v>31.111111111111001</v>
      </c>
      <c r="U108">
        <v>1.40213225820689</v>
      </c>
    </row>
    <row r="109" spans="1:21" x14ac:dyDescent="0.3">
      <c r="A109">
        <v>8.48</v>
      </c>
      <c r="B109" s="11">
        <v>-1.2999999999999999E-12</v>
      </c>
      <c r="D109">
        <f t="shared" si="3"/>
        <v>8.4800000000000005E-9</v>
      </c>
      <c r="E109">
        <f t="shared" si="5"/>
        <v>0</v>
      </c>
      <c r="N109">
        <v>8.4799999999999898</v>
      </c>
      <c r="O109" s="11">
        <v>-1.30344646351184E-12</v>
      </c>
      <c r="Q109">
        <v>19.629629629629601</v>
      </c>
      <c r="R109">
        <v>0.61259559620607296</v>
      </c>
      <c r="T109">
        <v>31.407407407407302</v>
      </c>
      <c r="U109">
        <v>1.40205032263812</v>
      </c>
    </row>
    <row r="110" spans="1:21" x14ac:dyDescent="0.3">
      <c r="A110">
        <v>8.56</v>
      </c>
      <c r="B110" s="11">
        <v>-1.32E-12</v>
      </c>
      <c r="D110">
        <f t="shared" si="3"/>
        <v>8.5600000000000002E-9</v>
      </c>
      <c r="E110">
        <f t="shared" si="5"/>
        <v>0</v>
      </c>
      <c r="N110">
        <v>8.5599999999999898</v>
      </c>
      <c r="O110" s="11">
        <v>-1.31574312826195E-12</v>
      </c>
      <c r="Q110">
        <v>19.814814814814799</v>
      </c>
      <c r="R110">
        <v>0.64310410690359099</v>
      </c>
      <c r="T110">
        <v>31.703703703703599</v>
      </c>
      <c r="U110">
        <v>1.40170363042128</v>
      </c>
    </row>
    <row r="111" spans="1:21" x14ac:dyDescent="0.3">
      <c r="A111">
        <v>8.64</v>
      </c>
      <c r="B111" s="11">
        <v>-1.33E-12</v>
      </c>
      <c r="D111">
        <f t="shared" si="3"/>
        <v>8.6400000000000016E-9</v>
      </c>
      <c r="E111">
        <f t="shared" si="5"/>
        <v>0</v>
      </c>
      <c r="N111">
        <v>8.6399999999999899</v>
      </c>
      <c r="O111" s="11">
        <v>-1.3280397930120599E-12</v>
      </c>
      <c r="Q111">
        <v>19.999999999999901</v>
      </c>
      <c r="R111">
        <v>0.67402629986370999</v>
      </c>
      <c r="T111">
        <v>31.999999999999901</v>
      </c>
      <c r="U111">
        <v>1.4010921815563799</v>
      </c>
    </row>
    <row r="112" spans="1:21" x14ac:dyDescent="0.3">
      <c r="A112">
        <v>8.7200000000000006</v>
      </c>
      <c r="B112" s="11">
        <v>-1.3399999999999999E-12</v>
      </c>
      <c r="D112">
        <f t="shared" si="3"/>
        <v>8.7200000000000013E-9</v>
      </c>
      <c r="E112">
        <f t="shared" si="5"/>
        <v>0</v>
      </c>
      <c r="N112">
        <v>8.71999999999999</v>
      </c>
      <c r="O112" s="11">
        <v>-1.3403364577621701E-12</v>
      </c>
      <c r="Q112">
        <v>20.185185185185102</v>
      </c>
      <c r="R112">
        <v>0.70536217508642896</v>
      </c>
      <c r="T112">
        <v>32.296296296296198</v>
      </c>
      <c r="U112">
        <v>1.4010921815563799</v>
      </c>
    </row>
    <row r="113" spans="1:21" x14ac:dyDescent="0.3">
      <c r="A113">
        <v>8.8000000000000007</v>
      </c>
      <c r="B113" s="11">
        <v>-1.3499999999999999E-12</v>
      </c>
      <c r="D113">
        <f t="shared" si="3"/>
        <v>8.800000000000001E-9</v>
      </c>
      <c r="E113">
        <f t="shared" si="5"/>
        <v>0</v>
      </c>
      <c r="N113">
        <v>8.7999999999999901</v>
      </c>
      <c r="O113" s="11">
        <v>-1.35263312251228E-12</v>
      </c>
      <c r="Q113">
        <v>20.370370370370299</v>
      </c>
      <c r="R113">
        <v>0.737111732571748</v>
      </c>
      <c r="T113">
        <v>32.592592592592503</v>
      </c>
      <c r="U113">
        <v>1.4010921815563799</v>
      </c>
    </row>
    <row r="114" spans="1:21" x14ac:dyDescent="0.3">
      <c r="A114">
        <v>8.8800000000000008</v>
      </c>
      <c r="B114" s="11">
        <v>-1.3600000000000001E-12</v>
      </c>
      <c r="D114">
        <f t="shared" si="3"/>
        <v>8.8800000000000008E-9</v>
      </c>
      <c r="E114">
        <f t="shared" si="5"/>
        <v>0</v>
      </c>
      <c r="N114">
        <v>8.8799999999999901</v>
      </c>
      <c r="O114" s="11">
        <v>-1.3649297872623899E-12</v>
      </c>
      <c r="Q114">
        <v>20.5555555555555</v>
      </c>
      <c r="R114">
        <v>0.76927497231966802</v>
      </c>
      <c r="T114">
        <v>32.8888888888888</v>
      </c>
      <c r="U114">
        <v>1.4010921815563799</v>
      </c>
    </row>
    <row r="115" spans="1:21" x14ac:dyDescent="0.3">
      <c r="A115">
        <v>8.9600000000000009</v>
      </c>
      <c r="B115" s="11">
        <v>-1.38E-12</v>
      </c>
      <c r="D115">
        <f t="shared" si="3"/>
        <v>8.9600000000000021E-9</v>
      </c>
      <c r="E115">
        <f t="shared" si="5"/>
        <v>0</v>
      </c>
      <c r="N115">
        <v>8.9599999999999902</v>
      </c>
      <c r="O115" s="11">
        <v>-1.3772264520125001E-12</v>
      </c>
      <c r="Q115">
        <v>20.740740740740701</v>
      </c>
      <c r="R115">
        <v>0.801851894330189</v>
      </c>
      <c r="T115">
        <v>33.185185185185098</v>
      </c>
      <c r="U115">
        <v>1.4010921815563799</v>
      </c>
    </row>
    <row r="116" spans="1:21" x14ac:dyDescent="0.3">
      <c r="A116">
        <v>9.0399999999999991</v>
      </c>
      <c r="B116" s="11">
        <v>-1.3899999999999999E-12</v>
      </c>
      <c r="D116">
        <f t="shared" si="3"/>
        <v>9.0400000000000002E-9</v>
      </c>
      <c r="E116">
        <f t="shared" si="5"/>
        <v>0</v>
      </c>
      <c r="N116">
        <v>9.0399999999999903</v>
      </c>
      <c r="O116" s="11">
        <v>-1.38952311676261E-12</v>
      </c>
      <c r="Q116">
        <v>20.925925925925899</v>
      </c>
      <c r="R116">
        <v>0.83270569641581005</v>
      </c>
      <c r="T116">
        <v>33.481481481481403</v>
      </c>
      <c r="U116">
        <v>1.4010921815563799</v>
      </c>
    </row>
    <row r="117" spans="1:21" x14ac:dyDescent="0.3">
      <c r="A117">
        <v>9.1199999999999992</v>
      </c>
      <c r="B117" s="11">
        <v>-1.4000000000000001E-12</v>
      </c>
      <c r="D117">
        <f t="shared" si="3"/>
        <v>9.1199999999999999E-9</v>
      </c>
      <c r="E117">
        <f t="shared" si="5"/>
        <v>0</v>
      </c>
      <c r="N117">
        <v>9.1199999999999903</v>
      </c>
      <c r="O117" s="11">
        <v>-1.4018197815127301E-12</v>
      </c>
      <c r="Q117">
        <v>21.111111111111001</v>
      </c>
      <c r="R117">
        <v>0.86293897510753004</v>
      </c>
      <c r="T117">
        <v>33.7777777777777</v>
      </c>
      <c r="U117">
        <v>1.4010921815563799</v>
      </c>
    </row>
    <row r="118" spans="1:21" x14ac:dyDescent="0.3">
      <c r="A118">
        <v>9.1999999999999993</v>
      </c>
      <c r="B118" s="11">
        <v>-1.4100000000000001E-12</v>
      </c>
      <c r="D118">
        <f t="shared" si="3"/>
        <v>9.1999999999999997E-9</v>
      </c>
      <c r="E118">
        <f t="shared" si="5"/>
        <v>0</v>
      </c>
      <c r="N118">
        <v>9.1999999999999904</v>
      </c>
      <c r="O118" s="11">
        <v>-1.41411644626284E-12</v>
      </c>
      <c r="Q118">
        <v>21.296296296296202</v>
      </c>
      <c r="R118">
        <v>0.89255173040534996</v>
      </c>
      <c r="T118">
        <v>34.074074074073998</v>
      </c>
      <c r="U118">
        <v>1.4010921815563799</v>
      </c>
    </row>
    <row r="119" spans="1:21" x14ac:dyDescent="0.3">
      <c r="A119">
        <v>9.2799999999999994</v>
      </c>
      <c r="B119" s="11">
        <v>-1.43E-12</v>
      </c>
      <c r="D119">
        <f t="shared" si="3"/>
        <v>9.2799999999999994E-9</v>
      </c>
      <c r="E119">
        <f t="shared" si="5"/>
        <v>0</v>
      </c>
      <c r="N119">
        <v>9.2799999999999905</v>
      </c>
      <c r="O119" s="11">
        <v>-1.4264131110129499E-12</v>
      </c>
      <c r="Q119">
        <v>21.481481481481399</v>
      </c>
      <c r="R119">
        <v>0.92154396230926905</v>
      </c>
      <c r="T119">
        <v>34.370370370370303</v>
      </c>
      <c r="U119">
        <v>1.4010921815563799</v>
      </c>
    </row>
    <row r="120" spans="1:21" x14ac:dyDescent="0.3">
      <c r="A120">
        <v>9.36</v>
      </c>
      <c r="B120" s="11">
        <v>-1.4399999999999999E-12</v>
      </c>
      <c r="D120">
        <f t="shared" si="3"/>
        <v>9.3600000000000008E-9</v>
      </c>
      <c r="E120">
        <f t="shared" si="5"/>
        <v>0</v>
      </c>
      <c r="N120">
        <v>9.3599999999999905</v>
      </c>
      <c r="O120" s="11">
        <v>-1.4387097757630601E-12</v>
      </c>
      <c r="Q120">
        <v>21.6666666666666</v>
      </c>
      <c r="R120">
        <v>0.94991567081928696</v>
      </c>
      <c r="T120">
        <v>34.6666666666666</v>
      </c>
      <c r="U120">
        <v>1.4010921815563799</v>
      </c>
    </row>
    <row r="121" spans="1:21" x14ac:dyDescent="0.3">
      <c r="A121">
        <v>9.44</v>
      </c>
      <c r="B121" s="11">
        <v>-1.4500000000000001E-12</v>
      </c>
      <c r="D121">
        <f t="shared" si="3"/>
        <v>9.4400000000000005E-9</v>
      </c>
      <c r="E121">
        <f t="shared" si="5"/>
        <v>0</v>
      </c>
      <c r="N121">
        <v>9.4399999999999906</v>
      </c>
      <c r="O121" s="11">
        <v>-1.45100644051317E-12</v>
      </c>
      <c r="Q121">
        <v>21.851851851851801</v>
      </c>
      <c r="R121">
        <v>0.97766685593540403</v>
      </c>
      <c r="T121">
        <v>34.962962962962898</v>
      </c>
      <c r="U121">
        <v>1.4010921815563799</v>
      </c>
    </row>
    <row r="122" spans="1:21" x14ac:dyDescent="0.3">
      <c r="A122">
        <v>9.52</v>
      </c>
      <c r="B122" s="11">
        <v>-1.46E-12</v>
      </c>
      <c r="D122">
        <f t="shared" si="3"/>
        <v>9.5200000000000002E-9</v>
      </c>
      <c r="E122">
        <f t="shared" si="5"/>
        <v>0</v>
      </c>
      <c r="N122">
        <v>9.5199999999999907</v>
      </c>
      <c r="O122" s="11">
        <v>-1.46330310526328E-12</v>
      </c>
      <c r="Q122">
        <v>22.037037037036999</v>
      </c>
      <c r="R122">
        <v>1.00479751765762</v>
      </c>
      <c r="T122">
        <v>35.259259259259203</v>
      </c>
      <c r="U122">
        <v>1.4010921815563799</v>
      </c>
    </row>
    <row r="123" spans="1:21" x14ac:dyDescent="0.3">
      <c r="A123">
        <v>9.6</v>
      </c>
      <c r="B123" s="11">
        <v>-1.48E-12</v>
      </c>
      <c r="D123">
        <f t="shared" si="3"/>
        <v>9.5999999999999999E-9</v>
      </c>
      <c r="E123">
        <f t="shared" si="5"/>
        <v>0</v>
      </c>
      <c r="N123">
        <v>9.5999999999999908</v>
      </c>
      <c r="O123" s="11">
        <v>-1.4755997700133899E-12</v>
      </c>
      <c r="Q123">
        <v>22.2222222222222</v>
      </c>
      <c r="R123">
        <v>1.03130765598593</v>
      </c>
      <c r="T123">
        <v>35.5555555555555</v>
      </c>
      <c r="U123">
        <v>1.4010921815563799</v>
      </c>
    </row>
    <row r="124" spans="1:21" x14ac:dyDescent="0.3">
      <c r="A124">
        <v>9.68</v>
      </c>
      <c r="B124" s="11">
        <v>-1.4899999999999999E-12</v>
      </c>
      <c r="D124">
        <f t="shared" si="3"/>
        <v>9.6799999999999997E-9</v>
      </c>
      <c r="E124">
        <f t="shared" si="5"/>
        <v>0</v>
      </c>
      <c r="N124">
        <v>9.6799999999999908</v>
      </c>
      <c r="O124" s="11">
        <v>-1.4878964347635E-12</v>
      </c>
      <c r="Q124">
        <v>22.407407407407302</v>
      </c>
      <c r="R124">
        <v>1.0571972709203501</v>
      </c>
      <c r="T124">
        <v>35.851851851851798</v>
      </c>
      <c r="U124">
        <v>1.4010921815563799</v>
      </c>
    </row>
    <row r="125" spans="1:21" x14ac:dyDescent="0.3">
      <c r="A125">
        <v>9.76</v>
      </c>
      <c r="B125" s="11">
        <v>-1.5000000000000001E-12</v>
      </c>
      <c r="D125">
        <f t="shared" si="3"/>
        <v>9.760000000000001E-9</v>
      </c>
      <c r="E125">
        <f t="shared" si="5"/>
        <v>0</v>
      </c>
      <c r="N125">
        <v>9.7599999999999891</v>
      </c>
      <c r="O125" s="11">
        <v>-1.50019309951361E-12</v>
      </c>
      <c r="Q125">
        <v>22.592592592592499</v>
      </c>
      <c r="R125">
        <v>1.0824663624608599</v>
      </c>
      <c r="T125">
        <v>36.148148148148103</v>
      </c>
      <c r="U125">
        <v>1.4010921815563799</v>
      </c>
    </row>
    <row r="126" spans="1:21" x14ac:dyDescent="0.3">
      <c r="A126">
        <v>9.84</v>
      </c>
      <c r="B126" s="11">
        <v>-1.51E-12</v>
      </c>
      <c r="D126">
        <f t="shared" si="3"/>
        <v>9.8400000000000008E-9</v>
      </c>
      <c r="E126">
        <f t="shared" si="5"/>
        <v>0</v>
      </c>
      <c r="N126">
        <v>9.8399999999999892</v>
      </c>
      <c r="O126" s="11">
        <v>-1.51248976426373E-12</v>
      </c>
      <c r="Q126">
        <v>22.7777777777777</v>
      </c>
      <c r="R126">
        <v>1.1071149306074699</v>
      </c>
      <c r="T126">
        <v>36.4444444444444</v>
      </c>
      <c r="U126">
        <v>1.4010921815563799</v>
      </c>
    </row>
    <row r="127" spans="1:21" x14ac:dyDescent="0.3">
      <c r="A127">
        <v>9.92</v>
      </c>
      <c r="B127" s="11">
        <v>-1.52E-12</v>
      </c>
      <c r="D127">
        <f t="shared" si="3"/>
        <v>9.9200000000000005E-9</v>
      </c>
      <c r="E127">
        <f t="shared" si="5"/>
        <v>0</v>
      </c>
      <c r="N127">
        <v>9.9199999999999893</v>
      </c>
      <c r="O127" s="11">
        <v>-1.52478642901384E-12</v>
      </c>
      <c r="Q127">
        <v>22.962962962962902</v>
      </c>
      <c r="R127">
        <v>1.13114297536019</v>
      </c>
      <c r="T127">
        <v>36.740740740740698</v>
      </c>
      <c r="U127">
        <v>1.4010921815563799</v>
      </c>
    </row>
    <row r="128" spans="1:21" x14ac:dyDescent="0.3">
      <c r="A128">
        <v>10</v>
      </c>
      <c r="B128" s="11">
        <v>-1.5399999999999999E-12</v>
      </c>
      <c r="D128">
        <f t="shared" si="3"/>
        <v>1E-8</v>
      </c>
      <c r="E128">
        <f>IF(D128&lt;=$I$4,0,IF($I$4&lt;D128&lt;=$I$4+$I$8,($I$9*$I$6)/(2*$I$10)*(D128-$I$4)^2))</f>
        <v>0</v>
      </c>
      <c r="N128">
        <v>9.9999999999999893</v>
      </c>
      <c r="O128" s="11">
        <v>-1.5370830937639499E-12</v>
      </c>
      <c r="Q128">
        <v>23.148148148148099</v>
      </c>
      <c r="R128">
        <v>1.1545504967189999</v>
      </c>
      <c r="T128">
        <v>37.037037037037003</v>
      </c>
      <c r="U128">
        <v>1.4010921815563799</v>
      </c>
    </row>
    <row r="129" spans="1:21" x14ac:dyDescent="0.3">
      <c r="A129">
        <v>10.08</v>
      </c>
      <c r="B129">
        <v>5.7899999999999998E-5</v>
      </c>
      <c r="D129">
        <f t="shared" si="3"/>
        <v>1.008E-8</v>
      </c>
      <c r="E129" s="19">
        <f>(($I$9*$I$6)/(2*$I$10))*(D129-$I$4)^2</f>
        <v>5.7904410193440026E-5</v>
      </c>
      <c r="N129">
        <v>10.079999999999901</v>
      </c>
      <c r="O129" s="11">
        <v>5.7902277382289002E-5</v>
      </c>
      <c r="Q129">
        <v>23.3333333333333</v>
      </c>
      <c r="R129">
        <v>1.1773374946839099</v>
      </c>
      <c r="T129">
        <v>37.3333333333333</v>
      </c>
      <c r="U129">
        <v>1.4010921815563799</v>
      </c>
    </row>
    <row r="130" spans="1:21" x14ac:dyDescent="0.3">
      <c r="A130">
        <v>10.16</v>
      </c>
      <c r="B130">
        <v>2.32E-4</v>
      </c>
      <c r="D130">
        <f t="shared" si="3"/>
        <v>1.0160000000000001E-8</v>
      </c>
      <c r="E130">
        <f t="shared" ref="E130:E193" si="6">(($I$9*$I$6)/(2*$I$10))*(D130-$I$4)^2</f>
        <v>2.3161764077376487E-4</v>
      </c>
      <c r="N130">
        <v>10.159999999999901</v>
      </c>
      <c r="O130" s="11">
        <v>2.3160911416499801E-4</v>
      </c>
      <c r="Q130">
        <v>23.518518518518501</v>
      </c>
      <c r="R130">
        <v>1.1995039692549201</v>
      </c>
      <c r="T130">
        <v>37.629629629629598</v>
      </c>
      <c r="U130">
        <v>1.4010921815563799</v>
      </c>
    </row>
    <row r="131" spans="1:21" x14ac:dyDescent="0.3">
      <c r="A131">
        <v>10.24</v>
      </c>
      <c r="B131">
        <v>5.2099999999999998E-4</v>
      </c>
      <c r="D131">
        <f t="shared" ref="D131:D194" si="7">A131*0.000000001</f>
        <v>1.0240000000000001E-8</v>
      </c>
      <c r="E131">
        <f t="shared" si="6"/>
        <v>5.2113969174096735E-4</v>
      </c>
      <c r="N131">
        <v>10.239999999999901</v>
      </c>
      <c r="O131" s="11">
        <v>5.2112050881104497E-4</v>
      </c>
      <c r="Q131">
        <v>23.703703703703599</v>
      </c>
      <c r="R131">
        <v>1.22104992043203</v>
      </c>
      <c r="T131">
        <v>37.925925925925903</v>
      </c>
      <c r="U131">
        <v>1.4010921815563799</v>
      </c>
    </row>
    <row r="132" spans="1:21" x14ac:dyDescent="0.3">
      <c r="A132">
        <v>10.32</v>
      </c>
      <c r="B132">
        <v>9.2599999999999996E-4</v>
      </c>
      <c r="D132">
        <f t="shared" si="7"/>
        <v>1.0320000000000001E-8</v>
      </c>
      <c r="E132">
        <f t="shared" si="6"/>
        <v>9.2647056309504996E-4</v>
      </c>
      <c r="N132">
        <v>10.319999999999901</v>
      </c>
      <c r="O132" s="11">
        <v>9.2643646132042901E-4</v>
      </c>
      <c r="Q132">
        <v>23.8888888888888</v>
      </c>
      <c r="R132">
        <v>1.24197534821524</v>
      </c>
      <c r="T132">
        <v>38.2222222222222</v>
      </c>
      <c r="U132">
        <v>1.4010921815563799</v>
      </c>
    </row>
    <row r="133" spans="1:21" x14ac:dyDescent="0.3">
      <c r="A133">
        <v>10.4</v>
      </c>
      <c r="B133">
        <v>1.4475569999999999E-3</v>
      </c>
      <c r="D133">
        <f t="shared" si="7"/>
        <v>1.04E-8</v>
      </c>
      <c r="E133">
        <f t="shared" si="6"/>
        <v>1.4476102548360125E-3</v>
      </c>
      <c r="N133">
        <v>10.399999999999901</v>
      </c>
      <c r="O133">
        <v>1.44755697169315E-3</v>
      </c>
      <c r="Q133">
        <v>24.074074074074002</v>
      </c>
      <c r="R133">
        <v>1.26228025260455</v>
      </c>
      <c r="T133">
        <v>38.518518518518498</v>
      </c>
      <c r="U133">
        <v>1.4010921815563699</v>
      </c>
    </row>
    <row r="134" spans="1:21" x14ac:dyDescent="0.3">
      <c r="A134">
        <v>10.48</v>
      </c>
      <c r="B134">
        <v>2.0844819999999999E-3</v>
      </c>
      <c r="D134">
        <f t="shared" si="7"/>
        <v>1.0480000000000002E-8</v>
      </c>
      <c r="E134">
        <f t="shared" si="6"/>
        <v>2.0845587669638694E-3</v>
      </c>
      <c r="N134">
        <v>10.479999999999899</v>
      </c>
      <c r="O134">
        <v>2.0844820399292001E-3</v>
      </c>
      <c r="Q134">
        <v>24.259259259259199</v>
      </c>
      <c r="R134">
        <v>1.2819646335999499</v>
      </c>
      <c r="T134">
        <v>38.814814814814802</v>
      </c>
      <c r="U134">
        <v>1.4010921815563699</v>
      </c>
    </row>
    <row r="135" spans="1:21" x14ac:dyDescent="0.3">
      <c r="A135">
        <v>10.56</v>
      </c>
      <c r="B135">
        <v>2.837212E-3</v>
      </c>
      <c r="D135">
        <f t="shared" si="7"/>
        <v>1.0560000000000002E-8</v>
      </c>
      <c r="E135">
        <f t="shared" si="6"/>
        <v>2.8373160994785949E-3</v>
      </c>
      <c r="N135">
        <v>10.559999999999899</v>
      </c>
      <c r="O135">
        <v>2.83721166602859E-3</v>
      </c>
      <c r="Q135">
        <v>24.4444444444444</v>
      </c>
      <c r="R135">
        <v>1.30102849120146</v>
      </c>
      <c r="T135">
        <v>39.111111111111001</v>
      </c>
      <c r="U135">
        <v>1.4010921815563699</v>
      </c>
    </row>
    <row r="136" spans="1:21" x14ac:dyDescent="0.3">
      <c r="A136">
        <v>10.64</v>
      </c>
      <c r="B136">
        <v>3.7057460000000002E-3</v>
      </c>
      <c r="D136">
        <f t="shared" si="7"/>
        <v>1.0640000000000001E-8</v>
      </c>
      <c r="E136">
        <f t="shared" si="6"/>
        <v>3.7058822523801998E-3</v>
      </c>
      <c r="N136">
        <v>10.639999999999899</v>
      </c>
      <c r="O136">
        <v>3.7057458499913098E-3</v>
      </c>
      <c r="Q136">
        <v>24.629629629629601</v>
      </c>
      <c r="R136">
        <v>1.31947182540907</v>
      </c>
      <c r="T136">
        <v>39.407407407407398</v>
      </c>
      <c r="U136">
        <v>1.4010921815563699</v>
      </c>
    </row>
    <row r="137" spans="1:21" x14ac:dyDescent="0.3">
      <c r="A137">
        <v>10.72</v>
      </c>
      <c r="B137">
        <v>4.6900850000000001E-3</v>
      </c>
      <c r="D137">
        <f t="shared" si="7"/>
        <v>1.0720000000000001E-8</v>
      </c>
      <c r="E137">
        <f t="shared" si="6"/>
        <v>4.6902572256686849E-3</v>
      </c>
      <c r="N137">
        <v>10.719999999999899</v>
      </c>
      <c r="O137">
        <v>4.69008459181737E-3</v>
      </c>
      <c r="Q137">
        <v>24.814814814814799</v>
      </c>
      <c r="R137">
        <v>1.33729463622277</v>
      </c>
      <c r="T137">
        <v>39.703703703703603</v>
      </c>
      <c r="U137">
        <v>1.4010921815563699</v>
      </c>
    </row>
    <row r="138" spans="1:21" x14ac:dyDescent="0.3">
      <c r="A138">
        <v>10.8</v>
      </c>
      <c r="B138">
        <v>5.7902279999999997E-3</v>
      </c>
      <c r="D138">
        <f t="shared" si="7"/>
        <v>1.0800000000000001E-8</v>
      </c>
      <c r="E138">
        <f t="shared" si="6"/>
        <v>5.7904410193440501E-3</v>
      </c>
      <c r="N138">
        <v>10.799999999999899</v>
      </c>
      <c r="O138">
        <v>5.7902278915067697E-3</v>
      </c>
      <c r="Q138">
        <v>24.999999999999901</v>
      </c>
      <c r="R138">
        <v>1.3544969236425699</v>
      </c>
      <c r="T138">
        <v>39.999999999999901</v>
      </c>
      <c r="U138">
        <v>1.4010921815563699</v>
      </c>
    </row>
    <row r="139" spans="1:21" x14ac:dyDescent="0.3">
      <c r="A139">
        <v>10.88</v>
      </c>
      <c r="B139">
        <v>7.0061760000000002E-3</v>
      </c>
      <c r="D139">
        <f t="shared" si="7"/>
        <v>1.0880000000000002E-8</v>
      </c>
      <c r="E139">
        <f t="shared" si="6"/>
        <v>7.0064336334063216E-3</v>
      </c>
      <c r="N139">
        <v>10.8799999999999</v>
      </c>
      <c r="O139">
        <v>7.0061757490595096E-3</v>
      </c>
      <c r="Q139">
        <v>25.185185185185102</v>
      </c>
      <c r="R139">
        <v>1.37107868766848</v>
      </c>
    </row>
    <row r="140" spans="1:21" x14ac:dyDescent="0.3">
      <c r="A140">
        <v>10.96</v>
      </c>
      <c r="B140">
        <v>8.3379279999999997E-3</v>
      </c>
      <c r="D140">
        <f t="shared" si="7"/>
        <v>1.0960000000000002E-8</v>
      </c>
      <c r="E140">
        <f t="shared" si="6"/>
        <v>8.3382350678554498E-3</v>
      </c>
      <c r="N140">
        <v>10.9599999999999</v>
      </c>
      <c r="O140">
        <v>8.3379281644755908E-3</v>
      </c>
      <c r="Q140">
        <v>25.370370370370299</v>
      </c>
      <c r="R140">
        <v>1.38703992830048</v>
      </c>
    </row>
    <row r="141" spans="1:21" x14ac:dyDescent="0.3">
      <c r="A141">
        <v>11.04</v>
      </c>
      <c r="B141">
        <v>9.785485E-3</v>
      </c>
      <c r="D141">
        <f t="shared" si="7"/>
        <v>1.104E-8</v>
      </c>
      <c r="E141">
        <f t="shared" si="6"/>
        <v>9.785845322691427E-3</v>
      </c>
      <c r="N141">
        <v>11.0399999999999</v>
      </c>
      <c r="O141">
        <v>9.7854851377550001E-3</v>
      </c>
      <c r="Q141">
        <v>25.5555555555555</v>
      </c>
      <c r="R141">
        <v>1.4023806455385801</v>
      </c>
    </row>
    <row r="142" spans="1:21" x14ac:dyDescent="0.3">
      <c r="A142">
        <v>11.12</v>
      </c>
      <c r="B142">
        <v>1.1348847E-2</v>
      </c>
      <c r="D142">
        <f t="shared" si="7"/>
        <v>1.112E-8</v>
      </c>
      <c r="E142">
        <f t="shared" si="6"/>
        <v>1.134926439791431E-2</v>
      </c>
      <c r="N142">
        <v>11.1199999999999</v>
      </c>
      <c r="O142">
        <v>1.13488466688977E-2</v>
      </c>
      <c r="Q142">
        <v>25.740740740740701</v>
      </c>
      <c r="R142">
        <v>1.41710083938278</v>
      </c>
    </row>
    <row r="143" spans="1:21" x14ac:dyDescent="0.3">
      <c r="A143">
        <v>11.2</v>
      </c>
      <c r="B143">
        <v>1.3028013E-2</v>
      </c>
      <c r="D143">
        <f t="shared" si="7"/>
        <v>1.1199999999999999E-8</v>
      </c>
      <c r="E143">
        <f t="shared" si="6"/>
        <v>1.3028492293524076E-2</v>
      </c>
      <c r="N143">
        <v>11.1999999999999</v>
      </c>
      <c r="O143">
        <v>1.3028012757903801E-2</v>
      </c>
      <c r="Q143">
        <v>25.925925925925899</v>
      </c>
      <c r="R143">
        <v>1.43120050983308</v>
      </c>
    </row>
    <row r="144" spans="1:21" x14ac:dyDescent="0.3">
      <c r="A144">
        <v>11.28</v>
      </c>
      <c r="B144">
        <v>1.4822983E-2</v>
      </c>
      <c r="D144">
        <f t="shared" si="7"/>
        <v>1.1280000000000001E-8</v>
      </c>
      <c r="E144">
        <f t="shared" si="6"/>
        <v>1.4823529009520761E-2</v>
      </c>
      <c r="N144">
        <v>11.2799999999999</v>
      </c>
      <c r="O144">
        <v>1.4822983404773201E-2</v>
      </c>
      <c r="Q144">
        <v>26.1111111111111</v>
      </c>
      <c r="R144">
        <v>1.44467965688948</v>
      </c>
    </row>
    <row r="145" spans="1:18" x14ac:dyDescent="0.3">
      <c r="A145">
        <v>11.36</v>
      </c>
      <c r="B145">
        <v>1.6733759000000001E-2</v>
      </c>
      <c r="D145">
        <f t="shared" si="7"/>
        <v>1.136E-8</v>
      </c>
      <c r="E145">
        <f t="shared" si="6"/>
        <v>1.6734374545904287E-2</v>
      </c>
      <c r="N145">
        <v>11.3599999999999</v>
      </c>
      <c r="O145">
        <v>1.6733758609505999E-2</v>
      </c>
      <c r="Q145">
        <v>26.296296296296202</v>
      </c>
      <c r="R145">
        <v>1.4575382805519801</v>
      </c>
    </row>
    <row r="146" spans="1:18" x14ac:dyDescent="0.3">
      <c r="A146">
        <v>11.44</v>
      </c>
      <c r="B146">
        <v>1.8760338000000001E-2</v>
      </c>
      <c r="D146">
        <f t="shared" si="7"/>
        <v>1.144E-8</v>
      </c>
      <c r="E146">
        <f t="shared" si="6"/>
        <v>1.8761028902674694E-2</v>
      </c>
      <c r="N146">
        <v>11.4399999999999</v>
      </c>
      <c r="O146">
        <v>1.8760338372102101E-2</v>
      </c>
      <c r="Q146">
        <v>26.481481481481399</v>
      </c>
      <c r="R146">
        <v>1.4697763808205799</v>
      </c>
    </row>
    <row r="147" spans="1:18" x14ac:dyDescent="0.3">
      <c r="A147">
        <v>11.52</v>
      </c>
      <c r="B147">
        <v>2.0902723000000002E-2</v>
      </c>
      <c r="D147">
        <f t="shared" si="7"/>
        <v>1.152E-8</v>
      </c>
      <c r="E147">
        <f t="shared" si="6"/>
        <v>2.0903492079831987E-2</v>
      </c>
      <c r="N147">
        <v>11.5199999999999</v>
      </c>
      <c r="O147">
        <v>2.09027226925616E-2</v>
      </c>
      <c r="Q147">
        <v>26.6666666666666</v>
      </c>
      <c r="R147">
        <v>1.4813939576952799</v>
      </c>
    </row>
    <row r="148" spans="1:18" x14ac:dyDescent="0.3">
      <c r="A148">
        <v>11.6</v>
      </c>
      <c r="B148">
        <v>2.3160911999999999E-2</v>
      </c>
      <c r="D148">
        <f t="shared" si="7"/>
        <v>1.16E-8</v>
      </c>
      <c r="E148">
        <f t="shared" si="6"/>
        <v>2.3161764077376155E-2</v>
      </c>
      <c r="N148">
        <v>11.5999999999999</v>
      </c>
      <c r="O148">
        <v>2.3160911570884301E-2</v>
      </c>
      <c r="Q148">
        <v>26.851851851851801</v>
      </c>
      <c r="R148">
        <v>1.4923910111760701</v>
      </c>
    </row>
    <row r="149" spans="1:18" x14ac:dyDescent="0.3">
      <c r="A149">
        <v>11.68</v>
      </c>
      <c r="B149">
        <v>2.5534905E-2</v>
      </c>
      <c r="D149">
        <f t="shared" si="7"/>
        <v>1.1680000000000001E-8</v>
      </c>
      <c r="E149">
        <f t="shared" si="6"/>
        <v>2.553584489530725E-2</v>
      </c>
      <c r="N149">
        <v>11.6799999999999</v>
      </c>
      <c r="O149">
        <v>2.5534905007070501E-2</v>
      </c>
      <c r="Q149">
        <v>27.037037037036999</v>
      </c>
      <c r="R149">
        <v>1.50276754126297</v>
      </c>
    </row>
    <row r="150" spans="1:18" x14ac:dyDescent="0.3">
      <c r="A150">
        <v>11.76</v>
      </c>
      <c r="B150">
        <v>2.8024703000000002E-2</v>
      </c>
      <c r="D150">
        <f t="shared" si="7"/>
        <v>1.1760000000000001E-8</v>
      </c>
      <c r="E150">
        <f t="shared" si="6"/>
        <v>2.8025734533625182E-2</v>
      </c>
      <c r="N150">
        <v>11.7599999999999</v>
      </c>
      <c r="O150">
        <v>2.8024703001119901E-2</v>
      </c>
      <c r="Q150">
        <v>27.2222222222222</v>
      </c>
      <c r="R150">
        <v>1.51252354795596</v>
      </c>
    </row>
    <row r="151" spans="1:18" x14ac:dyDescent="0.3">
      <c r="A151">
        <v>11.84</v>
      </c>
      <c r="B151">
        <v>3.0630306E-2</v>
      </c>
      <c r="D151">
        <f t="shared" si="7"/>
        <v>1.184E-8</v>
      </c>
      <c r="E151">
        <f t="shared" si="6"/>
        <v>3.0631432992329993E-2</v>
      </c>
      <c r="N151">
        <v>11.8399999999999</v>
      </c>
      <c r="O151">
        <v>3.06303055530327E-2</v>
      </c>
      <c r="Q151">
        <v>27.407407407407302</v>
      </c>
      <c r="R151">
        <v>1.52165903125506</v>
      </c>
    </row>
    <row r="152" spans="1:18" x14ac:dyDescent="0.3">
      <c r="A152">
        <v>11.92</v>
      </c>
      <c r="B152">
        <v>3.3351712999999998E-2</v>
      </c>
      <c r="D152">
        <f t="shared" si="7"/>
        <v>1.192E-8</v>
      </c>
      <c r="E152">
        <f t="shared" si="6"/>
        <v>3.3352940271421681E-2</v>
      </c>
      <c r="N152">
        <v>11.9199999999999</v>
      </c>
      <c r="O152">
        <v>3.3351712662808897E-2</v>
      </c>
      <c r="Q152">
        <v>27.592592592592499</v>
      </c>
      <c r="R152">
        <v>1.5301739911602501</v>
      </c>
    </row>
    <row r="153" spans="1:18" x14ac:dyDescent="0.3">
      <c r="A153">
        <v>12</v>
      </c>
      <c r="B153">
        <v>3.6188923999999997E-2</v>
      </c>
      <c r="D153">
        <f t="shared" si="7"/>
        <v>1.2000000000000002E-8</v>
      </c>
      <c r="E153">
        <f t="shared" si="6"/>
        <v>3.6190256370900314E-2</v>
      </c>
      <c r="N153">
        <v>11.999999999999901</v>
      </c>
      <c r="O153">
        <v>3.6188924330448298E-2</v>
      </c>
      <c r="Q153">
        <v>27.7777777777777</v>
      </c>
      <c r="R153">
        <v>1.53806842767154</v>
      </c>
    </row>
    <row r="154" spans="1:18" x14ac:dyDescent="0.3">
      <c r="A154">
        <v>12.08</v>
      </c>
      <c r="B154">
        <v>3.9141941E-2</v>
      </c>
      <c r="D154">
        <f t="shared" si="7"/>
        <v>1.2080000000000001E-8</v>
      </c>
      <c r="E154">
        <f t="shared" si="6"/>
        <v>3.9143381290765764E-2</v>
      </c>
      <c r="N154">
        <v>12.079999999999901</v>
      </c>
      <c r="O154">
        <v>3.9141940555951098E-2</v>
      </c>
      <c r="Q154">
        <v>27.962962962962902</v>
      </c>
      <c r="R154">
        <v>1.54534234078893</v>
      </c>
    </row>
    <row r="155" spans="1:18" x14ac:dyDescent="0.3">
      <c r="A155">
        <v>12.16</v>
      </c>
      <c r="B155">
        <v>4.2210760999999999E-2</v>
      </c>
      <c r="D155">
        <f t="shared" si="7"/>
        <v>1.2160000000000001E-8</v>
      </c>
      <c r="E155">
        <f t="shared" si="6"/>
        <v>4.2212315031018105E-2</v>
      </c>
      <c r="N155">
        <v>12.159999999999901</v>
      </c>
      <c r="O155">
        <v>4.2210761339317303E-2</v>
      </c>
      <c r="Q155">
        <v>28.148148148148099</v>
      </c>
      <c r="R155">
        <v>1.5519957305124199</v>
      </c>
    </row>
    <row r="156" spans="1:18" x14ac:dyDescent="0.3">
      <c r="A156">
        <v>12.24</v>
      </c>
      <c r="B156">
        <v>4.5395387000000002E-2</v>
      </c>
      <c r="D156">
        <f t="shared" si="7"/>
        <v>1.2240000000000001E-8</v>
      </c>
      <c r="E156">
        <f t="shared" si="6"/>
        <v>4.5397057591657311E-2</v>
      </c>
      <c r="N156">
        <v>12.239999999999901</v>
      </c>
      <c r="O156">
        <v>4.5395386680546802E-2</v>
      </c>
      <c r="Q156">
        <v>28.3333333333333</v>
      </c>
      <c r="R156">
        <v>1.55802859684201</v>
      </c>
    </row>
    <row r="157" spans="1:18" x14ac:dyDescent="0.3">
      <c r="A157">
        <v>12.32</v>
      </c>
      <c r="B157">
        <v>4.8695817000000002E-2</v>
      </c>
      <c r="D157">
        <f t="shared" si="7"/>
        <v>1.232E-8</v>
      </c>
      <c r="E157">
        <f t="shared" si="6"/>
        <v>4.8697608972683409E-2</v>
      </c>
      <c r="N157">
        <v>12.319999999999901</v>
      </c>
      <c r="O157">
        <v>4.8695816579639603E-2</v>
      </c>
      <c r="Q157">
        <v>28.518518518518501</v>
      </c>
      <c r="R157">
        <v>1.5634409397777</v>
      </c>
    </row>
    <row r="158" spans="1:18" x14ac:dyDescent="0.3">
      <c r="A158">
        <v>12.4</v>
      </c>
      <c r="B158">
        <v>5.2112051E-2</v>
      </c>
      <c r="D158">
        <f t="shared" si="7"/>
        <v>1.2400000000000002E-8</v>
      </c>
      <c r="E158">
        <f t="shared" si="6"/>
        <v>5.2113969174096449E-2</v>
      </c>
      <c r="N158">
        <v>12.399999999999901</v>
      </c>
      <c r="O158">
        <v>5.2112051036595802E-2</v>
      </c>
      <c r="Q158">
        <v>28.703703703703599</v>
      </c>
      <c r="R158">
        <v>1.56823275931949</v>
      </c>
    </row>
    <row r="159" spans="1:18" x14ac:dyDescent="0.3">
      <c r="A159">
        <v>12.48</v>
      </c>
      <c r="B159">
        <v>5.564409E-2</v>
      </c>
      <c r="D159">
        <f t="shared" si="7"/>
        <v>1.2480000000000002E-8</v>
      </c>
      <c r="E159">
        <f t="shared" si="6"/>
        <v>5.5646138195896311E-2</v>
      </c>
      <c r="N159">
        <v>12.479999999999899</v>
      </c>
      <c r="O159">
        <v>5.5644090051415303E-2</v>
      </c>
      <c r="Q159">
        <v>28.8888888888888</v>
      </c>
      <c r="R159">
        <v>1.5724040554673799</v>
      </c>
    </row>
    <row r="160" spans="1:18" x14ac:dyDescent="0.3">
      <c r="A160">
        <v>12.56</v>
      </c>
      <c r="B160">
        <v>5.9291933999999998E-2</v>
      </c>
      <c r="D160">
        <f t="shared" si="7"/>
        <v>1.2560000000000001E-8</v>
      </c>
      <c r="E160">
        <f t="shared" si="6"/>
        <v>5.9294116038083045E-2</v>
      </c>
      <c r="N160">
        <v>12.559999999999899</v>
      </c>
      <c r="O160">
        <v>5.9291933624098098E-2</v>
      </c>
      <c r="Q160">
        <v>29.074074074074002</v>
      </c>
      <c r="R160">
        <v>1.57595482822137</v>
      </c>
    </row>
    <row r="161" spans="1:18" x14ac:dyDescent="0.3">
      <c r="A161">
        <v>12.64</v>
      </c>
      <c r="B161">
        <v>6.3055581999999999E-2</v>
      </c>
      <c r="D161">
        <f t="shared" si="7"/>
        <v>1.2640000000000001E-8</v>
      </c>
      <c r="E161">
        <f t="shared" si="6"/>
        <v>6.3057902700656671E-2</v>
      </c>
      <c r="N161">
        <v>12.639999999999899</v>
      </c>
      <c r="O161">
        <v>6.3055581754644305E-2</v>
      </c>
      <c r="Q161">
        <v>29.259259259259199</v>
      </c>
      <c r="R161">
        <v>1.57888507758145</v>
      </c>
    </row>
    <row r="162" spans="1:18" x14ac:dyDescent="0.3">
      <c r="A162">
        <v>12.72</v>
      </c>
      <c r="B162">
        <v>6.6935034000000004E-2</v>
      </c>
      <c r="D162">
        <f t="shared" si="7"/>
        <v>1.2720000000000001E-8</v>
      </c>
      <c r="E162">
        <f t="shared" si="6"/>
        <v>6.6937498183617147E-2</v>
      </c>
      <c r="N162">
        <v>12.719999999999899</v>
      </c>
      <c r="O162">
        <v>6.6935034443053903E-2</v>
      </c>
      <c r="Q162">
        <v>29.4444444444444</v>
      </c>
      <c r="R162">
        <v>1.58119480354764</v>
      </c>
    </row>
    <row r="163" spans="1:18" x14ac:dyDescent="0.3">
      <c r="A163">
        <v>12.8</v>
      </c>
      <c r="B163">
        <v>7.0930292000000006E-2</v>
      </c>
      <c r="D163">
        <f t="shared" si="7"/>
        <v>1.2800000000000002E-8</v>
      </c>
      <c r="E163">
        <f t="shared" si="6"/>
        <v>7.0932902486964614E-2</v>
      </c>
      <c r="N163">
        <v>12.799999999999899</v>
      </c>
      <c r="O163">
        <v>7.0930291689326699E-2</v>
      </c>
      <c r="Q163">
        <v>29.629629629629601</v>
      </c>
      <c r="R163">
        <v>1.5828840061199201</v>
      </c>
    </row>
    <row r="164" spans="1:18" x14ac:dyDescent="0.3">
      <c r="A164">
        <v>12.88</v>
      </c>
      <c r="B164">
        <v>7.5041353000000005E-2</v>
      </c>
      <c r="D164">
        <f t="shared" si="7"/>
        <v>1.2880000000000002E-8</v>
      </c>
      <c r="E164">
        <f t="shared" si="6"/>
        <v>7.5044115610698861E-2</v>
      </c>
      <c r="N164">
        <v>12.8799999999999</v>
      </c>
      <c r="O164">
        <v>7.5041353493462901E-2</v>
      </c>
      <c r="Q164">
        <v>29.814814814814799</v>
      </c>
      <c r="R164">
        <v>1.5834013870328101</v>
      </c>
    </row>
    <row r="165" spans="1:18" x14ac:dyDescent="0.3">
      <c r="A165">
        <v>12.96</v>
      </c>
      <c r="B165">
        <v>7.926822E-2</v>
      </c>
      <c r="D165">
        <f t="shared" si="7"/>
        <v>1.2960000000000002E-8</v>
      </c>
      <c r="E165">
        <f t="shared" si="6"/>
        <v>7.9271137554820001E-2</v>
      </c>
      <c r="N165">
        <v>12.9599999999999</v>
      </c>
      <c r="O165">
        <v>7.9268219855462396E-2</v>
      </c>
      <c r="Q165">
        <v>29.999999999999901</v>
      </c>
      <c r="R165">
        <v>1.58381534738004</v>
      </c>
    </row>
    <row r="166" spans="1:18" x14ac:dyDescent="0.3">
      <c r="A166">
        <v>13.04</v>
      </c>
      <c r="B166">
        <v>8.3610891000000007E-2</v>
      </c>
      <c r="D166">
        <f t="shared" si="7"/>
        <v>1.304E-8</v>
      </c>
      <c r="E166">
        <f t="shared" si="6"/>
        <v>8.361396831932795E-2</v>
      </c>
      <c r="N166">
        <v>13.0399999999999</v>
      </c>
      <c r="O166">
        <v>8.36108907753252E-2</v>
      </c>
      <c r="Q166">
        <v>30.185185185185102</v>
      </c>
      <c r="R166">
        <v>1.5841258871616199</v>
      </c>
    </row>
    <row r="167" spans="1:18" x14ac:dyDescent="0.3">
      <c r="A167">
        <v>13.12</v>
      </c>
      <c r="B167">
        <v>8.8069365999999996E-2</v>
      </c>
      <c r="D167">
        <f t="shared" si="7"/>
        <v>1.3119999999999999E-8</v>
      </c>
      <c r="E167">
        <f t="shared" si="6"/>
        <v>8.8072607904222833E-2</v>
      </c>
      <c r="N167">
        <v>13.1199999999999</v>
      </c>
      <c r="O167">
        <v>8.8069366253051298E-2</v>
      </c>
      <c r="Q167">
        <v>30.370370370370299</v>
      </c>
      <c r="R167">
        <v>1.58433300637756</v>
      </c>
    </row>
    <row r="168" spans="1:18" x14ac:dyDescent="0.3">
      <c r="A168">
        <v>13.2</v>
      </c>
      <c r="B168">
        <v>9.2643645999999996E-2</v>
      </c>
      <c r="D168">
        <f t="shared" si="7"/>
        <v>1.3200000000000001E-8</v>
      </c>
      <c r="E168">
        <f t="shared" si="6"/>
        <v>9.2647056309504719E-2</v>
      </c>
      <c r="N168">
        <v>13.1999999999999</v>
      </c>
      <c r="O168">
        <v>9.2643646288640802E-2</v>
      </c>
      <c r="Q168">
        <v>30.5555555555555</v>
      </c>
      <c r="R168">
        <v>1.5844367050278401</v>
      </c>
    </row>
    <row r="169" spans="1:18" x14ac:dyDescent="0.3">
      <c r="A169">
        <v>13.28</v>
      </c>
      <c r="B169">
        <v>9.7333731000000007E-2</v>
      </c>
      <c r="D169">
        <f t="shared" si="7"/>
        <v>1.328E-8</v>
      </c>
      <c r="E169">
        <f t="shared" si="6"/>
        <v>9.7337313535173359E-2</v>
      </c>
      <c r="N169">
        <v>13.2799999999999</v>
      </c>
      <c r="O169">
        <v>9.7333730882093697E-2</v>
      </c>
      <c r="Q169">
        <v>30.740740740740701</v>
      </c>
      <c r="R169">
        <v>1.58443698311248</v>
      </c>
    </row>
    <row r="170" spans="1:18" x14ac:dyDescent="0.3">
      <c r="A170">
        <v>13.36</v>
      </c>
      <c r="B170">
        <v>0.10213962</v>
      </c>
      <c r="D170">
        <f t="shared" si="7"/>
        <v>1.336E-8</v>
      </c>
      <c r="E170">
        <f t="shared" si="6"/>
        <v>0.1021433795812289</v>
      </c>
      <c r="N170">
        <v>13.3599999999999</v>
      </c>
      <c r="O170">
        <v>0.102139620033409</v>
      </c>
      <c r="Q170">
        <v>30.925925925925899</v>
      </c>
      <c r="R170">
        <v>1.58433384063146</v>
      </c>
    </row>
    <row r="171" spans="1:18" x14ac:dyDescent="0.3">
      <c r="A171">
        <v>13.44</v>
      </c>
      <c r="B171">
        <v>0.107061314</v>
      </c>
      <c r="D171">
        <f t="shared" si="7"/>
        <v>1.344E-8</v>
      </c>
      <c r="E171">
        <f t="shared" si="6"/>
        <v>0.10706525444767133</v>
      </c>
      <c r="N171">
        <v>13.4399999999999</v>
      </c>
      <c r="O171">
        <v>0.107061313742589</v>
      </c>
      <c r="Q171">
        <v>31.111111111111001</v>
      </c>
      <c r="R171">
        <v>1.5841272775847901</v>
      </c>
    </row>
    <row r="172" spans="1:18" x14ac:dyDescent="0.3">
      <c r="A172">
        <v>13.52</v>
      </c>
      <c r="B172">
        <v>0.11209881200000001</v>
      </c>
      <c r="D172">
        <f t="shared" si="7"/>
        <v>1.352E-8</v>
      </c>
      <c r="E172">
        <f t="shared" si="6"/>
        <v>0.11210293813450062</v>
      </c>
      <c r="N172">
        <v>13.5199999999999</v>
      </c>
      <c r="O172">
        <v>0.112098812009632</v>
      </c>
      <c r="Q172">
        <v>31.296296296296202</v>
      </c>
      <c r="R172">
        <v>1.5841272775847901</v>
      </c>
    </row>
    <row r="173" spans="1:18" x14ac:dyDescent="0.3">
      <c r="A173">
        <v>13.6</v>
      </c>
      <c r="B173">
        <v>0.117252115</v>
      </c>
      <c r="D173">
        <f t="shared" si="7"/>
        <v>1.3600000000000001E-8</v>
      </c>
      <c r="E173">
        <f t="shared" si="6"/>
        <v>0.11725643064171691</v>
      </c>
      <c r="N173">
        <v>13.5999999999999</v>
      </c>
      <c r="O173">
        <v>0.117252114834538</v>
      </c>
      <c r="Q173">
        <v>31.481481481481399</v>
      </c>
      <c r="R173">
        <v>1.5841272775847901</v>
      </c>
    </row>
    <row r="174" spans="1:18" x14ac:dyDescent="0.3">
      <c r="A174">
        <v>13.68</v>
      </c>
      <c r="B174">
        <v>0.122521222</v>
      </c>
      <c r="D174">
        <f t="shared" si="7"/>
        <v>1.3680000000000001E-8</v>
      </c>
      <c r="E174">
        <f t="shared" si="6"/>
        <v>0.12252573196931997</v>
      </c>
      <c r="N174">
        <v>13.6799999999999</v>
      </c>
      <c r="O174">
        <v>0.122521222217308</v>
      </c>
      <c r="Q174">
        <v>31.6666666666666</v>
      </c>
      <c r="R174">
        <v>1.5841272775847901</v>
      </c>
    </row>
    <row r="175" spans="1:18" x14ac:dyDescent="0.3">
      <c r="A175">
        <v>13.76</v>
      </c>
      <c r="B175">
        <v>0.127906134</v>
      </c>
      <c r="D175">
        <f t="shared" si="7"/>
        <v>1.376E-8</v>
      </c>
      <c r="E175">
        <f t="shared" si="6"/>
        <v>0.12791084211730991</v>
      </c>
      <c r="N175">
        <v>13.7599999999999</v>
      </c>
      <c r="O175">
        <v>0.127906134157941</v>
      </c>
      <c r="Q175">
        <v>31.851851851851801</v>
      </c>
      <c r="R175">
        <v>1.5841272775847901</v>
      </c>
    </row>
    <row r="176" spans="1:18" x14ac:dyDescent="0.3">
      <c r="A176">
        <v>13.84</v>
      </c>
      <c r="B176">
        <v>0.13340685099999999</v>
      </c>
      <c r="D176">
        <f t="shared" si="7"/>
        <v>1.384E-8</v>
      </c>
      <c r="E176">
        <f t="shared" si="6"/>
        <v>0.13341176108568673</v>
      </c>
      <c r="N176">
        <v>13.8399999999999</v>
      </c>
      <c r="O176">
        <v>0.13340685065643701</v>
      </c>
      <c r="Q176">
        <v>32.037037037037003</v>
      </c>
      <c r="R176">
        <v>1.5841272775847901</v>
      </c>
    </row>
    <row r="177" spans="1:18" x14ac:dyDescent="0.3">
      <c r="A177">
        <v>13.92</v>
      </c>
      <c r="B177">
        <v>0.13902337200000001</v>
      </c>
      <c r="D177">
        <f t="shared" si="7"/>
        <v>1.3920000000000002E-8</v>
      </c>
      <c r="E177">
        <f t="shared" si="6"/>
        <v>0.13902848887445055</v>
      </c>
      <c r="N177">
        <v>13.9199999999999</v>
      </c>
      <c r="O177">
        <v>0.13902337171279699</v>
      </c>
      <c r="Q177">
        <v>32.2222222222222</v>
      </c>
      <c r="R177">
        <v>1.5841272775847799</v>
      </c>
    </row>
    <row r="178" spans="1:18" x14ac:dyDescent="0.3">
      <c r="A178">
        <v>14</v>
      </c>
      <c r="B178">
        <v>0.14475569699999999</v>
      </c>
      <c r="D178">
        <f t="shared" si="7"/>
        <v>1.4000000000000001E-8</v>
      </c>
      <c r="E178">
        <f t="shared" si="6"/>
        <v>0.14476102548360112</v>
      </c>
      <c r="N178">
        <v>13.999999999999901</v>
      </c>
      <c r="O178">
        <v>0.14475569732702001</v>
      </c>
      <c r="Q178">
        <v>32.407407407407298</v>
      </c>
      <c r="R178">
        <v>1.5841272775847799</v>
      </c>
    </row>
    <row r="179" spans="1:18" x14ac:dyDescent="0.3">
      <c r="A179">
        <v>14.08</v>
      </c>
      <c r="B179">
        <v>0.150603827</v>
      </c>
      <c r="D179">
        <f t="shared" si="7"/>
        <v>1.4080000000000001E-8</v>
      </c>
      <c r="E179">
        <f t="shared" si="6"/>
        <v>0.15060937091313861</v>
      </c>
      <c r="N179">
        <v>14.079999999999901</v>
      </c>
      <c r="O179">
        <v>0.150603827499106</v>
      </c>
      <c r="Q179">
        <v>32.592592592592503</v>
      </c>
      <c r="R179">
        <v>1.5841272775847799</v>
      </c>
    </row>
    <row r="180" spans="1:18" x14ac:dyDescent="0.3">
      <c r="A180">
        <v>14.16</v>
      </c>
      <c r="B180">
        <v>0.156567762</v>
      </c>
      <c r="D180">
        <f t="shared" si="7"/>
        <v>1.4160000000000001E-8</v>
      </c>
      <c r="E180">
        <f t="shared" si="6"/>
        <v>0.15657352516306294</v>
      </c>
      <c r="N180">
        <v>14.159999999999901</v>
      </c>
      <c r="O180">
        <v>0.156567762229056</v>
      </c>
      <c r="Q180">
        <v>32.7777777777777</v>
      </c>
      <c r="R180">
        <v>1.5841272775847799</v>
      </c>
    </row>
    <row r="181" spans="1:18" x14ac:dyDescent="0.3">
      <c r="A181">
        <v>14.24</v>
      </c>
      <c r="B181">
        <v>0.162647502</v>
      </c>
      <c r="D181">
        <f t="shared" si="7"/>
        <v>1.424E-8</v>
      </c>
      <c r="E181">
        <f t="shared" si="6"/>
        <v>0.16265348823337417</v>
      </c>
      <c r="N181">
        <v>14.239999999999901</v>
      </c>
      <c r="O181">
        <v>0.16264750151686899</v>
      </c>
      <c r="Q181">
        <v>32.962962962962898</v>
      </c>
      <c r="R181">
        <v>1.5841272775847799</v>
      </c>
    </row>
    <row r="182" spans="1:18" x14ac:dyDescent="0.3">
      <c r="A182">
        <v>14.32</v>
      </c>
      <c r="B182">
        <v>0.168843045</v>
      </c>
      <c r="D182">
        <f t="shared" si="7"/>
        <v>1.4320000000000002E-8</v>
      </c>
      <c r="E182">
        <f t="shared" si="6"/>
        <v>0.16884926012407242</v>
      </c>
      <c r="N182">
        <v>14.319999999999901</v>
      </c>
      <c r="O182">
        <v>0.16884304536254499</v>
      </c>
      <c r="Q182">
        <v>33.148148148148103</v>
      </c>
      <c r="R182">
        <v>1.5841272775847799</v>
      </c>
    </row>
    <row r="183" spans="1:18" x14ac:dyDescent="0.3">
      <c r="A183">
        <v>14.4</v>
      </c>
      <c r="B183">
        <v>0.17515439399999999</v>
      </c>
      <c r="D183">
        <f t="shared" si="7"/>
        <v>1.4400000000000002E-8</v>
      </c>
      <c r="E183">
        <f t="shared" si="6"/>
        <v>0.17516084083515737</v>
      </c>
      <c r="N183">
        <v>14.399999999999901</v>
      </c>
      <c r="O183">
        <v>0.17515439376608499</v>
      </c>
      <c r="Q183">
        <v>33.3333333333333</v>
      </c>
      <c r="R183">
        <v>1.5841272775847799</v>
      </c>
    </row>
    <row r="184" spans="1:18" x14ac:dyDescent="0.3">
      <c r="A184">
        <v>14.48</v>
      </c>
      <c r="B184">
        <v>0.18158154700000001</v>
      </c>
      <c r="D184">
        <f t="shared" si="7"/>
        <v>1.4480000000000001E-8</v>
      </c>
      <c r="E184">
        <f t="shared" si="6"/>
        <v>0.18158823036662924</v>
      </c>
      <c r="N184">
        <v>14.479999999999899</v>
      </c>
      <c r="O184">
        <v>0.181581546727488</v>
      </c>
      <c r="Q184">
        <v>33.518518518518498</v>
      </c>
      <c r="R184">
        <v>1.5841272775847799</v>
      </c>
    </row>
    <row r="185" spans="1:18" x14ac:dyDescent="0.3">
      <c r="A185">
        <v>14.56</v>
      </c>
      <c r="B185">
        <v>0.188124504</v>
      </c>
      <c r="D185">
        <f t="shared" si="7"/>
        <v>1.4560000000000001E-8</v>
      </c>
      <c r="E185">
        <f t="shared" si="6"/>
        <v>0.18813142871848798</v>
      </c>
      <c r="N185">
        <v>14.559999999999899</v>
      </c>
      <c r="O185">
        <v>0.188124504246754</v>
      </c>
      <c r="Q185">
        <v>33.703703703703603</v>
      </c>
      <c r="R185">
        <v>1.5841272775847799</v>
      </c>
    </row>
    <row r="186" spans="1:18" x14ac:dyDescent="0.3">
      <c r="A186">
        <v>14.64</v>
      </c>
      <c r="B186">
        <v>0.19478326600000001</v>
      </c>
      <c r="D186">
        <f t="shared" si="7"/>
        <v>1.4640000000000001E-8</v>
      </c>
      <c r="E186">
        <f t="shared" si="6"/>
        <v>0.19479043589073364</v>
      </c>
      <c r="N186">
        <v>14.639999999999899</v>
      </c>
      <c r="O186">
        <v>0.19478326632388401</v>
      </c>
      <c r="Q186">
        <v>33.8888888888888</v>
      </c>
      <c r="R186">
        <v>1.5841272775847799</v>
      </c>
    </row>
    <row r="187" spans="1:18" x14ac:dyDescent="0.3">
      <c r="A187">
        <v>14.72</v>
      </c>
      <c r="B187">
        <v>0.20155783299999999</v>
      </c>
      <c r="D187">
        <f t="shared" si="7"/>
        <v>1.4720000000000002E-8</v>
      </c>
      <c r="E187">
        <f t="shared" si="6"/>
        <v>0.20156525188336627</v>
      </c>
      <c r="N187">
        <v>14.719999999999899</v>
      </c>
      <c r="O187">
        <v>0.201557832958877</v>
      </c>
      <c r="Q187">
        <v>34.074074074073998</v>
      </c>
      <c r="R187">
        <v>1.5841272775847699</v>
      </c>
    </row>
    <row r="188" spans="1:18" x14ac:dyDescent="0.3">
      <c r="A188">
        <v>14.8</v>
      </c>
      <c r="B188">
        <v>0.208448204</v>
      </c>
      <c r="D188">
        <f t="shared" si="7"/>
        <v>1.4800000000000002E-8</v>
      </c>
      <c r="E188">
        <f t="shared" si="6"/>
        <v>0.20845587669638566</v>
      </c>
      <c r="N188">
        <v>14.799999999999899</v>
      </c>
      <c r="O188">
        <v>0.20844820415173301</v>
      </c>
      <c r="Q188">
        <v>34.259259259259203</v>
      </c>
      <c r="R188">
        <v>1.5841272775847699</v>
      </c>
    </row>
    <row r="189" spans="1:18" x14ac:dyDescent="0.3">
      <c r="A189">
        <v>14.88</v>
      </c>
      <c r="B189">
        <v>0.21545438</v>
      </c>
      <c r="D189">
        <f t="shared" si="7"/>
        <v>1.4880000000000002E-8</v>
      </c>
      <c r="E189">
        <f t="shared" si="6"/>
        <v>0.21546231032979193</v>
      </c>
      <c r="N189">
        <v>14.8799999999999</v>
      </c>
      <c r="O189">
        <v>0.215454379902453</v>
      </c>
      <c r="Q189">
        <v>34.4444444444444</v>
      </c>
      <c r="R189">
        <v>1.5841272775847699</v>
      </c>
    </row>
    <row r="190" spans="1:18" x14ac:dyDescent="0.3">
      <c r="A190">
        <v>14.96</v>
      </c>
      <c r="B190">
        <v>0.22257636</v>
      </c>
      <c r="D190">
        <f t="shared" si="7"/>
        <v>1.4960000000000003E-8</v>
      </c>
      <c r="E190">
        <f t="shared" si="6"/>
        <v>0.22258455278358524</v>
      </c>
      <c r="N190">
        <v>14.9599999999999</v>
      </c>
      <c r="O190">
        <v>0.222576360211036</v>
      </c>
      <c r="Q190">
        <v>34.629629629629598</v>
      </c>
      <c r="R190">
        <v>1.5841272775847699</v>
      </c>
    </row>
    <row r="191" spans="1:18" x14ac:dyDescent="0.3">
      <c r="A191">
        <v>15.04</v>
      </c>
      <c r="B191">
        <v>0.229814145</v>
      </c>
      <c r="D191">
        <f t="shared" si="7"/>
        <v>1.5040000000000001E-8</v>
      </c>
      <c r="E191">
        <f t="shared" si="6"/>
        <v>0.22982260405776511</v>
      </c>
      <c r="N191">
        <v>15.0399999999999</v>
      </c>
      <c r="O191">
        <v>0.22981414507748199</v>
      </c>
      <c r="Q191">
        <v>34.814814814814703</v>
      </c>
      <c r="R191">
        <v>1.5841272775847699</v>
      </c>
    </row>
    <row r="192" spans="1:18" x14ac:dyDescent="0.3">
      <c r="A192">
        <v>15.12</v>
      </c>
      <c r="B192">
        <v>0.23716773499999999</v>
      </c>
      <c r="D192">
        <f t="shared" si="7"/>
        <v>1.5119999999999999E-8</v>
      </c>
      <c r="E192">
        <f t="shared" si="6"/>
        <v>0.23717646415233187</v>
      </c>
      <c r="N192">
        <v>15.1199999999999</v>
      </c>
      <c r="O192">
        <v>0.23716773450179199</v>
      </c>
      <c r="Q192">
        <v>34.999999999999901</v>
      </c>
      <c r="R192">
        <v>1.5841272775847699</v>
      </c>
    </row>
    <row r="193" spans="1:18" x14ac:dyDescent="0.3">
      <c r="A193">
        <v>15.2</v>
      </c>
      <c r="B193">
        <v>0.24463712800000001</v>
      </c>
      <c r="D193">
        <f t="shared" si="7"/>
        <v>1.52E-8</v>
      </c>
      <c r="E193">
        <f t="shared" si="6"/>
        <v>0.24464613306728583</v>
      </c>
      <c r="N193">
        <v>15.1999999999999</v>
      </c>
      <c r="O193">
        <v>0.24463712848396499</v>
      </c>
      <c r="Q193">
        <v>35.185185185185098</v>
      </c>
      <c r="R193">
        <v>1.5841272775847699</v>
      </c>
    </row>
    <row r="194" spans="1:18" x14ac:dyDescent="0.3">
      <c r="A194">
        <v>15.28</v>
      </c>
      <c r="B194">
        <v>0.25222232700000002</v>
      </c>
      <c r="D194">
        <f t="shared" si="7"/>
        <v>1.5280000000000002E-8</v>
      </c>
      <c r="E194">
        <f t="shared" ref="E194:E253" si="8">(($I$9*$I$6)/(2*$I$10))*(D194-$I$4)^2</f>
        <v>0.25223161080262668</v>
      </c>
      <c r="N194">
        <v>15.2799999999999</v>
      </c>
      <c r="O194">
        <v>0.25222232702400199</v>
      </c>
      <c r="Q194">
        <v>35.370370370370303</v>
      </c>
      <c r="R194">
        <v>1.5841272775847699</v>
      </c>
    </row>
    <row r="195" spans="1:18" x14ac:dyDescent="0.3">
      <c r="A195">
        <v>15.36</v>
      </c>
      <c r="B195">
        <v>0.25992333000000001</v>
      </c>
      <c r="D195">
        <f t="shared" ref="D195:D258" si="9">A195*0.000000001</f>
        <v>1.536E-8</v>
      </c>
      <c r="E195">
        <f t="shared" si="8"/>
        <v>0.25993289735835406</v>
      </c>
      <c r="N195">
        <v>15.3599999999999</v>
      </c>
      <c r="O195">
        <v>0.259923330121901</v>
      </c>
      <c r="Q195">
        <v>35.5555555555555</v>
      </c>
      <c r="R195">
        <v>1.5841272775847699</v>
      </c>
    </row>
    <row r="196" spans="1:18" x14ac:dyDescent="0.3">
      <c r="A196">
        <v>15.44</v>
      </c>
      <c r="B196">
        <v>0.26774013800000002</v>
      </c>
      <c r="D196">
        <f t="shared" si="9"/>
        <v>1.5440000000000001E-8</v>
      </c>
      <c r="E196">
        <f t="shared" si="8"/>
        <v>0.26774999273446859</v>
      </c>
      <c r="N196">
        <v>15.4399999999999</v>
      </c>
      <c r="O196">
        <v>0.26774013777766398</v>
      </c>
      <c r="Q196">
        <v>35.740740740740698</v>
      </c>
      <c r="R196">
        <v>1.5841272775847699</v>
      </c>
    </row>
    <row r="197" spans="1:18" x14ac:dyDescent="0.3">
      <c r="A197">
        <v>15.52</v>
      </c>
      <c r="B197">
        <v>0.27567275000000002</v>
      </c>
      <c r="D197">
        <f t="shared" si="9"/>
        <v>1.5519999999999999E-8</v>
      </c>
      <c r="E197">
        <f t="shared" si="8"/>
        <v>0.27568289693096976</v>
      </c>
      <c r="N197">
        <v>15.5199999999999</v>
      </c>
      <c r="O197">
        <v>0.27567274999129099</v>
      </c>
      <c r="Q197">
        <v>35.925925925925903</v>
      </c>
      <c r="R197">
        <v>1.5841272775847699</v>
      </c>
    </row>
    <row r="198" spans="1:18" x14ac:dyDescent="0.3">
      <c r="A198">
        <v>15.6</v>
      </c>
      <c r="B198">
        <v>0.283721167</v>
      </c>
      <c r="D198">
        <f t="shared" si="9"/>
        <v>1.5600000000000001E-8</v>
      </c>
      <c r="E198">
        <f t="shared" si="8"/>
        <v>0.28373160994785812</v>
      </c>
      <c r="N198">
        <v>15.5999999999999</v>
      </c>
      <c r="O198">
        <v>0.28372116676278097</v>
      </c>
      <c r="Q198">
        <v>36.111111111111001</v>
      </c>
      <c r="R198">
        <v>1.5841272775847699</v>
      </c>
    </row>
    <row r="199" spans="1:18" x14ac:dyDescent="0.3">
      <c r="A199">
        <v>15.68</v>
      </c>
      <c r="B199">
        <v>0.29188538800000002</v>
      </c>
      <c r="D199">
        <f t="shared" si="9"/>
        <v>1.5680000000000002E-8</v>
      </c>
      <c r="E199">
        <f t="shared" si="8"/>
        <v>0.29189613178513341</v>
      </c>
      <c r="N199">
        <v>15.6799999999999</v>
      </c>
      <c r="O199">
        <v>0.29188538809213399</v>
      </c>
      <c r="Q199">
        <v>36.296296296296198</v>
      </c>
      <c r="R199">
        <v>1.5841272775847699</v>
      </c>
    </row>
    <row r="200" spans="1:18" x14ac:dyDescent="0.3">
      <c r="A200">
        <v>15.76</v>
      </c>
      <c r="B200">
        <v>0.30016541400000002</v>
      </c>
      <c r="D200">
        <f t="shared" si="9"/>
        <v>1.576E-8</v>
      </c>
      <c r="E200">
        <f t="shared" si="8"/>
        <v>0.30017646244279511</v>
      </c>
      <c r="N200">
        <v>15.7599999999999</v>
      </c>
      <c r="O200">
        <v>0.30016541397934998</v>
      </c>
      <c r="Q200">
        <v>36.481481481481403</v>
      </c>
      <c r="R200">
        <v>1.5841272775847699</v>
      </c>
    </row>
    <row r="201" spans="1:18" x14ac:dyDescent="0.3">
      <c r="A201">
        <v>15.84</v>
      </c>
      <c r="B201">
        <v>0.30856124400000001</v>
      </c>
      <c r="D201">
        <f t="shared" si="9"/>
        <v>1.5840000000000002E-8</v>
      </c>
      <c r="E201">
        <f t="shared" si="8"/>
        <v>0.30857260192084418</v>
      </c>
      <c r="N201">
        <v>15.8399999999999</v>
      </c>
      <c r="O201">
        <v>0.30856124442443</v>
      </c>
      <c r="Q201">
        <v>36.6666666666666</v>
      </c>
      <c r="R201">
        <v>1.5841272775847699</v>
      </c>
    </row>
    <row r="202" spans="1:18" x14ac:dyDescent="0.3">
      <c r="A202">
        <v>15.92</v>
      </c>
      <c r="B202">
        <v>0.31707287899999997</v>
      </c>
      <c r="D202">
        <f t="shared" si="9"/>
        <v>1.592E-8</v>
      </c>
      <c r="E202">
        <f t="shared" si="8"/>
        <v>0.31708455021927967</v>
      </c>
      <c r="N202">
        <v>15.9199999999999</v>
      </c>
      <c r="O202">
        <v>0.317072879427373</v>
      </c>
      <c r="Q202">
        <v>36.851851851851798</v>
      </c>
      <c r="R202">
        <v>1.5841272775847599</v>
      </c>
    </row>
    <row r="203" spans="1:18" x14ac:dyDescent="0.3">
      <c r="A203">
        <v>16</v>
      </c>
      <c r="B203">
        <v>0.32570031900000002</v>
      </c>
      <c r="D203">
        <f t="shared" si="9"/>
        <v>1.6000000000000001E-8</v>
      </c>
      <c r="E203">
        <f t="shared" si="8"/>
        <v>0.32571230733810247</v>
      </c>
      <c r="N203">
        <v>15.999999999999901</v>
      </c>
      <c r="O203">
        <v>0.32570031898818003</v>
      </c>
      <c r="Q203">
        <v>37.037037037037003</v>
      </c>
      <c r="R203">
        <v>1.5841272775847599</v>
      </c>
    </row>
    <row r="204" spans="1:18" x14ac:dyDescent="0.3">
      <c r="A204">
        <v>16.079999999999998</v>
      </c>
      <c r="B204">
        <v>0.334443563</v>
      </c>
      <c r="D204">
        <f t="shared" si="9"/>
        <v>1.6079999999999999E-8</v>
      </c>
      <c r="E204">
        <f t="shared" si="8"/>
        <v>0.3344558732773118</v>
      </c>
      <c r="N204">
        <v>16.079999999999899</v>
      </c>
      <c r="O204">
        <v>0.33444356310684997</v>
      </c>
      <c r="Q204">
        <v>37.2222222222222</v>
      </c>
      <c r="R204">
        <v>1.5841272775847599</v>
      </c>
    </row>
    <row r="205" spans="1:18" x14ac:dyDescent="0.3">
      <c r="A205">
        <v>16.16</v>
      </c>
      <c r="B205">
        <v>0.34330261200000001</v>
      </c>
      <c r="D205">
        <f t="shared" si="9"/>
        <v>1.616E-8</v>
      </c>
      <c r="E205">
        <f t="shared" si="8"/>
        <v>0.34331524803690827</v>
      </c>
      <c r="N205">
        <v>16.159999999999901</v>
      </c>
      <c r="O205">
        <v>0.343302611783383</v>
      </c>
      <c r="Q205">
        <v>37.407407407407298</v>
      </c>
      <c r="R205">
        <v>1.5841272775847599</v>
      </c>
    </row>
    <row r="206" spans="1:18" x14ac:dyDescent="0.3">
      <c r="A206">
        <v>16.239999999999998</v>
      </c>
      <c r="B206">
        <v>0.35227746500000001</v>
      </c>
      <c r="D206">
        <f t="shared" si="9"/>
        <v>1.6239999999999999E-8</v>
      </c>
      <c r="E206">
        <f t="shared" si="8"/>
        <v>0.35229043161689133</v>
      </c>
      <c r="N206">
        <v>16.239999999999899</v>
      </c>
      <c r="O206">
        <v>0.35227746501778001</v>
      </c>
      <c r="Q206">
        <v>37.592592592592503</v>
      </c>
      <c r="R206">
        <v>1.5841272775847599</v>
      </c>
    </row>
    <row r="207" spans="1:18" x14ac:dyDescent="0.3">
      <c r="A207">
        <v>16.32</v>
      </c>
      <c r="B207">
        <v>0.36136812299999999</v>
      </c>
      <c r="D207">
        <f t="shared" si="9"/>
        <v>1.632E-8</v>
      </c>
      <c r="E207">
        <f t="shared" si="8"/>
        <v>0.36138142401726164</v>
      </c>
      <c r="N207">
        <v>16.319999999999901</v>
      </c>
      <c r="O207">
        <v>0.36136812281003999</v>
      </c>
      <c r="Q207">
        <v>37.7777777777777</v>
      </c>
      <c r="R207">
        <v>1.5841272775847599</v>
      </c>
    </row>
    <row r="208" spans="1:18" x14ac:dyDescent="0.3">
      <c r="A208">
        <v>16.399999999999999</v>
      </c>
      <c r="B208">
        <v>0.37057458500000001</v>
      </c>
      <c r="D208">
        <f t="shared" si="9"/>
        <v>1.6399999999999998E-8</v>
      </c>
      <c r="E208">
        <f t="shared" si="8"/>
        <v>0.37058822523801849</v>
      </c>
      <c r="N208">
        <v>16.399999999999899</v>
      </c>
      <c r="O208">
        <v>0.37057458516016301</v>
      </c>
      <c r="Q208">
        <v>37.962962962962898</v>
      </c>
      <c r="R208">
        <v>1.5841272775847599</v>
      </c>
    </row>
    <row r="209" spans="1:18" x14ac:dyDescent="0.3">
      <c r="A209">
        <v>16.48</v>
      </c>
      <c r="B209">
        <v>0.37989685200000001</v>
      </c>
      <c r="D209">
        <f t="shared" si="9"/>
        <v>1.6480000000000003E-8</v>
      </c>
      <c r="E209">
        <f t="shared" si="8"/>
        <v>0.37991083527916292</v>
      </c>
      <c r="N209">
        <v>16.479999999999901</v>
      </c>
      <c r="O209">
        <v>0.37989685206814899</v>
      </c>
      <c r="Q209">
        <v>38.148148148148103</v>
      </c>
      <c r="R209">
        <v>1.5841272775847599</v>
      </c>
    </row>
    <row r="210" spans="1:18" x14ac:dyDescent="0.3">
      <c r="A210">
        <v>16.559999999999999</v>
      </c>
      <c r="B210">
        <v>0.38933492400000003</v>
      </c>
      <c r="D210">
        <f t="shared" si="9"/>
        <v>1.6560000000000001E-8</v>
      </c>
      <c r="E210">
        <f t="shared" si="8"/>
        <v>0.38934925414069343</v>
      </c>
      <c r="N210">
        <v>16.559999999999899</v>
      </c>
      <c r="O210">
        <v>0.38933492353399901</v>
      </c>
      <c r="Q210">
        <v>38.3333333333333</v>
      </c>
      <c r="R210">
        <v>1.5841272775847599</v>
      </c>
    </row>
    <row r="211" spans="1:18" x14ac:dyDescent="0.3">
      <c r="A211">
        <v>16.64</v>
      </c>
      <c r="B211">
        <v>0.39888879999999999</v>
      </c>
      <c r="D211">
        <f t="shared" si="9"/>
        <v>1.6640000000000002E-8</v>
      </c>
      <c r="E211">
        <f t="shared" si="8"/>
        <v>0.39890348182261132</v>
      </c>
      <c r="N211">
        <v>16.639999999999901</v>
      </c>
      <c r="O211">
        <v>0.398888799557713</v>
      </c>
      <c r="Q211">
        <v>38.518518518518498</v>
      </c>
      <c r="R211">
        <v>1.5841272775847599</v>
      </c>
    </row>
    <row r="212" spans="1:18" x14ac:dyDescent="0.3">
      <c r="A212">
        <v>16.72</v>
      </c>
      <c r="B212">
        <v>0.40855848</v>
      </c>
      <c r="D212">
        <f t="shared" si="9"/>
        <v>1.672E-8</v>
      </c>
      <c r="E212">
        <f t="shared" si="8"/>
        <v>0.40857351832491562</v>
      </c>
      <c r="N212">
        <v>16.719999999999899</v>
      </c>
      <c r="O212">
        <v>0.40855848013928903</v>
      </c>
      <c r="Q212">
        <v>38.703703703703603</v>
      </c>
      <c r="R212">
        <v>1.5841272775847599</v>
      </c>
    </row>
    <row r="213" spans="1:18" x14ac:dyDescent="0.3">
      <c r="A213">
        <v>16.8</v>
      </c>
      <c r="B213">
        <v>0.41834396499999998</v>
      </c>
      <c r="D213">
        <f t="shared" si="9"/>
        <v>1.6800000000000002E-8</v>
      </c>
      <c r="E213">
        <f t="shared" si="8"/>
        <v>0.41835936364760723</v>
      </c>
      <c r="N213">
        <v>16.799999999999901</v>
      </c>
      <c r="O213">
        <v>0.41834396527872902</v>
      </c>
      <c r="Q213">
        <v>38.8888888888888</v>
      </c>
      <c r="R213">
        <v>1.5841272775847599</v>
      </c>
    </row>
    <row r="214" spans="1:18" x14ac:dyDescent="0.3">
      <c r="A214">
        <v>16.88</v>
      </c>
      <c r="B214">
        <v>0.42824525499999999</v>
      </c>
      <c r="D214">
        <f t="shared" si="9"/>
        <v>1.688E-8</v>
      </c>
      <c r="E214">
        <f t="shared" si="8"/>
        <v>0.42826101779068532</v>
      </c>
      <c r="N214">
        <v>16.8799999999999</v>
      </c>
      <c r="O214">
        <v>0.428245254976033</v>
      </c>
      <c r="Q214">
        <v>39.074074074073998</v>
      </c>
      <c r="R214">
        <v>1.5841272775847599</v>
      </c>
    </row>
    <row r="215" spans="1:18" x14ac:dyDescent="0.3">
      <c r="A215">
        <v>16.96</v>
      </c>
      <c r="B215">
        <v>0.438262349</v>
      </c>
      <c r="D215">
        <f t="shared" si="9"/>
        <v>1.6960000000000001E-8</v>
      </c>
      <c r="E215">
        <f t="shared" si="8"/>
        <v>0.43827848075415066</v>
      </c>
      <c r="N215">
        <v>16.959999999999901</v>
      </c>
      <c r="O215">
        <v>0.438262349231199</v>
      </c>
      <c r="Q215">
        <v>39.259259259259203</v>
      </c>
      <c r="R215">
        <v>1.5841272775847599</v>
      </c>
    </row>
    <row r="216" spans="1:18" x14ac:dyDescent="0.3">
      <c r="A216">
        <v>17.04</v>
      </c>
      <c r="B216">
        <v>0.44839524800000002</v>
      </c>
      <c r="D216">
        <f t="shared" si="9"/>
        <v>1.7039999999999999E-8</v>
      </c>
      <c r="E216">
        <f t="shared" si="8"/>
        <v>0.44841175253800247</v>
      </c>
      <c r="N216">
        <v>17.0399999999999</v>
      </c>
      <c r="O216">
        <v>0.44839524804422998</v>
      </c>
      <c r="Q216">
        <v>39.4444444444444</v>
      </c>
      <c r="R216">
        <v>1.5841272775847599</v>
      </c>
    </row>
    <row r="217" spans="1:18" x14ac:dyDescent="0.3">
      <c r="A217">
        <v>17.12</v>
      </c>
      <c r="B217">
        <v>0.45864395099999999</v>
      </c>
      <c r="D217">
        <f t="shared" si="9"/>
        <v>1.712E-8</v>
      </c>
      <c r="E217">
        <f t="shared" si="8"/>
        <v>0.4586608331422416</v>
      </c>
      <c r="N217">
        <v>17.119999999999902</v>
      </c>
      <c r="O217">
        <v>0.45864395141512299</v>
      </c>
      <c r="Q217">
        <v>39.629629629629598</v>
      </c>
      <c r="R217">
        <v>1.5841272775847599</v>
      </c>
    </row>
    <row r="218" spans="1:18" x14ac:dyDescent="0.3">
      <c r="A218">
        <v>17.2</v>
      </c>
      <c r="B218">
        <v>0.46900845899999999</v>
      </c>
      <c r="D218">
        <f t="shared" si="9"/>
        <v>1.7200000000000002E-8</v>
      </c>
      <c r="E218">
        <f t="shared" si="8"/>
        <v>0.46902572256686764</v>
      </c>
      <c r="N218">
        <v>17.1999999999999</v>
      </c>
      <c r="O218">
        <v>0.46900845934388002</v>
      </c>
      <c r="Q218">
        <v>39.814814814814802</v>
      </c>
      <c r="R218">
        <v>1.5841272775847599</v>
      </c>
    </row>
    <row r="219" spans="1:18" x14ac:dyDescent="0.3">
      <c r="A219">
        <v>17.28</v>
      </c>
      <c r="B219">
        <v>0.47948877200000001</v>
      </c>
      <c r="D219">
        <f t="shared" si="9"/>
        <v>1.7280000000000003E-8</v>
      </c>
      <c r="E219">
        <f t="shared" si="8"/>
        <v>0.47950642081188055</v>
      </c>
      <c r="N219">
        <v>17.279999999999902</v>
      </c>
      <c r="O219">
        <v>0.47948877183049998</v>
      </c>
      <c r="Q219">
        <v>39.999999999999901</v>
      </c>
      <c r="R219">
        <v>1.5841272775847599</v>
      </c>
    </row>
    <row r="220" spans="1:18" x14ac:dyDescent="0.3">
      <c r="A220">
        <v>17.36</v>
      </c>
      <c r="B220">
        <v>0.49008488900000002</v>
      </c>
      <c r="D220">
        <f t="shared" si="9"/>
        <v>1.7360000000000001E-8</v>
      </c>
      <c r="E220">
        <f t="shared" si="8"/>
        <v>0.49010292787727988</v>
      </c>
      <c r="N220">
        <v>17.3599999999999</v>
      </c>
      <c r="O220">
        <v>0.49008488887498303</v>
      </c>
    </row>
    <row r="221" spans="1:18" x14ac:dyDescent="0.3">
      <c r="A221">
        <v>17.440000000000001</v>
      </c>
      <c r="B221">
        <v>0.50079680999999998</v>
      </c>
      <c r="D221">
        <f t="shared" si="9"/>
        <v>1.7440000000000003E-8</v>
      </c>
      <c r="E221">
        <f t="shared" si="8"/>
        <v>0.50081524376306652</v>
      </c>
      <c r="N221">
        <v>17.439999999999898</v>
      </c>
      <c r="O221">
        <v>0.50079681047733005</v>
      </c>
    </row>
    <row r="222" spans="1:18" x14ac:dyDescent="0.3">
      <c r="A222">
        <v>17.52</v>
      </c>
      <c r="B222">
        <v>0.51162453699999999</v>
      </c>
      <c r="D222">
        <f t="shared" si="9"/>
        <v>1.7520000000000001E-8</v>
      </c>
      <c r="E222">
        <f t="shared" si="8"/>
        <v>0.51164336846923963</v>
      </c>
      <c r="N222">
        <v>17.5199999999999</v>
      </c>
      <c r="O222">
        <v>0.51162453663754004</v>
      </c>
    </row>
    <row r="223" spans="1:18" x14ac:dyDescent="0.3">
      <c r="A223">
        <v>17.600000000000001</v>
      </c>
      <c r="B223">
        <v>0.52256806700000002</v>
      </c>
      <c r="D223">
        <f t="shared" si="9"/>
        <v>1.7600000000000002E-8</v>
      </c>
      <c r="E223">
        <f t="shared" si="8"/>
        <v>0.52258730199580006</v>
      </c>
      <c r="N223">
        <v>17.599999999999898</v>
      </c>
      <c r="O223">
        <v>0.52256806735561401</v>
      </c>
    </row>
    <row r="224" spans="1:18" x14ac:dyDescent="0.3">
      <c r="A224">
        <v>17.68</v>
      </c>
      <c r="B224">
        <v>0.533627403</v>
      </c>
      <c r="D224">
        <f t="shared" si="9"/>
        <v>1.768E-8</v>
      </c>
      <c r="E224">
        <f t="shared" si="8"/>
        <v>0.5336470443427469</v>
      </c>
      <c r="N224">
        <v>17.6799999999999</v>
      </c>
      <c r="O224">
        <v>0.53362740263154995</v>
      </c>
    </row>
    <row r="225" spans="1:15" x14ac:dyDescent="0.3">
      <c r="A225">
        <v>17.760000000000002</v>
      </c>
      <c r="B225">
        <v>0.544802542</v>
      </c>
      <c r="D225">
        <f t="shared" si="9"/>
        <v>1.7760000000000002E-8</v>
      </c>
      <c r="E225">
        <f t="shared" si="8"/>
        <v>0.54482259551008116</v>
      </c>
      <c r="N225">
        <v>17.759999999999899</v>
      </c>
      <c r="O225">
        <v>0.54480254246534998</v>
      </c>
    </row>
    <row r="226" spans="1:15" x14ac:dyDescent="0.3">
      <c r="A226">
        <v>17.84</v>
      </c>
      <c r="B226">
        <v>0.55609348700000005</v>
      </c>
      <c r="D226">
        <f t="shared" si="9"/>
        <v>1.784E-8</v>
      </c>
      <c r="E226">
        <f t="shared" si="8"/>
        <v>0.55611395549780174</v>
      </c>
      <c r="N226">
        <v>17.8399999999999</v>
      </c>
      <c r="O226">
        <v>0.55609348685701399</v>
      </c>
    </row>
    <row r="227" spans="1:15" x14ac:dyDescent="0.3">
      <c r="A227">
        <v>17.920000000000002</v>
      </c>
      <c r="B227">
        <v>0.56750023599999999</v>
      </c>
      <c r="D227">
        <f t="shared" si="9"/>
        <v>1.7920000000000004E-8</v>
      </c>
      <c r="E227">
        <f t="shared" si="8"/>
        <v>0.56752112430591017</v>
      </c>
      <c r="N227">
        <v>17.919999999999899</v>
      </c>
      <c r="O227">
        <v>0.56750023580654096</v>
      </c>
    </row>
    <row r="228" spans="1:15" x14ac:dyDescent="0.3">
      <c r="A228">
        <v>18</v>
      </c>
      <c r="B228">
        <v>0.57902278900000004</v>
      </c>
      <c r="D228">
        <f t="shared" si="9"/>
        <v>1.8000000000000002E-8</v>
      </c>
      <c r="E228">
        <f t="shared" si="8"/>
        <v>0.57904410193440448</v>
      </c>
      <c r="N228">
        <v>17.999999999999901</v>
      </c>
      <c r="O228">
        <v>0.57902278931393103</v>
      </c>
    </row>
    <row r="229" spans="1:15" x14ac:dyDescent="0.3">
      <c r="A229">
        <v>18.079999999999998</v>
      </c>
      <c r="B229">
        <v>0.59066114700000005</v>
      </c>
      <c r="D229">
        <f t="shared" si="9"/>
        <v>1.808E-8</v>
      </c>
      <c r="E229">
        <f t="shared" si="8"/>
        <v>0.59068288838328575</v>
      </c>
      <c r="N229">
        <v>18.079999999999899</v>
      </c>
      <c r="O229">
        <v>0.59066114737918496</v>
      </c>
    </row>
    <row r="230" spans="1:15" x14ac:dyDescent="0.3">
      <c r="A230">
        <v>18.16</v>
      </c>
      <c r="B230">
        <v>0.60241531000000004</v>
      </c>
      <c r="D230">
        <f t="shared" si="9"/>
        <v>1.8160000000000002E-8</v>
      </c>
      <c r="E230">
        <f t="shared" si="8"/>
        <v>0.60243748365255445</v>
      </c>
      <c r="N230">
        <v>18.159999999999901</v>
      </c>
      <c r="O230">
        <v>0.60241531000230197</v>
      </c>
    </row>
    <row r="231" spans="1:15" x14ac:dyDescent="0.3">
      <c r="A231">
        <v>18.239999999999998</v>
      </c>
      <c r="B231">
        <v>0.61428527700000002</v>
      </c>
      <c r="D231">
        <f t="shared" si="9"/>
        <v>1.824E-8</v>
      </c>
      <c r="E231">
        <f t="shared" si="8"/>
        <v>0.61430788774220935</v>
      </c>
      <c r="N231">
        <v>18.239999999999899</v>
      </c>
      <c r="O231">
        <v>0.61428527718328196</v>
      </c>
    </row>
    <row r="232" spans="1:15" x14ac:dyDescent="0.3">
      <c r="A232">
        <v>18.32</v>
      </c>
      <c r="B232">
        <v>0.62627104899999997</v>
      </c>
      <c r="D232">
        <f t="shared" si="9"/>
        <v>1.8320000000000001E-8</v>
      </c>
      <c r="E232">
        <f t="shared" si="8"/>
        <v>0.62629410065225177</v>
      </c>
      <c r="N232">
        <v>18.319999999999901</v>
      </c>
      <c r="O232">
        <v>0.62627104892212604</v>
      </c>
    </row>
    <row r="233" spans="1:15" x14ac:dyDescent="0.3">
      <c r="A233">
        <v>18.399999999999999</v>
      </c>
      <c r="B233">
        <v>0.63837262500000003</v>
      </c>
      <c r="D233">
        <f t="shared" si="9"/>
        <v>1.8399999999999999E-8</v>
      </c>
      <c r="E233">
        <f t="shared" si="8"/>
        <v>0.63839612238268051</v>
      </c>
      <c r="N233">
        <v>18.399999999999899</v>
      </c>
      <c r="O233">
        <v>0.63837262521883298</v>
      </c>
    </row>
    <row r="234" spans="1:15" x14ac:dyDescent="0.3">
      <c r="A234">
        <v>18.48</v>
      </c>
      <c r="B234">
        <v>0.65059000600000005</v>
      </c>
      <c r="D234">
        <f t="shared" si="9"/>
        <v>1.8480000000000001E-8</v>
      </c>
      <c r="E234">
        <f t="shared" si="8"/>
        <v>0.65061395293349666</v>
      </c>
      <c r="N234">
        <v>18.479999999999901</v>
      </c>
      <c r="O234">
        <v>0.650590006073403</v>
      </c>
    </row>
    <row r="235" spans="1:15" x14ac:dyDescent="0.3">
      <c r="A235">
        <v>18.559999999999999</v>
      </c>
      <c r="B235">
        <v>0.66292319099999997</v>
      </c>
      <c r="D235">
        <f t="shared" si="9"/>
        <v>1.8559999999999999E-8</v>
      </c>
      <c r="E235">
        <f t="shared" si="8"/>
        <v>0.66294759230469913</v>
      </c>
      <c r="N235">
        <v>18.559999999999899</v>
      </c>
      <c r="O235">
        <v>0.66292319148583601</v>
      </c>
    </row>
    <row r="236" spans="1:15" x14ac:dyDescent="0.3">
      <c r="A236">
        <v>18.64</v>
      </c>
      <c r="B236">
        <v>0.67537218099999996</v>
      </c>
      <c r="D236">
        <f t="shared" si="9"/>
        <v>1.864E-8</v>
      </c>
      <c r="E236">
        <f t="shared" si="8"/>
        <v>0.67539704049628912</v>
      </c>
      <c r="N236">
        <v>18.639999999999901</v>
      </c>
      <c r="O236">
        <v>0.67537218145613398</v>
      </c>
    </row>
    <row r="237" spans="1:15" x14ac:dyDescent="0.3">
      <c r="A237">
        <v>18.72</v>
      </c>
      <c r="B237">
        <v>0.68793697600000003</v>
      </c>
      <c r="D237">
        <f t="shared" si="9"/>
        <v>1.8720000000000002E-8</v>
      </c>
      <c r="E237">
        <f t="shared" si="8"/>
        <v>0.68796229750826587</v>
      </c>
      <c r="N237">
        <v>18.719999999999899</v>
      </c>
      <c r="O237">
        <v>0.68793697598429404</v>
      </c>
    </row>
    <row r="238" spans="1:15" x14ac:dyDescent="0.3">
      <c r="A238">
        <v>18.8</v>
      </c>
      <c r="B238">
        <v>0.70061757499999999</v>
      </c>
      <c r="D238">
        <f t="shared" si="9"/>
        <v>1.8800000000000003E-8</v>
      </c>
      <c r="E238">
        <f t="shared" si="8"/>
        <v>0.70064336334062949</v>
      </c>
      <c r="N238">
        <v>18.799999999999901</v>
      </c>
      <c r="O238">
        <v>0.70061757507031797</v>
      </c>
    </row>
    <row r="239" spans="1:15" x14ac:dyDescent="0.3">
      <c r="A239">
        <v>18.88</v>
      </c>
      <c r="B239">
        <v>0.71341397900000003</v>
      </c>
      <c r="D239">
        <f t="shared" si="9"/>
        <v>1.8880000000000001E-8</v>
      </c>
      <c r="E239">
        <f t="shared" si="8"/>
        <v>0.71344023799337952</v>
      </c>
      <c r="N239">
        <v>18.8799999999999</v>
      </c>
      <c r="O239">
        <v>0.71341397871420498</v>
      </c>
    </row>
    <row r="240" spans="1:15" x14ac:dyDescent="0.3">
      <c r="A240">
        <v>18.96</v>
      </c>
      <c r="B240">
        <v>0.72632618699999996</v>
      </c>
      <c r="D240">
        <f t="shared" si="9"/>
        <v>1.8960000000000002E-8</v>
      </c>
      <c r="E240">
        <f t="shared" si="8"/>
        <v>0.72635292146651698</v>
      </c>
      <c r="N240">
        <v>18.959999999999901</v>
      </c>
      <c r="O240">
        <v>0.72632618691595596</v>
      </c>
    </row>
    <row r="241" spans="1:15" x14ac:dyDescent="0.3">
      <c r="A241">
        <v>19.04</v>
      </c>
      <c r="B241">
        <v>0.73935419999999996</v>
      </c>
      <c r="D241">
        <f t="shared" si="9"/>
        <v>1.904E-8</v>
      </c>
      <c r="E241">
        <f t="shared" si="8"/>
        <v>0.73938141376004085</v>
      </c>
      <c r="N241">
        <v>19.0399999999999</v>
      </c>
      <c r="O241">
        <v>0.73935419967557003</v>
      </c>
    </row>
    <row r="242" spans="1:15" x14ac:dyDescent="0.3">
      <c r="A242">
        <v>19.12</v>
      </c>
      <c r="B242">
        <v>0.75249801699999996</v>
      </c>
      <c r="D242">
        <f t="shared" si="9"/>
        <v>1.9120000000000002E-8</v>
      </c>
      <c r="E242">
        <f t="shared" si="8"/>
        <v>0.75252571487395192</v>
      </c>
      <c r="N242">
        <v>19.119999999999902</v>
      </c>
      <c r="O242">
        <v>0.75249801699304697</v>
      </c>
    </row>
    <row r="243" spans="1:15" x14ac:dyDescent="0.3">
      <c r="A243">
        <v>19.2</v>
      </c>
      <c r="B243">
        <v>0.76575763900000005</v>
      </c>
      <c r="D243">
        <f t="shared" si="9"/>
        <v>1.92E-8</v>
      </c>
      <c r="E243">
        <f t="shared" si="8"/>
        <v>0.76578582480824953</v>
      </c>
      <c r="N243">
        <v>19.1999999999999</v>
      </c>
      <c r="O243">
        <v>0.76575763886838799</v>
      </c>
    </row>
    <row r="244" spans="1:15" x14ac:dyDescent="0.3">
      <c r="A244">
        <v>19.28</v>
      </c>
      <c r="B244">
        <v>0.77913306500000001</v>
      </c>
      <c r="D244">
        <f t="shared" si="9"/>
        <v>1.9280000000000001E-8</v>
      </c>
      <c r="E244">
        <f t="shared" si="8"/>
        <v>0.77916174356293455</v>
      </c>
      <c r="N244">
        <v>19.279999999999902</v>
      </c>
      <c r="O244">
        <v>0.77913306530159099</v>
      </c>
    </row>
    <row r="245" spans="1:15" x14ac:dyDescent="0.3">
      <c r="A245">
        <v>19.36</v>
      </c>
      <c r="B245">
        <v>0.79262429599999995</v>
      </c>
      <c r="D245">
        <f t="shared" si="9"/>
        <v>1.9359999999999999E-8</v>
      </c>
      <c r="E245">
        <f t="shared" si="8"/>
        <v>0.79265347113800577</v>
      </c>
      <c r="N245">
        <v>19.3599999999999</v>
      </c>
      <c r="O245">
        <v>0.79262429629265796</v>
      </c>
    </row>
    <row r="246" spans="1:15" x14ac:dyDescent="0.3">
      <c r="A246">
        <v>19.440000000000001</v>
      </c>
      <c r="B246">
        <v>0.80623133199999997</v>
      </c>
      <c r="D246">
        <f t="shared" si="9"/>
        <v>1.9440000000000004E-8</v>
      </c>
      <c r="E246">
        <f t="shared" si="8"/>
        <v>0.80626100753346508</v>
      </c>
      <c r="N246">
        <v>19.439999999999898</v>
      </c>
      <c r="O246">
        <v>0.80623133184158902</v>
      </c>
    </row>
    <row r="247" spans="1:15" x14ac:dyDescent="0.3">
      <c r="A247">
        <v>19.52</v>
      </c>
      <c r="B247">
        <v>0.81995417199999998</v>
      </c>
      <c r="D247">
        <f t="shared" si="9"/>
        <v>1.9520000000000002E-8</v>
      </c>
      <c r="E247">
        <f t="shared" si="8"/>
        <v>0.81998435274931014</v>
      </c>
      <c r="N247">
        <v>19.5199999999999</v>
      </c>
      <c r="O247">
        <v>0.81995417194838205</v>
      </c>
    </row>
    <row r="248" spans="1:15" x14ac:dyDescent="0.3">
      <c r="A248">
        <v>19.600000000000001</v>
      </c>
      <c r="B248">
        <v>0.83379281699999996</v>
      </c>
      <c r="D248">
        <f t="shared" si="9"/>
        <v>1.9600000000000003E-8</v>
      </c>
      <c r="E248">
        <f t="shared" si="8"/>
        <v>0.83382350678554262</v>
      </c>
      <c r="N248">
        <v>19.599999999999898</v>
      </c>
      <c r="O248">
        <v>0.83379281661303895</v>
      </c>
    </row>
    <row r="249" spans="1:15" x14ac:dyDescent="0.3">
      <c r="A249">
        <v>19.68</v>
      </c>
      <c r="B249">
        <v>0.84774726600000005</v>
      </c>
      <c r="D249">
        <f t="shared" si="9"/>
        <v>1.9680000000000002E-8</v>
      </c>
      <c r="E249">
        <f t="shared" si="8"/>
        <v>0.84777846964216141</v>
      </c>
      <c r="N249">
        <v>19.6799999999999</v>
      </c>
      <c r="O249">
        <v>0.84774726583556004</v>
      </c>
    </row>
    <row r="250" spans="1:15" x14ac:dyDescent="0.3">
      <c r="A250">
        <v>19.760000000000002</v>
      </c>
      <c r="B250">
        <v>0.86181752</v>
      </c>
      <c r="D250">
        <f t="shared" si="9"/>
        <v>1.9760000000000003E-8</v>
      </c>
      <c r="E250">
        <f t="shared" si="8"/>
        <v>0.86184924131916774</v>
      </c>
      <c r="N250">
        <v>19.759999999999899</v>
      </c>
      <c r="O250">
        <v>0.86181751961594399</v>
      </c>
    </row>
    <row r="251" spans="1:15" x14ac:dyDescent="0.3">
      <c r="A251">
        <v>19.84</v>
      </c>
      <c r="B251">
        <v>0.87600357799999995</v>
      </c>
      <c r="D251">
        <f t="shared" si="9"/>
        <v>1.9840000000000001E-8</v>
      </c>
      <c r="E251">
        <f t="shared" si="8"/>
        <v>0.87603582181656026</v>
      </c>
      <c r="N251">
        <v>19.8399999999999</v>
      </c>
      <c r="O251">
        <v>0.87600357795419104</v>
      </c>
    </row>
    <row r="252" spans="1:15" x14ac:dyDescent="0.3">
      <c r="A252">
        <v>19.920000000000002</v>
      </c>
      <c r="B252">
        <v>0.89030544099999998</v>
      </c>
      <c r="D252">
        <f t="shared" si="9"/>
        <v>1.9920000000000002E-8</v>
      </c>
      <c r="E252">
        <f t="shared" si="8"/>
        <v>0.89033821113434031</v>
      </c>
      <c r="N252">
        <v>19.919999999999899</v>
      </c>
      <c r="O252">
        <v>0.89030544085030205</v>
      </c>
    </row>
    <row r="253" spans="1:15" x14ac:dyDescent="0.3">
      <c r="A253">
        <v>20</v>
      </c>
      <c r="B253">
        <v>0.904723108</v>
      </c>
      <c r="D253">
        <f t="shared" si="9"/>
        <v>2E-8</v>
      </c>
      <c r="E253">
        <f t="shared" si="8"/>
        <v>0.90475640927250667</v>
      </c>
      <c r="N253">
        <v>19.999999999999901</v>
      </c>
      <c r="O253">
        <v>0.90472310830427605</v>
      </c>
    </row>
    <row r="254" spans="1:15" x14ac:dyDescent="0.3">
      <c r="A254">
        <v>20.079999999999998</v>
      </c>
      <c r="B254">
        <v>0.91914077599999999</v>
      </c>
      <c r="D254">
        <f t="shared" si="9"/>
        <v>2.0079999999999998E-8</v>
      </c>
      <c r="E254">
        <f>(($I$9*$I$6*$I$8)/(2*$I$10))*(2*(D254-$I$4-$I$8)+$I$8)-((($I$9*$I$5)/(2*$I$10))*(D254-$I$4-$I$8)^2 )</f>
        <v>0.91917460741067303</v>
      </c>
      <c r="N254">
        <v>20.079999999999899</v>
      </c>
      <c r="O254">
        <v>0.91914077575825004</v>
      </c>
    </row>
    <row r="255" spans="1:15" x14ac:dyDescent="0.3">
      <c r="A255">
        <v>20.16</v>
      </c>
      <c r="B255">
        <v>0.93344263900000002</v>
      </c>
      <c r="D255">
        <f t="shared" si="9"/>
        <v>2.016E-8</v>
      </c>
      <c r="E255">
        <f t="shared" ref="E255:E318" si="10">(($I$9*$I$6*$I$8)/(2*$I$10))*(2*(D255-$I$4-$I$8)+$I$8)-((($I$9*$I$5)/(2*$I$10))*(D255-$I$4-$I$8)^2 )</f>
        <v>0.93347699672845308</v>
      </c>
      <c r="N255">
        <v>20.159999999999901</v>
      </c>
      <c r="O255">
        <v>0.93344263865436095</v>
      </c>
    </row>
    <row r="256" spans="1:15" x14ac:dyDescent="0.3">
      <c r="A256">
        <v>20.239999999999998</v>
      </c>
      <c r="B256">
        <v>0.94762869699999996</v>
      </c>
      <c r="D256">
        <f t="shared" si="9"/>
        <v>2.0240000000000001E-8</v>
      </c>
      <c r="E256">
        <f t="shared" si="10"/>
        <v>0.94766357722584627</v>
      </c>
      <c r="N256">
        <v>20.239999999999899</v>
      </c>
      <c r="O256">
        <v>0.94762869699260899</v>
      </c>
    </row>
    <row r="257" spans="1:15" x14ac:dyDescent="0.3">
      <c r="A257">
        <v>20.32</v>
      </c>
      <c r="B257">
        <v>0.96169895100000002</v>
      </c>
      <c r="D257">
        <f t="shared" si="9"/>
        <v>2.0320000000000003E-8</v>
      </c>
      <c r="E257">
        <f t="shared" si="10"/>
        <v>0.96173434890285248</v>
      </c>
      <c r="N257">
        <v>20.319999999999901</v>
      </c>
      <c r="O257">
        <v>0.96169895077299306</v>
      </c>
    </row>
    <row r="258" spans="1:15" x14ac:dyDescent="0.3">
      <c r="A258">
        <v>20.399999999999999</v>
      </c>
      <c r="B258">
        <v>0.9756534</v>
      </c>
      <c r="D258">
        <f t="shared" si="9"/>
        <v>2.0400000000000001E-8</v>
      </c>
      <c r="E258">
        <f t="shared" si="10"/>
        <v>0.97568931175947127</v>
      </c>
      <c r="N258">
        <v>20.399999999999899</v>
      </c>
      <c r="O258">
        <v>0.97565339999551404</v>
      </c>
    </row>
    <row r="259" spans="1:15" x14ac:dyDescent="0.3">
      <c r="A259">
        <v>20.48</v>
      </c>
      <c r="B259">
        <v>0.98949204499999999</v>
      </c>
      <c r="D259">
        <f t="shared" ref="D259:D322" si="11">A259*0.000000001</f>
        <v>2.0480000000000002E-8</v>
      </c>
      <c r="E259">
        <f t="shared" si="10"/>
        <v>0.98952846579570375</v>
      </c>
      <c r="N259">
        <v>20.479999999999901</v>
      </c>
      <c r="O259">
        <v>0.98949204466017204</v>
      </c>
    </row>
    <row r="260" spans="1:15" x14ac:dyDescent="0.3">
      <c r="A260">
        <v>20.56</v>
      </c>
      <c r="B260">
        <v>1.003214885</v>
      </c>
      <c r="D260">
        <f t="shared" si="11"/>
        <v>2.056E-8</v>
      </c>
      <c r="E260">
        <f t="shared" si="10"/>
        <v>1.0032518110115489</v>
      </c>
      <c r="N260">
        <v>20.559999999999899</v>
      </c>
      <c r="O260">
        <v>1.00321488476696</v>
      </c>
    </row>
    <row r="261" spans="1:15" x14ac:dyDescent="0.3">
      <c r="A261">
        <v>20.64</v>
      </c>
      <c r="B261">
        <v>1.0168219199999999</v>
      </c>
      <c r="D261">
        <f t="shared" si="11"/>
        <v>2.0640000000000002E-8</v>
      </c>
      <c r="E261">
        <f t="shared" si="10"/>
        <v>1.0168593474070076</v>
      </c>
      <c r="N261">
        <v>20.639999999999901</v>
      </c>
      <c r="O261">
        <v>1.0168219203158899</v>
      </c>
    </row>
    <row r="262" spans="1:15" x14ac:dyDescent="0.3">
      <c r="A262">
        <v>20.72</v>
      </c>
      <c r="B262">
        <v>1.0303131510000001</v>
      </c>
      <c r="D262">
        <f t="shared" si="11"/>
        <v>2.072E-8</v>
      </c>
      <c r="E262">
        <f t="shared" si="10"/>
        <v>1.0303510749820788</v>
      </c>
      <c r="N262">
        <v>20.719999999999899</v>
      </c>
      <c r="O262">
        <v>1.0303131513069601</v>
      </c>
    </row>
    <row r="263" spans="1:15" x14ac:dyDescent="0.3">
      <c r="A263">
        <v>20.8</v>
      </c>
      <c r="B263">
        <v>1.043688578</v>
      </c>
      <c r="D263">
        <f t="shared" si="11"/>
        <v>2.0800000000000001E-8</v>
      </c>
      <c r="E263">
        <f t="shared" si="10"/>
        <v>1.0437269937367637</v>
      </c>
      <c r="N263">
        <v>20.799999999999901</v>
      </c>
      <c r="O263">
        <v>1.0436885777401601</v>
      </c>
    </row>
    <row r="264" spans="1:15" x14ac:dyDescent="0.3">
      <c r="A264">
        <v>20.88</v>
      </c>
      <c r="B264">
        <v>1.0569481999999999</v>
      </c>
      <c r="D264">
        <f t="shared" si="11"/>
        <v>2.0879999999999999E-8</v>
      </c>
      <c r="E264">
        <f t="shared" si="10"/>
        <v>1.0569871036710612</v>
      </c>
      <c r="N264">
        <v>20.8799999999999</v>
      </c>
      <c r="O264">
        <v>1.0569481996154999</v>
      </c>
    </row>
    <row r="265" spans="1:15" x14ac:dyDescent="0.3">
      <c r="A265">
        <v>20.96</v>
      </c>
      <c r="B265">
        <v>1.0700920169999999</v>
      </c>
      <c r="D265">
        <f t="shared" si="11"/>
        <v>2.0960000000000004E-8</v>
      </c>
      <c r="E265">
        <f t="shared" si="10"/>
        <v>1.070131404784973</v>
      </c>
      <c r="N265">
        <v>20.959999999999901</v>
      </c>
      <c r="O265">
        <v>1.07009201693298</v>
      </c>
    </row>
    <row r="266" spans="1:15" x14ac:dyDescent="0.3">
      <c r="A266">
        <v>21.04</v>
      </c>
      <c r="B266">
        <v>1.0831200299999999</v>
      </c>
      <c r="D266">
        <f t="shared" si="11"/>
        <v>2.1040000000000002E-8</v>
      </c>
      <c r="E266">
        <f t="shared" si="10"/>
        <v>1.0831598970784968</v>
      </c>
      <c r="N266">
        <v>21.0399999999999</v>
      </c>
      <c r="O266">
        <v>1.0831200296926</v>
      </c>
    </row>
    <row r="267" spans="1:15" x14ac:dyDescent="0.3">
      <c r="A267">
        <v>21.12</v>
      </c>
      <c r="B267">
        <v>1.096032238</v>
      </c>
      <c r="D267">
        <f t="shared" si="11"/>
        <v>2.1120000000000003E-8</v>
      </c>
      <c r="E267">
        <f t="shared" si="10"/>
        <v>1.0960725805516345</v>
      </c>
      <c r="N267">
        <v>21.119999999999902</v>
      </c>
      <c r="O267">
        <v>1.0960322378943499</v>
      </c>
    </row>
    <row r="268" spans="1:15" x14ac:dyDescent="0.3">
      <c r="A268">
        <v>21.2</v>
      </c>
      <c r="B268">
        <v>1.108828642</v>
      </c>
      <c r="D268">
        <f t="shared" si="11"/>
        <v>2.1200000000000001E-8</v>
      </c>
      <c r="E268">
        <f t="shared" si="10"/>
        <v>1.1088694552043843</v>
      </c>
      <c r="N268">
        <v>21.1999999999999</v>
      </c>
      <c r="O268">
        <v>1.10882864153824</v>
      </c>
    </row>
    <row r="269" spans="1:15" x14ac:dyDescent="0.3">
      <c r="A269">
        <v>21.28</v>
      </c>
      <c r="B269">
        <v>1.121509241</v>
      </c>
      <c r="D269">
        <f t="shared" si="11"/>
        <v>2.1280000000000003E-8</v>
      </c>
      <c r="E269">
        <f t="shared" si="10"/>
        <v>1.121550521036748</v>
      </c>
      <c r="N269">
        <v>21.279999999999902</v>
      </c>
      <c r="O269">
        <v>1.1215092406242599</v>
      </c>
    </row>
    <row r="270" spans="1:15" x14ac:dyDescent="0.3">
      <c r="A270">
        <v>21.36</v>
      </c>
      <c r="B270">
        <v>1.134074035</v>
      </c>
      <c r="D270">
        <f t="shared" si="11"/>
        <v>2.1360000000000001E-8</v>
      </c>
      <c r="E270">
        <f t="shared" si="10"/>
        <v>1.1341157780487243</v>
      </c>
      <c r="N270">
        <v>21.3599999999999</v>
      </c>
      <c r="O270">
        <v>1.1340740351524199</v>
      </c>
    </row>
    <row r="271" spans="1:15" x14ac:dyDescent="0.3">
      <c r="A271">
        <v>21.44</v>
      </c>
      <c r="B271">
        <v>1.146523025</v>
      </c>
      <c r="D271">
        <f t="shared" si="11"/>
        <v>2.1440000000000002E-8</v>
      </c>
      <c r="E271">
        <f t="shared" si="10"/>
        <v>1.1465652262403141</v>
      </c>
      <c r="N271">
        <v>21.439999999999898</v>
      </c>
      <c r="O271">
        <v>1.1465230251227201</v>
      </c>
    </row>
    <row r="272" spans="1:15" x14ac:dyDescent="0.3">
      <c r="A272">
        <v>21.52</v>
      </c>
      <c r="B272">
        <v>1.158856211</v>
      </c>
      <c r="D272">
        <f t="shared" si="11"/>
        <v>2.152E-8</v>
      </c>
      <c r="E272">
        <f t="shared" si="10"/>
        <v>1.1588988656115169</v>
      </c>
      <c r="N272">
        <v>21.5199999999999</v>
      </c>
      <c r="O272">
        <v>1.1588562105351501</v>
      </c>
    </row>
    <row r="273" spans="1:15" x14ac:dyDescent="0.3">
      <c r="A273">
        <v>21.6</v>
      </c>
      <c r="B273">
        <v>1.1710735910000001</v>
      </c>
      <c r="D273">
        <f t="shared" si="11"/>
        <v>2.1600000000000002E-8</v>
      </c>
      <c r="E273">
        <f t="shared" si="10"/>
        <v>1.1711166961623327</v>
      </c>
      <c r="N273">
        <v>21.599999999999898</v>
      </c>
      <c r="O273">
        <v>1.1710735913897199</v>
      </c>
    </row>
    <row r="274" spans="1:15" x14ac:dyDescent="0.3">
      <c r="A274">
        <v>21.68</v>
      </c>
      <c r="B274">
        <v>1.183175168</v>
      </c>
      <c r="D274">
        <f t="shared" si="11"/>
        <v>2.168E-8</v>
      </c>
      <c r="E274">
        <f t="shared" si="10"/>
        <v>1.1832187178927616</v>
      </c>
      <c r="N274">
        <v>21.6799999999999</v>
      </c>
      <c r="O274">
        <v>1.1831751676864299</v>
      </c>
    </row>
    <row r="275" spans="1:15" x14ac:dyDescent="0.3">
      <c r="A275">
        <v>21.76</v>
      </c>
      <c r="B275">
        <v>1.195160939</v>
      </c>
      <c r="D275">
        <f t="shared" si="11"/>
        <v>2.1760000000000004E-8</v>
      </c>
      <c r="E275">
        <f t="shared" si="10"/>
        <v>1.1952049308028045</v>
      </c>
      <c r="N275">
        <v>21.759999999999899</v>
      </c>
      <c r="O275">
        <v>1.19516093942527</v>
      </c>
    </row>
    <row r="276" spans="1:15" x14ac:dyDescent="0.3">
      <c r="A276">
        <v>21.84</v>
      </c>
      <c r="B276">
        <v>1.207030907</v>
      </c>
      <c r="D276">
        <f t="shared" si="11"/>
        <v>2.1840000000000002E-8</v>
      </c>
      <c r="E276">
        <f t="shared" si="10"/>
        <v>1.2070753348924594</v>
      </c>
      <c r="N276">
        <v>21.8399999999999</v>
      </c>
      <c r="O276">
        <v>1.2070309066062599</v>
      </c>
    </row>
    <row r="277" spans="1:15" x14ac:dyDescent="0.3">
      <c r="A277">
        <v>21.92</v>
      </c>
      <c r="B277">
        <v>1.2187850689999999</v>
      </c>
      <c r="D277">
        <f t="shared" si="11"/>
        <v>2.1920000000000004E-8</v>
      </c>
      <c r="E277">
        <f t="shared" si="10"/>
        <v>1.218829930161728</v>
      </c>
      <c r="N277">
        <v>21.919999999999899</v>
      </c>
      <c r="O277">
        <v>1.21878506922937</v>
      </c>
    </row>
    <row r="278" spans="1:15" x14ac:dyDescent="0.3">
      <c r="A278">
        <v>22</v>
      </c>
      <c r="B278">
        <v>1.2304234270000001</v>
      </c>
      <c r="D278">
        <f t="shared" si="11"/>
        <v>2.2000000000000002E-8</v>
      </c>
      <c r="E278">
        <f t="shared" si="10"/>
        <v>1.2304687166106094</v>
      </c>
      <c r="N278">
        <v>21.999999999999901</v>
      </c>
      <c r="O278">
        <v>1.2304234272946299</v>
      </c>
    </row>
    <row r="279" spans="1:15" x14ac:dyDescent="0.3">
      <c r="A279">
        <v>22.08</v>
      </c>
      <c r="B279">
        <v>1.241945981</v>
      </c>
      <c r="D279">
        <f t="shared" si="11"/>
        <v>2.208E-8</v>
      </c>
      <c r="E279">
        <f t="shared" si="10"/>
        <v>1.2419916942391036</v>
      </c>
      <c r="N279">
        <v>22.079999999999899</v>
      </c>
      <c r="O279">
        <v>1.2419459808020199</v>
      </c>
    </row>
    <row r="280" spans="1:15" x14ac:dyDescent="0.3">
      <c r="A280">
        <v>22.16</v>
      </c>
      <c r="B280">
        <v>1.25335273</v>
      </c>
      <c r="D280">
        <f t="shared" si="11"/>
        <v>2.2160000000000001E-8</v>
      </c>
      <c r="E280">
        <f t="shared" si="10"/>
        <v>1.2533988630472117</v>
      </c>
      <c r="N280">
        <v>22.159999999999901</v>
      </c>
      <c r="O280">
        <v>1.2533527297515501</v>
      </c>
    </row>
    <row r="281" spans="1:15" x14ac:dyDescent="0.3">
      <c r="A281">
        <v>22.24</v>
      </c>
      <c r="B281">
        <v>1.264643674</v>
      </c>
      <c r="D281">
        <f t="shared" si="11"/>
        <v>2.2239999999999999E-8</v>
      </c>
      <c r="E281">
        <f t="shared" si="10"/>
        <v>1.2646902230349322</v>
      </c>
      <c r="N281">
        <v>22.239999999999899</v>
      </c>
      <c r="O281">
        <v>1.2646436741432101</v>
      </c>
    </row>
    <row r="282" spans="1:15" x14ac:dyDescent="0.3">
      <c r="A282">
        <v>22.32</v>
      </c>
      <c r="B282">
        <v>1.275818814</v>
      </c>
      <c r="D282">
        <f t="shared" si="11"/>
        <v>2.2320000000000001E-8</v>
      </c>
      <c r="E282">
        <f t="shared" si="10"/>
        <v>1.2758657742022665</v>
      </c>
      <c r="N282">
        <v>22.319999999999901</v>
      </c>
      <c r="O282">
        <v>1.2758188139770099</v>
      </c>
    </row>
    <row r="283" spans="1:15" x14ac:dyDescent="0.3">
      <c r="A283">
        <v>22.4</v>
      </c>
      <c r="B283">
        <v>1.2868781490000001</v>
      </c>
      <c r="D283">
        <f t="shared" si="11"/>
        <v>2.2399999999999999E-8</v>
      </c>
      <c r="E283">
        <f t="shared" si="10"/>
        <v>1.2869255165492133</v>
      </c>
      <c r="N283">
        <v>22.399999999999899</v>
      </c>
      <c r="O283">
        <v>1.28687814925295</v>
      </c>
    </row>
    <row r="284" spans="1:15" x14ac:dyDescent="0.3">
      <c r="A284">
        <v>22.48</v>
      </c>
      <c r="B284">
        <v>1.29782168</v>
      </c>
      <c r="D284">
        <f t="shared" si="11"/>
        <v>2.2480000000000003E-8</v>
      </c>
      <c r="E284">
        <f t="shared" si="10"/>
        <v>1.2978694500757741</v>
      </c>
      <c r="N284">
        <v>22.479999999999901</v>
      </c>
      <c r="O284">
        <v>1.29782167997103</v>
      </c>
    </row>
    <row r="285" spans="1:15" x14ac:dyDescent="0.3">
      <c r="A285">
        <v>22.56</v>
      </c>
      <c r="B285">
        <v>1.308649406</v>
      </c>
      <c r="D285">
        <f t="shared" si="11"/>
        <v>2.2560000000000002E-8</v>
      </c>
      <c r="E285">
        <f t="shared" si="10"/>
        <v>1.3086975747819471</v>
      </c>
      <c r="N285">
        <v>22.559999999999899</v>
      </c>
      <c r="O285">
        <v>1.3086494061312399</v>
      </c>
    </row>
    <row r="286" spans="1:15" x14ac:dyDescent="0.3">
      <c r="A286">
        <v>22.64</v>
      </c>
      <c r="B286">
        <v>1.3193613280000001</v>
      </c>
      <c r="D286">
        <f t="shared" si="11"/>
        <v>2.2640000000000003E-8</v>
      </c>
      <c r="E286">
        <f t="shared" si="10"/>
        <v>1.3194098906677338</v>
      </c>
      <c r="N286">
        <v>22.639999999999901</v>
      </c>
      <c r="O286">
        <v>1.3193613277335901</v>
      </c>
    </row>
    <row r="287" spans="1:15" x14ac:dyDescent="0.3">
      <c r="A287">
        <v>22.72</v>
      </c>
      <c r="B287">
        <v>1.329957445</v>
      </c>
      <c r="D287">
        <f t="shared" si="11"/>
        <v>2.2720000000000001E-8</v>
      </c>
      <c r="E287">
        <f t="shared" si="10"/>
        <v>1.3300063977331333</v>
      </c>
      <c r="N287">
        <v>22.719999999999899</v>
      </c>
      <c r="O287">
        <v>1.32995744477807</v>
      </c>
    </row>
    <row r="288" spans="1:15" x14ac:dyDescent="0.3">
      <c r="A288">
        <v>22.8</v>
      </c>
      <c r="B288">
        <v>1.3404377569999999</v>
      </c>
      <c r="D288">
        <f t="shared" si="11"/>
        <v>2.2800000000000002E-8</v>
      </c>
      <c r="E288">
        <f t="shared" si="10"/>
        <v>1.3404870959781461</v>
      </c>
      <c r="N288">
        <v>22.799999999999901</v>
      </c>
      <c r="O288">
        <v>1.3404377572646899</v>
      </c>
    </row>
    <row r="289" spans="1:15" x14ac:dyDescent="0.3">
      <c r="A289">
        <v>22.88</v>
      </c>
      <c r="B289">
        <v>1.350802265</v>
      </c>
      <c r="D289">
        <f t="shared" si="11"/>
        <v>2.288E-8</v>
      </c>
      <c r="E289">
        <f t="shared" si="10"/>
        <v>1.3508519854027718</v>
      </c>
      <c r="N289">
        <v>22.8799999999999</v>
      </c>
      <c r="O289">
        <v>1.3508022651934499</v>
      </c>
    </row>
    <row r="290" spans="1:15" x14ac:dyDescent="0.3">
      <c r="A290">
        <v>22.96</v>
      </c>
      <c r="B290">
        <v>1.3610509690000001</v>
      </c>
      <c r="D290">
        <f t="shared" si="11"/>
        <v>2.2960000000000002E-8</v>
      </c>
      <c r="E290">
        <f t="shared" si="10"/>
        <v>1.3611010660070109</v>
      </c>
      <c r="N290">
        <v>22.959999999999901</v>
      </c>
      <c r="O290">
        <v>1.3610509685643399</v>
      </c>
    </row>
    <row r="291" spans="1:15" x14ac:dyDescent="0.3">
      <c r="A291">
        <v>23.04</v>
      </c>
      <c r="B291">
        <v>1.3711838670000001</v>
      </c>
      <c r="D291">
        <f t="shared" si="11"/>
        <v>2.304E-8</v>
      </c>
      <c r="E291">
        <f t="shared" si="10"/>
        <v>1.3712343377908627</v>
      </c>
      <c r="N291">
        <v>23.0399999999999</v>
      </c>
      <c r="O291">
        <v>1.37118386737738</v>
      </c>
    </row>
    <row r="292" spans="1:15" x14ac:dyDescent="0.3">
      <c r="A292">
        <v>23.12</v>
      </c>
      <c r="B292">
        <v>1.3812009620000001</v>
      </c>
      <c r="D292">
        <f t="shared" si="11"/>
        <v>2.3120000000000001E-8</v>
      </c>
      <c r="E292">
        <f t="shared" si="10"/>
        <v>1.3812518007543282</v>
      </c>
      <c r="N292">
        <v>23.119999999999902</v>
      </c>
      <c r="O292">
        <v>1.38120096163254</v>
      </c>
    </row>
    <row r="293" spans="1:15" x14ac:dyDescent="0.3">
      <c r="A293">
        <v>23.2</v>
      </c>
      <c r="B293">
        <v>1.391102251</v>
      </c>
      <c r="D293">
        <f t="shared" si="11"/>
        <v>2.3199999999999999E-8</v>
      </c>
      <c r="E293">
        <f t="shared" si="10"/>
        <v>1.3911534548974063</v>
      </c>
      <c r="N293">
        <v>23.1999999999999</v>
      </c>
      <c r="O293">
        <v>1.3911022513298501</v>
      </c>
    </row>
    <row r="294" spans="1:15" x14ac:dyDescent="0.3">
      <c r="A294">
        <v>23.28</v>
      </c>
      <c r="B294">
        <v>1.4008877360000001</v>
      </c>
      <c r="D294">
        <f t="shared" si="11"/>
        <v>2.3280000000000004E-8</v>
      </c>
      <c r="E294">
        <f t="shared" si="10"/>
        <v>1.400939300220098</v>
      </c>
      <c r="N294">
        <v>23.279999999999902</v>
      </c>
      <c r="O294">
        <v>1.40088773646929</v>
      </c>
    </row>
    <row r="295" spans="1:15" x14ac:dyDescent="0.3">
      <c r="A295">
        <v>23.36</v>
      </c>
      <c r="B295">
        <v>1.4105574169999999</v>
      </c>
      <c r="D295">
        <f t="shared" si="11"/>
        <v>2.3360000000000002E-8</v>
      </c>
      <c r="E295">
        <f t="shared" si="10"/>
        <v>1.4106093367224024</v>
      </c>
      <c r="N295">
        <v>23.3599999999999</v>
      </c>
      <c r="O295">
        <v>1.4105574170508699</v>
      </c>
    </row>
    <row r="296" spans="1:15" x14ac:dyDescent="0.3">
      <c r="A296">
        <v>23.44</v>
      </c>
      <c r="B296">
        <v>1.4201112929999999</v>
      </c>
      <c r="D296">
        <f t="shared" si="11"/>
        <v>2.3440000000000003E-8</v>
      </c>
      <c r="E296">
        <f t="shared" si="10"/>
        <v>1.4201635644043202</v>
      </c>
      <c r="N296">
        <v>23.439999999999898</v>
      </c>
      <c r="O296">
        <v>1.4201112930745801</v>
      </c>
    </row>
    <row r="297" spans="1:15" x14ac:dyDescent="0.3">
      <c r="A297">
        <v>23.52</v>
      </c>
      <c r="B297">
        <v>1.429549365</v>
      </c>
      <c r="D297">
        <f t="shared" si="11"/>
        <v>2.3520000000000001E-8</v>
      </c>
      <c r="E297">
        <f t="shared" si="10"/>
        <v>1.4296019832658509</v>
      </c>
      <c r="N297">
        <v>23.5199999999999</v>
      </c>
      <c r="O297">
        <v>1.42954936454044</v>
      </c>
    </row>
    <row r="298" spans="1:15" x14ac:dyDescent="0.3">
      <c r="A298">
        <v>23.6</v>
      </c>
      <c r="B298">
        <v>1.438871631</v>
      </c>
      <c r="D298">
        <f t="shared" si="11"/>
        <v>2.3600000000000003E-8</v>
      </c>
      <c r="E298">
        <f t="shared" si="10"/>
        <v>1.438924593306995</v>
      </c>
      <c r="N298">
        <v>23.599999999999898</v>
      </c>
      <c r="O298">
        <v>1.43887163144842</v>
      </c>
    </row>
    <row r="299" spans="1:15" x14ac:dyDescent="0.3">
      <c r="A299">
        <v>23.68</v>
      </c>
      <c r="B299">
        <v>1.448078094</v>
      </c>
      <c r="D299">
        <f t="shared" si="11"/>
        <v>2.3680000000000001E-8</v>
      </c>
      <c r="E299">
        <f t="shared" si="10"/>
        <v>1.4481313945277516</v>
      </c>
      <c r="N299">
        <v>23.6799999999999</v>
      </c>
      <c r="O299">
        <v>1.44807809379855</v>
      </c>
    </row>
    <row r="300" spans="1:15" x14ac:dyDescent="0.3">
      <c r="A300">
        <v>23.76</v>
      </c>
      <c r="B300">
        <v>1.4571687520000001</v>
      </c>
      <c r="D300">
        <f t="shared" si="11"/>
        <v>2.3760000000000002E-8</v>
      </c>
      <c r="E300">
        <f t="shared" si="10"/>
        <v>1.457222386928122</v>
      </c>
      <c r="N300">
        <v>23.759999999999899</v>
      </c>
      <c r="O300">
        <v>1.4571687515908101</v>
      </c>
    </row>
    <row r="301" spans="1:15" x14ac:dyDescent="0.3">
      <c r="A301">
        <v>23.84</v>
      </c>
      <c r="B301">
        <v>1.4661436050000001</v>
      </c>
      <c r="D301">
        <f t="shared" si="11"/>
        <v>2.384E-8</v>
      </c>
      <c r="E301">
        <f t="shared" si="10"/>
        <v>1.4661975705081052</v>
      </c>
      <c r="N301">
        <v>23.8399999999999</v>
      </c>
      <c r="O301">
        <v>1.4661436048252099</v>
      </c>
    </row>
    <row r="302" spans="1:15" x14ac:dyDescent="0.3">
      <c r="A302">
        <v>23.92</v>
      </c>
      <c r="B302">
        <v>1.4750026540000001</v>
      </c>
      <c r="D302">
        <f t="shared" si="11"/>
        <v>2.3920000000000002E-8</v>
      </c>
      <c r="E302">
        <f t="shared" si="10"/>
        <v>1.4750569452677016</v>
      </c>
      <c r="N302">
        <v>23.919999999999899</v>
      </c>
      <c r="O302">
        <v>1.47500265350175</v>
      </c>
    </row>
    <row r="303" spans="1:15" x14ac:dyDescent="0.3">
      <c r="A303">
        <v>24</v>
      </c>
      <c r="B303">
        <v>1.483745898</v>
      </c>
      <c r="D303">
        <f t="shared" si="11"/>
        <v>2.4000000000000003E-8</v>
      </c>
      <c r="E303">
        <f t="shared" si="10"/>
        <v>1.4838005112069115</v>
      </c>
      <c r="N303">
        <v>23.999999999999901</v>
      </c>
      <c r="O303">
        <v>1.4837458976204201</v>
      </c>
    </row>
    <row r="304" spans="1:15" x14ac:dyDescent="0.3">
      <c r="A304">
        <v>24.08</v>
      </c>
      <c r="B304">
        <v>1.4923733370000001</v>
      </c>
      <c r="D304">
        <f t="shared" si="11"/>
        <v>2.4080000000000001E-8</v>
      </c>
      <c r="E304">
        <f t="shared" si="10"/>
        <v>1.4924282683257337</v>
      </c>
      <c r="N304">
        <v>24.079999999999899</v>
      </c>
      <c r="O304">
        <v>1.49237333718123</v>
      </c>
    </row>
    <row r="305" spans="1:15" x14ac:dyDescent="0.3">
      <c r="A305">
        <v>24.16</v>
      </c>
      <c r="B305">
        <v>1.5008849719999999</v>
      </c>
      <c r="D305">
        <f t="shared" si="11"/>
        <v>2.4160000000000003E-8</v>
      </c>
      <c r="E305">
        <f t="shared" si="10"/>
        <v>1.5009402166241697</v>
      </c>
      <c r="N305">
        <v>24.159999999999901</v>
      </c>
      <c r="O305">
        <v>1.5008849721841699</v>
      </c>
    </row>
    <row r="306" spans="1:15" x14ac:dyDescent="0.3">
      <c r="A306">
        <v>24.24</v>
      </c>
      <c r="B306">
        <v>1.509280803</v>
      </c>
      <c r="D306">
        <f t="shared" si="11"/>
        <v>2.4240000000000001E-8</v>
      </c>
      <c r="E306">
        <f t="shared" si="10"/>
        <v>1.5093363561022184</v>
      </c>
      <c r="N306">
        <v>24.239999999999899</v>
      </c>
      <c r="O306">
        <v>1.5092808026292499</v>
      </c>
    </row>
    <row r="307" spans="1:15" x14ac:dyDescent="0.3">
      <c r="A307">
        <v>24.32</v>
      </c>
      <c r="B307">
        <v>1.517560829</v>
      </c>
      <c r="D307">
        <f t="shared" si="11"/>
        <v>2.4320000000000002E-8</v>
      </c>
      <c r="E307">
        <f t="shared" si="10"/>
        <v>1.5176166867598804</v>
      </c>
      <c r="N307">
        <v>24.319999999999901</v>
      </c>
      <c r="O307">
        <v>1.5175608285164699</v>
      </c>
    </row>
    <row r="308" spans="1:15" x14ac:dyDescent="0.3">
      <c r="A308">
        <v>24.4</v>
      </c>
      <c r="B308">
        <v>1.5257250499999999</v>
      </c>
      <c r="D308">
        <f t="shared" si="11"/>
        <v>2.44E-8</v>
      </c>
      <c r="E308">
        <f t="shared" si="10"/>
        <v>1.5257812085971552</v>
      </c>
      <c r="N308">
        <v>24.399999999999899</v>
      </c>
      <c r="O308">
        <v>1.5257250498458299</v>
      </c>
    </row>
    <row r="309" spans="1:15" x14ac:dyDescent="0.3">
      <c r="A309">
        <v>24.48</v>
      </c>
      <c r="B309">
        <v>1.5337734670000001</v>
      </c>
      <c r="D309">
        <f t="shared" si="11"/>
        <v>2.4480000000000001E-8</v>
      </c>
      <c r="E309">
        <f t="shared" si="10"/>
        <v>1.5338299216140436</v>
      </c>
      <c r="N309">
        <v>24.479999999999901</v>
      </c>
      <c r="O309">
        <v>1.5337734666173199</v>
      </c>
    </row>
    <row r="310" spans="1:15" x14ac:dyDescent="0.3">
      <c r="A310">
        <v>24.56</v>
      </c>
      <c r="B310">
        <v>1.5417060789999999</v>
      </c>
      <c r="D310">
        <f t="shared" si="11"/>
        <v>2.456E-8</v>
      </c>
      <c r="E310">
        <f t="shared" si="10"/>
        <v>1.5417628258105447</v>
      </c>
      <c r="N310">
        <v>24.559999999999899</v>
      </c>
      <c r="O310">
        <v>1.54170607883095</v>
      </c>
    </row>
    <row r="311" spans="1:15" x14ac:dyDescent="0.3">
      <c r="A311">
        <v>24.64</v>
      </c>
      <c r="B311">
        <v>1.5495228860000001</v>
      </c>
      <c r="D311">
        <f t="shared" si="11"/>
        <v>2.4640000000000001E-8</v>
      </c>
      <c r="E311">
        <f t="shared" si="10"/>
        <v>1.5495799211866594</v>
      </c>
      <c r="N311">
        <v>24.639999999999901</v>
      </c>
      <c r="O311">
        <v>1.5495228864867101</v>
      </c>
    </row>
    <row r="312" spans="1:15" x14ac:dyDescent="0.3">
      <c r="A312">
        <v>24.72</v>
      </c>
      <c r="B312">
        <v>1.5572238899999999</v>
      </c>
      <c r="D312">
        <f t="shared" si="11"/>
        <v>2.4719999999999999E-8</v>
      </c>
      <c r="E312">
        <f t="shared" si="10"/>
        <v>1.5572812077423868</v>
      </c>
      <c r="N312">
        <v>24.719999999999899</v>
      </c>
      <c r="O312">
        <v>1.55722388958462</v>
      </c>
    </row>
    <row r="313" spans="1:15" x14ac:dyDescent="0.3">
      <c r="A313">
        <v>24.8</v>
      </c>
      <c r="B313">
        <v>1.5648090880000001</v>
      </c>
      <c r="D313">
        <f t="shared" si="11"/>
        <v>2.4800000000000004E-8</v>
      </c>
      <c r="E313">
        <f t="shared" si="10"/>
        <v>1.564866685477728</v>
      </c>
      <c r="N313">
        <v>24.799999999999901</v>
      </c>
      <c r="O313">
        <v>1.5648090881246499</v>
      </c>
    </row>
    <row r="314" spans="1:15" x14ac:dyDescent="0.3">
      <c r="A314">
        <v>24.88</v>
      </c>
      <c r="B314">
        <v>1.572278482</v>
      </c>
      <c r="D314">
        <f t="shared" si="11"/>
        <v>2.4880000000000002E-8</v>
      </c>
      <c r="E314">
        <f t="shared" si="10"/>
        <v>1.5723363543926816</v>
      </c>
      <c r="N314">
        <v>24.8799999999999</v>
      </c>
      <c r="O314">
        <v>1.5722784821068301</v>
      </c>
    </row>
    <row r="315" spans="1:15" x14ac:dyDescent="0.3">
      <c r="A315">
        <v>24.96</v>
      </c>
      <c r="B315">
        <v>1.5796320720000001</v>
      </c>
      <c r="D315">
        <f t="shared" si="11"/>
        <v>2.4960000000000003E-8</v>
      </c>
      <c r="E315">
        <f t="shared" si="10"/>
        <v>1.5796902144872487</v>
      </c>
      <c r="N315">
        <v>24.959999999999901</v>
      </c>
      <c r="O315">
        <v>1.57963207153114</v>
      </c>
    </row>
    <row r="316" spans="1:15" x14ac:dyDescent="0.3">
      <c r="A316">
        <v>25.04</v>
      </c>
      <c r="B316">
        <v>1.5868698560000001</v>
      </c>
      <c r="D316">
        <f t="shared" si="11"/>
        <v>2.5040000000000001E-8</v>
      </c>
      <c r="E316">
        <f t="shared" si="10"/>
        <v>1.5869282657614285</v>
      </c>
      <c r="N316">
        <v>25.0399999999999</v>
      </c>
      <c r="O316">
        <v>1.58686985639759</v>
      </c>
    </row>
    <row r="317" spans="1:15" x14ac:dyDescent="0.3">
      <c r="A317">
        <v>25.12</v>
      </c>
      <c r="B317">
        <v>1.5939918369999999</v>
      </c>
      <c r="D317">
        <f t="shared" si="11"/>
        <v>2.5120000000000003E-8</v>
      </c>
      <c r="E317">
        <f t="shared" si="10"/>
        <v>1.5940505082152219</v>
      </c>
      <c r="N317">
        <v>25.119999999999902</v>
      </c>
      <c r="O317">
        <v>1.5939918367061801</v>
      </c>
    </row>
    <row r="318" spans="1:15" x14ac:dyDescent="0.3">
      <c r="A318">
        <v>25.2</v>
      </c>
      <c r="B318">
        <v>1.600998012</v>
      </c>
      <c r="D318">
        <f t="shared" si="11"/>
        <v>2.5200000000000001E-8</v>
      </c>
      <c r="E318">
        <f t="shared" si="10"/>
        <v>1.601056941848628</v>
      </c>
      <c r="N318">
        <v>25.1999999999999</v>
      </c>
      <c r="O318">
        <v>1.6009980124569001</v>
      </c>
    </row>
    <row r="319" spans="1:15" x14ac:dyDescent="0.3">
      <c r="A319">
        <v>25.28</v>
      </c>
      <c r="B319">
        <v>1.607888384</v>
      </c>
      <c r="D319">
        <f t="shared" si="11"/>
        <v>2.5280000000000002E-8</v>
      </c>
      <c r="E319">
        <f t="shared" ref="E319:E378" si="12">(($I$9*$I$6*$I$8)/(2*$I$10))*(2*(D319-$I$4-$I$8)+$I$8)-((($I$9*$I$5)/(2*$I$10))*(D319-$I$4-$I$8)^2 )</f>
        <v>1.6079475666616472</v>
      </c>
      <c r="N319">
        <v>25.279999999999902</v>
      </c>
      <c r="O319">
        <v>1.6078883836497599</v>
      </c>
    </row>
    <row r="320" spans="1:15" x14ac:dyDescent="0.3">
      <c r="A320">
        <v>25.36</v>
      </c>
      <c r="B320">
        <v>1.61466295</v>
      </c>
      <c r="D320">
        <f t="shared" si="11"/>
        <v>2.536E-8</v>
      </c>
      <c r="E320">
        <f t="shared" si="12"/>
        <v>1.6147223826542796</v>
      </c>
      <c r="N320">
        <v>25.3599999999999</v>
      </c>
      <c r="O320">
        <v>1.61466295028476</v>
      </c>
    </row>
    <row r="321" spans="1:15" x14ac:dyDescent="0.3">
      <c r="A321">
        <v>25.44</v>
      </c>
      <c r="B321">
        <v>1.6213217120000001</v>
      </c>
      <c r="D321">
        <f t="shared" si="11"/>
        <v>2.5440000000000001E-8</v>
      </c>
      <c r="E321">
        <f t="shared" si="12"/>
        <v>1.6213813898265255</v>
      </c>
      <c r="N321">
        <v>25.439999999999898</v>
      </c>
      <c r="O321">
        <v>1.6213217123618899</v>
      </c>
    </row>
    <row r="322" spans="1:15" x14ac:dyDescent="0.3">
      <c r="A322">
        <v>25.52</v>
      </c>
      <c r="B322">
        <v>1.6278646699999999</v>
      </c>
      <c r="D322">
        <f t="shared" si="11"/>
        <v>2.552E-8</v>
      </c>
      <c r="E322">
        <f t="shared" si="12"/>
        <v>1.6279245881783841</v>
      </c>
      <c r="N322">
        <v>25.5199999999999</v>
      </c>
      <c r="O322">
        <v>1.6278646698811601</v>
      </c>
    </row>
    <row r="323" spans="1:15" x14ac:dyDescent="0.3">
      <c r="A323">
        <v>25.6</v>
      </c>
      <c r="B323">
        <v>1.6342918230000001</v>
      </c>
      <c r="D323">
        <f t="shared" ref="D323:D386" si="13">A323*0.000000001</f>
        <v>2.5600000000000004E-8</v>
      </c>
      <c r="E323">
        <f t="shared" si="12"/>
        <v>1.6343519777098565</v>
      </c>
      <c r="N323">
        <v>25.599999999999898</v>
      </c>
      <c r="O323">
        <v>1.63429182284256</v>
      </c>
    </row>
    <row r="324" spans="1:15" x14ac:dyDescent="0.3">
      <c r="A324">
        <v>25.68</v>
      </c>
      <c r="B324">
        <v>1.640603171</v>
      </c>
      <c r="D324">
        <f t="shared" si="13"/>
        <v>2.5680000000000002E-8</v>
      </c>
      <c r="E324">
        <f t="shared" si="12"/>
        <v>1.6406635584209412</v>
      </c>
      <c r="N324">
        <v>25.6799999999999</v>
      </c>
      <c r="O324">
        <v>1.64060317124611</v>
      </c>
    </row>
    <row r="325" spans="1:15" x14ac:dyDescent="0.3">
      <c r="A325">
        <v>25.76</v>
      </c>
      <c r="B325">
        <v>1.6467987150000001</v>
      </c>
      <c r="D325">
        <f t="shared" si="13"/>
        <v>2.5760000000000004E-8</v>
      </c>
      <c r="E325">
        <f t="shared" si="12"/>
        <v>1.6468593303116397</v>
      </c>
      <c r="N325">
        <v>25.759999999999899</v>
      </c>
      <c r="O325">
        <v>1.64679871509179</v>
      </c>
    </row>
    <row r="326" spans="1:15" x14ac:dyDescent="0.3">
      <c r="A326">
        <v>25.84</v>
      </c>
      <c r="B326">
        <v>1.6528784540000001</v>
      </c>
      <c r="D326">
        <f t="shared" si="13"/>
        <v>2.5840000000000002E-8</v>
      </c>
      <c r="E326">
        <f t="shared" si="12"/>
        <v>1.6529392933819507</v>
      </c>
      <c r="N326">
        <v>25.8399999999999</v>
      </c>
      <c r="O326">
        <v>1.6528784543796</v>
      </c>
    </row>
    <row r="327" spans="1:15" x14ac:dyDescent="0.3">
      <c r="A327">
        <v>25.92</v>
      </c>
      <c r="B327">
        <v>1.6588423889999999</v>
      </c>
      <c r="D327">
        <f t="shared" si="13"/>
        <v>2.5920000000000003E-8</v>
      </c>
      <c r="E327">
        <f t="shared" si="12"/>
        <v>1.6589034476318751</v>
      </c>
      <c r="N327">
        <v>25.919999999999899</v>
      </c>
      <c r="O327">
        <v>1.6588423891095601</v>
      </c>
    </row>
    <row r="328" spans="1:15" x14ac:dyDescent="0.3">
      <c r="A328">
        <v>26</v>
      </c>
      <c r="B328">
        <v>1.6646905190000001</v>
      </c>
      <c r="D328">
        <f t="shared" si="13"/>
        <v>2.6000000000000001E-8</v>
      </c>
      <c r="E328">
        <f t="shared" si="12"/>
        <v>1.6647517930614124</v>
      </c>
      <c r="N328">
        <v>25.999999999999901</v>
      </c>
      <c r="O328">
        <v>1.6646905192816499</v>
      </c>
    </row>
    <row r="329" spans="1:15" x14ac:dyDescent="0.3">
      <c r="A329">
        <v>26.08</v>
      </c>
      <c r="B329">
        <v>1.670422845</v>
      </c>
      <c r="D329">
        <f t="shared" si="13"/>
        <v>2.6079999999999999E-8</v>
      </c>
      <c r="E329">
        <f t="shared" si="12"/>
        <v>1.6704843296705627</v>
      </c>
      <c r="N329">
        <v>26.079999999999899</v>
      </c>
      <c r="O329">
        <v>1.67042284489587</v>
      </c>
    </row>
    <row r="330" spans="1:15" x14ac:dyDescent="0.3">
      <c r="A330">
        <v>26.16</v>
      </c>
      <c r="B330">
        <v>1.6760393659999999</v>
      </c>
      <c r="D330">
        <f t="shared" si="13"/>
        <v>2.6160000000000001E-8</v>
      </c>
      <c r="E330">
        <f t="shared" si="12"/>
        <v>1.6761010574593267</v>
      </c>
      <c r="N330">
        <v>26.159999999999901</v>
      </c>
      <c r="O330">
        <v>1.6760393659522399</v>
      </c>
    </row>
    <row r="331" spans="1:15" x14ac:dyDescent="0.3">
      <c r="A331">
        <v>26.24</v>
      </c>
      <c r="B331">
        <v>1.6815400819999999</v>
      </c>
      <c r="D331">
        <f t="shared" si="13"/>
        <v>2.6239999999999999E-8</v>
      </c>
      <c r="E331">
        <f t="shared" si="12"/>
        <v>1.6816019764277035</v>
      </c>
      <c r="N331">
        <v>26.239999999999899</v>
      </c>
      <c r="O331">
        <v>1.68154008245074</v>
      </c>
    </row>
    <row r="332" spans="1:15" x14ac:dyDescent="0.3">
      <c r="A332">
        <v>26.32</v>
      </c>
      <c r="B332">
        <v>1.686924994</v>
      </c>
      <c r="D332">
        <f t="shared" si="13"/>
        <v>2.6320000000000003E-8</v>
      </c>
      <c r="E332">
        <f t="shared" si="12"/>
        <v>1.686987086575694</v>
      </c>
      <c r="N332">
        <v>26.319999999999901</v>
      </c>
      <c r="O332">
        <v>1.68692499439137</v>
      </c>
    </row>
    <row r="333" spans="1:15" x14ac:dyDescent="0.3">
      <c r="A333">
        <v>26.4</v>
      </c>
      <c r="B333">
        <v>1.692194102</v>
      </c>
      <c r="D333">
        <f t="shared" si="13"/>
        <v>2.6400000000000001E-8</v>
      </c>
      <c r="E333">
        <f t="shared" si="12"/>
        <v>1.6922563879032968</v>
      </c>
      <c r="N333">
        <v>26.399999999999899</v>
      </c>
      <c r="O333">
        <v>1.69219410177415</v>
      </c>
    </row>
    <row r="334" spans="1:15" x14ac:dyDescent="0.3">
      <c r="A334">
        <v>26.48</v>
      </c>
      <c r="B334">
        <v>1.6973474049999999</v>
      </c>
      <c r="D334">
        <f t="shared" si="13"/>
        <v>2.6480000000000003E-8</v>
      </c>
      <c r="E334">
        <f t="shared" si="12"/>
        <v>1.6974098804105129</v>
      </c>
      <c r="N334">
        <v>26.479999999999901</v>
      </c>
      <c r="O334">
        <v>1.69734740459906</v>
      </c>
    </row>
    <row r="335" spans="1:15" x14ac:dyDescent="0.3">
      <c r="A335">
        <v>26.56</v>
      </c>
      <c r="B335">
        <v>1.702384903</v>
      </c>
      <c r="D335">
        <f t="shared" si="13"/>
        <v>2.6560000000000001E-8</v>
      </c>
      <c r="E335">
        <f t="shared" si="12"/>
        <v>1.702447564097342</v>
      </c>
      <c r="N335">
        <v>26.559999999999899</v>
      </c>
      <c r="O335">
        <v>1.7023849028661</v>
      </c>
    </row>
    <row r="336" spans="1:15" x14ac:dyDescent="0.3">
      <c r="A336">
        <v>26.64</v>
      </c>
      <c r="B336">
        <v>1.7073065970000001</v>
      </c>
      <c r="D336">
        <f t="shared" si="13"/>
        <v>2.6640000000000002E-8</v>
      </c>
      <c r="E336">
        <f t="shared" si="12"/>
        <v>1.7073694389637843</v>
      </c>
      <c r="N336">
        <v>26.639999999999901</v>
      </c>
      <c r="O336">
        <v>1.70730659657529</v>
      </c>
    </row>
    <row r="337" spans="1:15" x14ac:dyDescent="0.3">
      <c r="A337">
        <v>26.72</v>
      </c>
      <c r="B337">
        <v>1.7121124860000001</v>
      </c>
      <c r="D337">
        <f t="shared" si="13"/>
        <v>2.672E-8</v>
      </c>
      <c r="E337">
        <f t="shared" si="12"/>
        <v>1.7121755050098399</v>
      </c>
      <c r="N337">
        <v>26.719999999999899</v>
      </c>
      <c r="O337">
        <v>1.7121124857266099</v>
      </c>
    </row>
    <row r="338" spans="1:15" x14ac:dyDescent="0.3">
      <c r="A338">
        <v>26.8</v>
      </c>
      <c r="B338">
        <v>1.71680257</v>
      </c>
      <c r="D338">
        <f t="shared" si="13"/>
        <v>2.6800000000000002E-8</v>
      </c>
      <c r="E338">
        <f t="shared" si="12"/>
        <v>1.7168657622355088</v>
      </c>
      <c r="N338">
        <v>26.799999999999901</v>
      </c>
      <c r="O338">
        <v>1.71680257032006</v>
      </c>
    </row>
    <row r="339" spans="1:15" x14ac:dyDescent="0.3">
      <c r="A339">
        <v>26.88</v>
      </c>
      <c r="B339">
        <v>1.72137685</v>
      </c>
      <c r="D339">
        <f t="shared" si="13"/>
        <v>2.688E-8</v>
      </c>
      <c r="E339">
        <f t="shared" si="12"/>
        <v>1.7214402106407904</v>
      </c>
      <c r="N339">
        <v>26.8799999999999</v>
      </c>
      <c r="O339">
        <v>1.7213768503556599</v>
      </c>
    </row>
    <row r="340" spans="1:15" x14ac:dyDescent="0.3">
      <c r="A340">
        <v>26.96</v>
      </c>
      <c r="B340">
        <v>1.7258353259999999</v>
      </c>
      <c r="D340">
        <f t="shared" si="13"/>
        <v>2.6960000000000001E-8</v>
      </c>
      <c r="E340">
        <f t="shared" si="12"/>
        <v>1.7258988502256853</v>
      </c>
      <c r="N340">
        <v>26.959999999999901</v>
      </c>
      <c r="O340">
        <v>1.7258353258333901</v>
      </c>
    </row>
    <row r="341" spans="1:15" x14ac:dyDescent="0.3">
      <c r="A341">
        <v>27.04</v>
      </c>
      <c r="B341">
        <v>1.730177997</v>
      </c>
      <c r="D341">
        <f t="shared" si="13"/>
        <v>2.7039999999999999E-8</v>
      </c>
      <c r="E341">
        <f t="shared" si="12"/>
        <v>1.7302416809901933</v>
      </c>
      <c r="N341">
        <v>27.0399999999999</v>
      </c>
      <c r="O341">
        <v>1.73017799675325</v>
      </c>
    </row>
    <row r="342" spans="1:15" x14ac:dyDescent="0.3">
      <c r="A342">
        <v>27.12</v>
      </c>
      <c r="B342">
        <v>1.734404863</v>
      </c>
      <c r="D342">
        <f t="shared" si="13"/>
        <v>2.7120000000000004E-8</v>
      </c>
      <c r="E342">
        <f t="shared" si="12"/>
        <v>1.7344687029343149</v>
      </c>
      <c r="N342">
        <v>27.119999999999902</v>
      </c>
      <c r="O342">
        <v>1.73440486311526</v>
      </c>
    </row>
    <row r="343" spans="1:15" x14ac:dyDescent="0.3">
      <c r="A343">
        <v>27.2</v>
      </c>
      <c r="B343">
        <v>1.738515925</v>
      </c>
      <c r="D343">
        <f t="shared" si="13"/>
        <v>2.7200000000000002E-8</v>
      </c>
      <c r="E343">
        <f t="shared" si="12"/>
        <v>1.7385799160580488</v>
      </c>
      <c r="N343">
        <v>27.1999999999999</v>
      </c>
      <c r="O343">
        <v>1.7385159249194</v>
      </c>
    </row>
    <row r="344" spans="1:15" x14ac:dyDescent="0.3">
      <c r="A344">
        <v>27.28</v>
      </c>
      <c r="B344">
        <v>1.7425111820000001</v>
      </c>
      <c r="D344">
        <f t="shared" si="13"/>
        <v>2.7280000000000003E-8</v>
      </c>
      <c r="E344">
        <f t="shared" si="12"/>
        <v>1.7425753203613965</v>
      </c>
      <c r="N344">
        <v>27.279999999999902</v>
      </c>
      <c r="O344">
        <v>1.74251118216568</v>
      </c>
    </row>
    <row r="345" spans="1:15" x14ac:dyDescent="0.3">
      <c r="A345">
        <v>27.36</v>
      </c>
      <c r="B345">
        <v>1.746390635</v>
      </c>
      <c r="D345">
        <f t="shared" si="13"/>
        <v>2.7360000000000001E-8</v>
      </c>
      <c r="E345">
        <f t="shared" si="12"/>
        <v>1.746454915844357</v>
      </c>
      <c r="N345">
        <v>27.3599999999999</v>
      </c>
      <c r="O345">
        <v>1.7463906348540901</v>
      </c>
    </row>
    <row r="346" spans="1:15" x14ac:dyDescent="0.3">
      <c r="A346">
        <v>27.44</v>
      </c>
      <c r="B346">
        <v>1.7501542830000001</v>
      </c>
      <c r="D346">
        <f t="shared" si="13"/>
        <v>2.7440000000000003E-8</v>
      </c>
      <c r="E346">
        <f t="shared" si="12"/>
        <v>1.7502187025069307</v>
      </c>
      <c r="N346">
        <v>27.439999999999898</v>
      </c>
      <c r="O346">
        <v>1.7501542829846399</v>
      </c>
    </row>
    <row r="347" spans="1:15" x14ac:dyDescent="0.3">
      <c r="A347">
        <v>27.52</v>
      </c>
      <c r="B347">
        <v>1.7538021269999999</v>
      </c>
      <c r="D347">
        <f t="shared" si="13"/>
        <v>2.7520000000000001E-8</v>
      </c>
      <c r="E347">
        <f t="shared" si="12"/>
        <v>1.7538666803491172</v>
      </c>
      <c r="N347">
        <v>27.5199999999999</v>
      </c>
      <c r="O347">
        <v>1.75380212655733</v>
      </c>
    </row>
    <row r="348" spans="1:15" x14ac:dyDescent="0.3">
      <c r="A348">
        <v>27.6</v>
      </c>
      <c r="B348">
        <v>1.7573341659999999</v>
      </c>
      <c r="D348">
        <f t="shared" si="13"/>
        <v>2.7600000000000002E-8</v>
      </c>
      <c r="E348">
        <f t="shared" si="12"/>
        <v>1.7573988493709169</v>
      </c>
      <c r="N348">
        <v>27.599999999999898</v>
      </c>
      <c r="O348">
        <v>1.7573341655721499</v>
      </c>
    </row>
    <row r="349" spans="1:15" x14ac:dyDescent="0.3">
      <c r="A349">
        <v>27.68</v>
      </c>
      <c r="B349">
        <v>1.7607504</v>
      </c>
      <c r="D349">
        <f t="shared" si="13"/>
        <v>2.768E-8</v>
      </c>
      <c r="E349">
        <f t="shared" si="12"/>
        <v>1.7608152095723297</v>
      </c>
      <c r="N349">
        <v>27.6799999999999</v>
      </c>
      <c r="O349">
        <v>1.7607504000291101</v>
      </c>
    </row>
    <row r="350" spans="1:15" x14ac:dyDescent="0.3">
      <c r="A350">
        <v>27.76</v>
      </c>
      <c r="B350">
        <v>1.76405083</v>
      </c>
      <c r="D350">
        <f t="shared" si="13"/>
        <v>2.7760000000000002E-8</v>
      </c>
      <c r="E350">
        <f t="shared" si="12"/>
        <v>1.7641157609533562</v>
      </c>
      <c r="N350">
        <v>27.759999999999899</v>
      </c>
      <c r="O350">
        <v>1.7640508299282101</v>
      </c>
    </row>
    <row r="351" spans="1:15" x14ac:dyDescent="0.3">
      <c r="A351">
        <v>27.84</v>
      </c>
      <c r="B351">
        <v>1.767235455</v>
      </c>
      <c r="D351">
        <f t="shared" si="13"/>
        <v>2.7840000000000003E-8</v>
      </c>
      <c r="E351">
        <f t="shared" si="12"/>
        <v>1.7673005035139955</v>
      </c>
      <c r="N351">
        <v>27.8399999999999</v>
      </c>
      <c r="O351">
        <v>1.76723545526944</v>
      </c>
    </row>
    <row r="352" spans="1:15" x14ac:dyDescent="0.3">
      <c r="A352">
        <v>27.92</v>
      </c>
      <c r="B352">
        <v>1.7703042760000001</v>
      </c>
      <c r="D352">
        <f t="shared" si="13"/>
        <v>2.7920000000000005E-8</v>
      </c>
      <c r="E352">
        <f t="shared" si="12"/>
        <v>1.770369437254248</v>
      </c>
      <c r="N352">
        <v>27.919999999999899</v>
      </c>
      <c r="O352">
        <v>1.77030427605281</v>
      </c>
    </row>
    <row r="353" spans="1:15" x14ac:dyDescent="0.3">
      <c r="A353">
        <v>28</v>
      </c>
      <c r="B353">
        <v>1.773257292</v>
      </c>
      <c r="D353">
        <f t="shared" si="13"/>
        <v>2.8000000000000003E-8</v>
      </c>
      <c r="E353">
        <f t="shared" si="12"/>
        <v>1.7733225621741133</v>
      </c>
      <c r="N353">
        <v>27.999999999999901</v>
      </c>
      <c r="O353">
        <v>1.7732572922783201</v>
      </c>
    </row>
    <row r="354" spans="1:15" x14ac:dyDescent="0.3">
      <c r="A354">
        <v>28.08</v>
      </c>
      <c r="B354">
        <v>1.776094504</v>
      </c>
      <c r="D354">
        <f t="shared" si="13"/>
        <v>2.8080000000000001E-8</v>
      </c>
      <c r="E354">
        <f t="shared" si="12"/>
        <v>1.7761598782735919</v>
      </c>
      <c r="N354">
        <v>28.079999999999899</v>
      </c>
      <c r="O354">
        <v>1.7760945039459599</v>
      </c>
    </row>
    <row r="355" spans="1:15" x14ac:dyDescent="0.3">
      <c r="A355">
        <v>28.16</v>
      </c>
      <c r="B355">
        <v>1.7788159109999999</v>
      </c>
      <c r="D355">
        <f t="shared" si="13"/>
        <v>2.8160000000000002E-8</v>
      </c>
      <c r="E355">
        <f t="shared" si="12"/>
        <v>1.7788813855526833</v>
      </c>
      <c r="N355">
        <v>28.159999999999901</v>
      </c>
      <c r="O355">
        <v>1.77881591105574</v>
      </c>
    </row>
    <row r="356" spans="1:15" x14ac:dyDescent="0.3">
      <c r="A356">
        <v>28.24</v>
      </c>
      <c r="B356">
        <v>1.781421514</v>
      </c>
      <c r="D356">
        <f t="shared" si="13"/>
        <v>2.824E-8</v>
      </c>
      <c r="E356">
        <f t="shared" si="12"/>
        <v>1.7814870840113883</v>
      </c>
      <c r="N356">
        <v>28.239999999999899</v>
      </c>
      <c r="O356">
        <v>1.7814215136076601</v>
      </c>
    </row>
    <row r="357" spans="1:15" x14ac:dyDescent="0.3">
      <c r="A357">
        <v>28.32</v>
      </c>
      <c r="B357">
        <v>1.7839113120000001</v>
      </c>
      <c r="D357">
        <f t="shared" si="13"/>
        <v>2.8320000000000001E-8</v>
      </c>
      <c r="E357">
        <f t="shared" si="12"/>
        <v>1.7839769736497064</v>
      </c>
      <c r="N357">
        <v>28.319999999999901</v>
      </c>
      <c r="O357">
        <v>1.78391131160171</v>
      </c>
    </row>
    <row r="358" spans="1:15" x14ac:dyDescent="0.3">
      <c r="A358">
        <v>28.4</v>
      </c>
      <c r="B358">
        <v>1.786285305</v>
      </c>
      <c r="D358">
        <f t="shared" si="13"/>
        <v>2.84E-8</v>
      </c>
      <c r="E358">
        <f t="shared" si="12"/>
        <v>1.7863510544676373</v>
      </c>
      <c r="N358">
        <v>28.399999999999899</v>
      </c>
      <c r="O358">
        <v>1.7862853050379</v>
      </c>
    </row>
    <row r="359" spans="1:15" x14ac:dyDescent="0.3">
      <c r="A359">
        <v>28.48</v>
      </c>
      <c r="B359">
        <v>1.788543494</v>
      </c>
      <c r="D359">
        <f t="shared" si="13"/>
        <v>2.8480000000000001E-8</v>
      </c>
      <c r="E359">
        <f t="shared" si="12"/>
        <v>1.7886093264651814</v>
      </c>
      <c r="N359">
        <v>28.479999999999901</v>
      </c>
      <c r="O359">
        <v>1.7885434939162299</v>
      </c>
    </row>
    <row r="360" spans="1:15" x14ac:dyDescent="0.3">
      <c r="A360">
        <v>28.56</v>
      </c>
      <c r="B360">
        <v>1.7906858779999999</v>
      </c>
      <c r="D360">
        <f t="shared" si="13"/>
        <v>2.8559999999999999E-8</v>
      </c>
      <c r="E360">
        <f t="shared" si="12"/>
        <v>1.7907517896423388</v>
      </c>
      <c r="N360">
        <v>28.559999999999899</v>
      </c>
      <c r="O360">
        <v>1.7906858782366899</v>
      </c>
    </row>
    <row r="361" spans="1:15" x14ac:dyDescent="0.3">
      <c r="A361">
        <v>28.64</v>
      </c>
      <c r="B361">
        <v>1.792712458</v>
      </c>
      <c r="D361">
        <f t="shared" si="13"/>
        <v>2.8640000000000004E-8</v>
      </c>
      <c r="E361">
        <f t="shared" si="12"/>
        <v>1.7927784439991092</v>
      </c>
      <c r="N361">
        <v>28.639999999999901</v>
      </c>
      <c r="O361">
        <v>1.7927124579992899</v>
      </c>
    </row>
    <row r="362" spans="1:15" x14ac:dyDescent="0.3">
      <c r="A362">
        <v>28.72</v>
      </c>
      <c r="B362">
        <v>1.794623233</v>
      </c>
      <c r="D362">
        <f t="shared" si="13"/>
        <v>2.8720000000000002E-8</v>
      </c>
      <c r="E362">
        <f t="shared" si="12"/>
        <v>1.7946892895354929</v>
      </c>
      <c r="N362">
        <v>28.719999999999899</v>
      </c>
      <c r="O362">
        <v>1.7946232332040299</v>
      </c>
    </row>
    <row r="363" spans="1:15" x14ac:dyDescent="0.3">
      <c r="A363">
        <v>28.8</v>
      </c>
      <c r="B363">
        <v>1.7964182040000001</v>
      </c>
      <c r="D363">
        <f t="shared" si="13"/>
        <v>2.8800000000000003E-8</v>
      </c>
      <c r="E363">
        <f t="shared" si="12"/>
        <v>1.7964843262514893</v>
      </c>
      <c r="N363">
        <v>28.799999999999901</v>
      </c>
      <c r="O363">
        <v>1.79641820385091</v>
      </c>
    </row>
    <row r="364" spans="1:15" x14ac:dyDescent="0.3">
      <c r="A364">
        <v>28.88</v>
      </c>
      <c r="B364">
        <v>1.79809737</v>
      </c>
      <c r="D364">
        <f t="shared" si="13"/>
        <v>2.8880000000000001E-8</v>
      </c>
      <c r="E364">
        <f t="shared" si="12"/>
        <v>1.7981635541470991</v>
      </c>
      <c r="N364">
        <v>28.8799999999999</v>
      </c>
      <c r="O364">
        <v>1.7980973699399201</v>
      </c>
    </row>
    <row r="365" spans="1:15" x14ac:dyDescent="0.3">
      <c r="A365">
        <v>28.96</v>
      </c>
      <c r="B365">
        <v>1.7996607309999999</v>
      </c>
      <c r="D365">
        <f t="shared" si="13"/>
        <v>2.8960000000000003E-8</v>
      </c>
      <c r="E365">
        <f t="shared" si="12"/>
        <v>1.7997269732223222</v>
      </c>
      <c r="N365">
        <v>28.959999999999901</v>
      </c>
      <c r="O365">
        <v>1.79966073147107</v>
      </c>
    </row>
    <row r="366" spans="1:15" x14ac:dyDescent="0.3">
      <c r="A366">
        <v>29.04</v>
      </c>
      <c r="B366">
        <v>1.801108288</v>
      </c>
      <c r="D366">
        <f t="shared" si="13"/>
        <v>2.9040000000000001E-8</v>
      </c>
      <c r="E366">
        <f t="shared" si="12"/>
        <v>1.8011745834771582</v>
      </c>
      <c r="N366">
        <v>29.0399999999999</v>
      </c>
      <c r="O366">
        <v>1.8011082884443499</v>
      </c>
    </row>
    <row r="367" spans="1:15" x14ac:dyDescent="0.3">
      <c r="A367">
        <v>29.12</v>
      </c>
      <c r="B367">
        <v>1.8024400410000001</v>
      </c>
      <c r="D367">
        <f t="shared" si="13"/>
        <v>2.9120000000000002E-8</v>
      </c>
      <c r="E367">
        <f t="shared" si="12"/>
        <v>1.8025063849116072</v>
      </c>
      <c r="N367">
        <v>29.119999999999902</v>
      </c>
      <c r="O367">
        <v>1.8024400408597701</v>
      </c>
    </row>
    <row r="368" spans="1:15" x14ac:dyDescent="0.3">
      <c r="A368">
        <v>29.2</v>
      </c>
      <c r="B368">
        <v>1.8036559889999999</v>
      </c>
      <c r="D368">
        <f t="shared" si="13"/>
        <v>2.92E-8</v>
      </c>
      <c r="E368">
        <f t="shared" si="12"/>
        <v>1.8037223775256694</v>
      </c>
      <c r="N368">
        <v>29.1999999999999</v>
      </c>
      <c r="O368">
        <v>1.80365598871733</v>
      </c>
    </row>
    <row r="369" spans="1:15" x14ac:dyDescent="0.3">
      <c r="A369">
        <v>29.28</v>
      </c>
      <c r="B369">
        <v>1.8047561320000001</v>
      </c>
      <c r="D369">
        <f t="shared" si="13"/>
        <v>2.9280000000000001E-8</v>
      </c>
      <c r="E369">
        <f t="shared" si="12"/>
        <v>1.8048225613193449</v>
      </c>
      <c r="N369">
        <v>29.279999999999902</v>
      </c>
      <c r="O369">
        <v>1.80475613201702</v>
      </c>
    </row>
    <row r="370" spans="1:15" x14ac:dyDescent="0.3">
      <c r="A370">
        <v>29.36</v>
      </c>
      <c r="B370">
        <v>1.805740471</v>
      </c>
      <c r="D370">
        <f t="shared" si="13"/>
        <v>2.9360000000000003E-8</v>
      </c>
      <c r="E370">
        <f t="shared" si="12"/>
        <v>1.8058069362926332</v>
      </c>
      <c r="N370">
        <v>29.3599999999999</v>
      </c>
      <c r="O370">
        <v>1.80574047075885</v>
      </c>
    </row>
    <row r="371" spans="1:15" x14ac:dyDescent="0.3">
      <c r="A371">
        <v>29.44</v>
      </c>
      <c r="B371">
        <v>1.8066090050000001</v>
      </c>
      <c r="D371">
        <f t="shared" si="13"/>
        <v>2.9440000000000004E-8</v>
      </c>
      <c r="E371">
        <f t="shared" si="12"/>
        <v>1.8066755024455348</v>
      </c>
      <c r="N371">
        <v>29.439999999999898</v>
      </c>
      <c r="O371">
        <v>1.8066090049428201</v>
      </c>
    </row>
    <row r="372" spans="1:15" x14ac:dyDescent="0.3">
      <c r="A372">
        <v>29.52</v>
      </c>
      <c r="B372">
        <v>1.807361735</v>
      </c>
      <c r="D372">
        <f t="shared" si="13"/>
        <v>2.9520000000000002E-8</v>
      </c>
      <c r="E372">
        <f t="shared" si="12"/>
        <v>1.8074282597780496</v>
      </c>
      <c r="N372">
        <v>29.5199999999999</v>
      </c>
      <c r="O372">
        <v>1.8073617345689299</v>
      </c>
    </row>
    <row r="373" spans="1:15" x14ac:dyDescent="0.3">
      <c r="A373">
        <v>29.6</v>
      </c>
      <c r="B373">
        <v>1.80799866</v>
      </c>
      <c r="D373">
        <f t="shared" si="13"/>
        <v>2.9600000000000004E-8</v>
      </c>
      <c r="E373">
        <f t="shared" si="12"/>
        <v>1.8080652082901776</v>
      </c>
      <c r="N373">
        <v>29.599999999999898</v>
      </c>
      <c r="O373">
        <v>1.80799865963717</v>
      </c>
    </row>
    <row r="374" spans="1:15" x14ac:dyDescent="0.3">
      <c r="A374">
        <v>29.68</v>
      </c>
      <c r="B374">
        <v>1.8085197799999999</v>
      </c>
      <c r="D374">
        <f t="shared" si="13"/>
        <v>2.9680000000000002E-8</v>
      </c>
      <c r="E374">
        <f t="shared" si="12"/>
        <v>1.8085863479819184</v>
      </c>
      <c r="N374">
        <v>29.6799999999999</v>
      </c>
      <c r="O374">
        <v>1.8085197801475501</v>
      </c>
    </row>
    <row r="375" spans="1:15" x14ac:dyDescent="0.3">
      <c r="A375">
        <v>29.76</v>
      </c>
      <c r="B375">
        <v>1.8089250960000001</v>
      </c>
      <c r="D375">
        <f t="shared" si="13"/>
        <v>2.9760000000000003E-8</v>
      </c>
      <c r="E375">
        <f t="shared" si="12"/>
        <v>1.8089916788532725</v>
      </c>
      <c r="N375">
        <v>29.759999999999899</v>
      </c>
      <c r="O375">
        <v>1.80892509610006</v>
      </c>
    </row>
    <row r="376" spans="1:15" x14ac:dyDescent="0.3">
      <c r="A376">
        <v>29.84</v>
      </c>
      <c r="B376">
        <v>1.8092146069999999</v>
      </c>
      <c r="D376">
        <f t="shared" si="13"/>
        <v>2.9840000000000001E-8</v>
      </c>
      <c r="E376">
        <f t="shared" si="12"/>
        <v>1.8092812009042396</v>
      </c>
      <c r="N376">
        <v>29.8399999999999</v>
      </c>
      <c r="O376">
        <v>1.80921460749471</v>
      </c>
    </row>
    <row r="377" spans="1:15" x14ac:dyDescent="0.3">
      <c r="A377">
        <v>29.92</v>
      </c>
      <c r="B377">
        <v>1.809388314</v>
      </c>
      <c r="D377">
        <f t="shared" si="13"/>
        <v>2.9920000000000006E-8</v>
      </c>
      <c r="E377">
        <f t="shared" si="12"/>
        <v>1.8094549141348195</v>
      </c>
      <c r="N377">
        <v>29.919999999999899</v>
      </c>
      <c r="O377">
        <v>1.8093883143314999</v>
      </c>
    </row>
    <row r="378" spans="1:15" x14ac:dyDescent="0.3">
      <c r="A378">
        <v>30</v>
      </c>
      <c r="B378">
        <v>1.8094462170000001</v>
      </c>
      <c r="D378">
        <f t="shared" si="13"/>
        <v>3.0000000000000004E-8</v>
      </c>
      <c r="E378">
        <f t="shared" si="12"/>
        <v>1.8095128185450129</v>
      </c>
      <c r="N378">
        <v>29.999999999999901</v>
      </c>
      <c r="O378">
        <v>1.8094462166104199</v>
      </c>
    </row>
    <row r="379" spans="1:15" x14ac:dyDescent="0.3">
      <c r="A379">
        <v>30.08</v>
      </c>
      <c r="B379">
        <v>1.8094462170000001</v>
      </c>
      <c r="D379">
        <f t="shared" si="13"/>
        <v>3.0080000000000002E-8</v>
      </c>
      <c r="E379">
        <f>(($I$9*$I$6*$I$8^2)/(2*$I$10))+(($I$9*$I$5*$I$7^2)/(2*$I$10))</f>
        <v>1.8095128185450133</v>
      </c>
      <c r="N379">
        <v>30.079999999999899</v>
      </c>
      <c r="O379">
        <v>1.8094462166104199</v>
      </c>
    </row>
    <row r="380" spans="1:15" x14ac:dyDescent="0.3">
      <c r="A380">
        <v>30.16</v>
      </c>
      <c r="B380">
        <v>1.8094462170000001</v>
      </c>
      <c r="D380">
        <f t="shared" si="13"/>
        <v>3.016E-8</v>
      </c>
      <c r="E380">
        <f t="shared" ref="E380:E443" si="14">(($I$9*$I$6*$I$8^2)/(2*$I$10))+(($I$9*$I$5*$I$7^2)/(2*$I$10))</f>
        <v>1.8095128185450133</v>
      </c>
      <c r="N380">
        <v>30.159999999999901</v>
      </c>
      <c r="O380">
        <v>1.8094462166104099</v>
      </c>
    </row>
    <row r="381" spans="1:15" x14ac:dyDescent="0.3">
      <c r="A381">
        <v>30.24</v>
      </c>
      <c r="B381">
        <v>1.8094462170000001</v>
      </c>
      <c r="D381">
        <f t="shared" si="13"/>
        <v>3.0239999999999998E-8</v>
      </c>
      <c r="E381">
        <f t="shared" si="14"/>
        <v>1.8095128185450133</v>
      </c>
      <c r="N381">
        <v>30.239999999999899</v>
      </c>
      <c r="O381">
        <v>1.8094462166103999</v>
      </c>
    </row>
    <row r="382" spans="1:15" x14ac:dyDescent="0.3">
      <c r="A382">
        <v>30.32</v>
      </c>
      <c r="B382">
        <v>1.8094462170000001</v>
      </c>
      <c r="D382">
        <f t="shared" si="13"/>
        <v>3.0320000000000003E-8</v>
      </c>
      <c r="E382">
        <f t="shared" si="14"/>
        <v>1.8095128185450133</v>
      </c>
      <c r="N382">
        <v>30.319999999999901</v>
      </c>
      <c r="O382">
        <v>1.8094462166103999</v>
      </c>
    </row>
    <row r="383" spans="1:15" x14ac:dyDescent="0.3">
      <c r="A383">
        <v>30.4</v>
      </c>
      <c r="B383">
        <v>1.8094462170000001</v>
      </c>
      <c r="D383">
        <f t="shared" si="13"/>
        <v>3.0400000000000001E-8</v>
      </c>
      <c r="E383">
        <f t="shared" si="14"/>
        <v>1.8095128185450133</v>
      </c>
      <c r="N383">
        <v>30.399999999999899</v>
      </c>
      <c r="O383">
        <v>1.80944621661039</v>
      </c>
    </row>
    <row r="384" spans="1:15" x14ac:dyDescent="0.3">
      <c r="A384">
        <v>30.48</v>
      </c>
      <c r="B384">
        <v>1.8094462170000001</v>
      </c>
      <c r="D384">
        <f t="shared" si="13"/>
        <v>3.0480000000000006E-8</v>
      </c>
      <c r="E384">
        <f t="shared" si="14"/>
        <v>1.8095128185450133</v>
      </c>
      <c r="N384">
        <v>30.479999999999901</v>
      </c>
      <c r="O384">
        <v>1.80944621661038</v>
      </c>
    </row>
    <row r="385" spans="1:15" x14ac:dyDescent="0.3">
      <c r="A385">
        <v>30.56</v>
      </c>
      <c r="B385">
        <v>1.8094462170000001</v>
      </c>
      <c r="D385">
        <f t="shared" si="13"/>
        <v>3.0560000000000004E-8</v>
      </c>
      <c r="E385">
        <f t="shared" si="14"/>
        <v>1.8095128185450133</v>
      </c>
      <c r="N385">
        <v>30.559999999999899</v>
      </c>
      <c r="O385">
        <v>1.80944621661038</v>
      </c>
    </row>
    <row r="386" spans="1:15" x14ac:dyDescent="0.3">
      <c r="A386">
        <v>30.64</v>
      </c>
      <c r="B386">
        <v>1.8094462170000001</v>
      </c>
      <c r="D386">
        <f t="shared" si="13"/>
        <v>3.0640000000000002E-8</v>
      </c>
      <c r="E386">
        <f t="shared" si="14"/>
        <v>1.8095128185450133</v>
      </c>
      <c r="N386">
        <v>30.639999999999901</v>
      </c>
      <c r="O386">
        <v>1.80944621661037</v>
      </c>
    </row>
    <row r="387" spans="1:15" x14ac:dyDescent="0.3">
      <c r="A387">
        <v>30.72</v>
      </c>
      <c r="B387">
        <v>1.8094462170000001</v>
      </c>
      <c r="D387">
        <f t="shared" ref="D387:D450" si="15">A387*0.000000001</f>
        <v>3.072E-8</v>
      </c>
      <c r="E387">
        <f t="shared" si="14"/>
        <v>1.8095128185450133</v>
      </c>
      <c r="N387">
        <v>30.719999999999899</v>
      </c>
      <c r="O387">
        <v>1.80944621661036</v>
      </c>
    </row>
    <row r="388" spans="1:15" x14ac:dyDescent="0.3">
      <c r="A388">
        <v>30.8</v>
      </c>
      <c r="B388">
        <v>1.8094462170000001</v>
      </c>
      <c r="D388">
        <f t="shared" si="15"/>
        <v>3.0800000000000004E-8</v>
      </c>
      <c r="E388">
        <f t="shared" si="14"/>
        <v>1.8095128185450133</v>
      </c>
      <c r="N388">
        <v>30.799999999999901</v>
      </c>
      <c r="O388">
        <v>1.80944621661036</v>
      </c>
    </row>
    <row r="389" spans="1:15" x14ac:dyDescent="0.3">
      <c r="A389">
        <v>30.88</v>
      </c>
      <c r="B389">
        <v>1.8094462170000001</v>
      </c>
      <c r="D389">
        <f t="shared" si="15"/>
        <v>3.0880000000000003E-8</v>
      </c>
      <c r="E389">
        <f t="shared" si="14"/>
        <v>1.8095128185450133</v>
      </c>
      <c r="N389">
        <v>30.8799999999999</v>
      </c>
      <c r="O389">
        <v>1.80944621661035</v>
      </c>
    </row>
    <row r="390" spans="1:15" x14ac:dyDescent="0.3">
      <c r="A390">
        <v>30.96</v>
      </c>
      <c r="B390">
        <v>1.8094462170000001</v>
      </c>
      <c r="D390">
        <f t="shared" si="15"/>
        <v>3.0960000000000001E-8</v>
      </c>
      <c r="E390">
        <f t="shared" si="14"/>
        <v>1.8095128185450133</v>
      </c>
      <c r="N390">
        <v>30.959999999999901</v>
      </c>
      <c r="O390">
        <v>1.80944621661034</v>
      </c>
    </row>
    <row r="391" spans="1:15" x14ac:dyDescent="0.3">
      <c r="A391">
        <v>31.04</v>
      </c>
      <c r="B391">
        <v>1.8094462170000001</v>
      </c>
      <c r="D391">
        <f t="shared" si="15"/>
        <v>3.1039999999999999E-8</v>
      </c>
      <c r="E391">
        <f t="shared" si="14"/>
        <v>1.8095128185450133</v>
      </c>
      <c r="N391">
        <v>31.0399999999999</v>
      </c>
      <c r="O391">
        <v>1.80944621661034</v>
      </c>
    </row>
    <row r="392" spans="1:15" x14ac:dyDescent="0.3">
      <c r="A392">
        <v>31.12</v>
      </c>
      <c r="B392">
        <v>1.8094462170000001</v>
      </c>
      <c r="D392">
        <f t="shared" si="15"/>
        <v>3.1120000000000003E-8</v>
      </c>
      <c r="E392">
        <f t="shared" si="14"/>
        <v>1.8095128185450133</v>
      </c>
      <c r="N392">
        <v>31.119999999999902</v>
      </c>
      <c r="O392">
        <v>1.80944621661033</v>
      </c>
    </row>
    <row r="393" spans="1:15" x14ac:dyDescent="0.3">
      <c r="A393">
        <v>31.2</v>
      </c>
      <c r="B393">
        <v>1.8094462170000001</v>
      </c>
      <c r="D393">
        <f t="shared" si="15"/>
        <v>3.1200000000000001E-8</v>
      </c>
      <c r="E393">
        <f t="shared" si="14"/>
        <v>1.8095128185450133</v>
      </c>
      <c r="N393">
        <v>31.1999999999999</v>
      </c>
      <c r="O393">
        <v>1.80944621661032</v>
      </c>
    </row>
    <row r="394" spans="1:15" x14ac:dyDescent="0.3">
      <c r="A394">
        <v>31.28</v>
      </c>
      <c r="B394">
        <v>1.8094462170000001</v>
      </c>
      <c r="D394">
        <f t="shared" si="15"/>
        <v>3.1280000000000006E-8</v>
      </c>
      <c r="E394">
        <f t="shared" si="14"/>
        <v>1.8095128185450133</v>
      </c>
      <c r="N394">
        <v>31.279999999999902</v>
      </c>
      <c r="O394">
        <v>1.80944621661032</v>
      </c>
    </row>
    <row r="395" spans="1:15" x14ac:dyDescent="0.3">
      <c r="A395">
        <v>31.36</v>
      </c>
      <c r="B395">
        <v>1.8094462170000001</v>
      </c>
      <c r="D395">
        <f t="shared" si="15"/>
        <v>3.1360000000000004E-8</v>
      </c>
      <c r="E395">
        <f t="shared" si="14"/>
        <v>1.8095128185450133</v>
      </c>
      <c r="N395">
        <v>31.3599999999999</v>
      </c>
      <c r="O395">
        <v>1.80944621661031</v>
      </c>
    </row>
    <row r="396" spans="1:15" x14ac:dyDescent="0.3">
      <c r="A396">
        <v>31.44</v>
      </c>
      <c r="B396">
        <v>1.8094462170000001</v>
      </c>
      <c r="D396">
        <f t="shared" si="15"/>
        <v>3.1440000000000002E-8</v>
      </c>
      <c r="E396">
        <f t="shared" si="14"/>
        <v>1.8095128185450133</v>
      </c>
      <c r="N396">
        <v>31.439999999999898</v>
      </c>
      <c r="O396">
        <v>1.80944621661031</v>
      </c>
    </row>
    <row r="397" spans="1:15" x14ac:dyDescent="0.3">
      <c r="A397">
        <v>31.52</v>
      </c>
      <c r="B397">
        <v>1.8094462170000001</v>
      </c>
      <c r="D397">
        <f t="shared" si="15"/>
        <v>3.152E-8</v>
      </c>
      <c r="E397">
        <f t="shared" si="14"/>
        <v>1.8095128185450133</v>
      </c>
      <c r="N397">
        <v>31.5199999999999</v>
      </c>
      <c r="O397">
        <v>1.8094462166103</v>
      </c>
    </row>
    <row r="398" spans="1:15" x14ac:dyDescent="0.3">
      <c r="A398">
        <v>31.6</v>
      </c>
      <c r="B398">
        <v>1.8094462170000001</v>
      </c>
      <c r="D398">
        <f t="shared" si="15"/>
        <v>3.1600000000000005E-8</v>
      </c>
      <c r="E398">
        <f t="shared" si="14"/>
        <v>1.8095128185450133</v>
      </c>
      <c r="N398">
        <v>31.599999999999898</v>
      </c>
      <c r="O398">
        <v>1.80944621661029</v>
      </c>
    </row>
    <row r="399" spans="1:15" x14ac:dyDescent="0.3">
      <c r="A399">
        <v>31.68</v>
      </c>
      <c r="B399">
        <v>1.8094462170000001</v>
      </c>
      <c r="D399">
        <f t="shared" si="15"/>
        <v>3.1680000000000003E-8</v>
      </c>
      <c r="E399">
        <f t="shared" si="14"/>
        <v>1.8095128185450133</v>
      </c>
      <c r="N399">
        <v>31.6799999999999</v>
      </c>
      <c r="O399">
        <v>1.80944621661029</v>
      </c>
    </row>
    <row r="400" spans="1:15" x14ac:dyDescent="0.3">
      <c r="A400">
        <v>31.76</v>
      </c>
      <c r="B400">
        <v>1.8094462170000001</v>
      </c>
      <c r="D400">
        <f t="shared" si="15"/>
        <v>3.1760000000000001E-8</v>
      </c>
      <c r="E400">
        <f t="shared" si="14"/>
        <v>1.8095128185450133</v>
      </c>
      <c r="N400">
        <v>31.759999999999899</v>
      </c>
      <c r="O400">
        <v>1.80944621661028</v>
      </c>
    </row>
    <row r="401" spans="1:15" x14ac:dyDescent="0.3">
      <c r="A401">
        <v>31.84</v>
      </c>
      <c r="B401">
        <v>1.8094462170000001</v>
      </c>
      <c r="D401">
        <f t="shared" si="15"/>
        <v>3.1839999999999999E-8</v>
      </c>
      <c r="E401">
        <f t="shared" si="14"/>
        <v>1.8095128185450133</v>
      </c>
      <c r="N401">
        <v>31.8399999999999</v>
      </c>
      <c r="O401">
        <v>1.80944621661028</v>
      </c>
    </row>
    <row r="402" spans="1:15" x14ac:dyDescent="0.3">
      <c r="A402">
        <v>31.92</v>
      </c>
      <c r="B402">
        <v>1.8094462170000001</v>
      </c>
      <c r="D402">
        <f t="shared" si="15"/>
        <v>3.1920000000000004E-8</v>
      </c>
      <c r="E402">
        <f t="shared" si="14"/>
        <v>1.8095128185450133</v>
      </c>
      <c r="N402">
        <v>31.919999999999899</v>
      </c>
      <c r="O402">
        <v>1.8094462166102701</v>
      </c>
    </row>
    <row r="403" spans="1:15" x14ac:dyDescent="0.3">
      <c r="A403">
        <v>32</v>
      </c>
      <c r="B403">
        <v>1.8094462170000001</v>
      </c>
      <c r="D403">
        <f t="shared" si="15"/>
        <v>3.2000000000000002E-8</v>
      </c>
      <c r="E403">
        <f t="shared" si="14"/>
        <v>1.8095128185450133</v>
      </c>
      <c r="N403">
        <v>31.999999999999901</v>
      </c>
      <c r="O403">
        <v>1.8094462166102601</v>
      </c>
    </row>
    <row r="404" spans="1:15" x14ac:dyDescent="0.3">
      <c r="A404">
        <v>32.08</v>
      </c>
      <c r="B404">
        <v>1.8094462170000001</v>
      </c>
      <c r="D404">
        <f t="shared" si="15"/>
        <v>3.208E-8</v>
      </c>
      <c r="E404">
        <f t="shared" si="14"/>
        <v>1.8095128185450133</v>
      </c>
      <c r="N404">
        <v>32.079999999999899</v>
      </c>
      <c r="O404">
        <v>1.8094462166102601</v>
      </c>
    </row>
    <row r="405" spans="1:15" x14ac:dyDescent="0.3">
      <c r="A405">
        <v>32.159999999999997</v>
      </c>
      <c r="B405">
        <v>1.8094462170000001</v>
      </c>
      <c r="D405">
        <f t="shared" si="15"/>
        <v>3.2159999999999998E-8</v>
      </c>
      <c r="E405">
        <f t="shared" si="14"/>
        <v>1.8095128185450133</v>
      </c>
      <c r="N405">
        <v>32.159999999999897</v>
      </c>
      <c r="O405">
        <v>1.8094462166102501</v>
      </c>
    </row>
    <row r="406" spans="1:15" x14ac:dyDescent="0.3">
      <c r="A406">
        <v>32.24</v>
      </c>
      <c r="B406">
        <v>1.8094462170000001</v>
      </c>
      <c r="D406">
        <f t="shared" si="15"/>
        <v>3.2240000000000003E-8</v>
      </c>
      <c r="E406">
        <f t="shared" si="14"/>
        <v>1.8095128185450133</v>
      </c>
      <c r="N406">
        <v>32.239999999999903</v>
      </c>
      <c r="O406">
        <v>1.8094462166102501</v>
      </c>
    </row>
    <row r="407" spans="1:15" x14ac:dyDescent="0.3">
      <c r="A407">
        <v>32.32</v>
      </c>
      <c r="B407">
        <v>1.8094462170000001</v>
      </c>
      <c r="D407">
        <f t="shared" si="15"/>
        <v>3.2320000000000001E-8</v>
      </c>
      <c r="E407">
        <f t="shared" si="14"/>
        <v>1.8095128185450133</v>
      </c>
      <c r="N407">
        <v>32.319999999999901</v>
      </c>
      <c r="O407">
        <v>1.8094462166102401</v>
      </c>
    </row>
    <row r="408" spans="1:15" x14ac:dyDescent="0.3">
      <c r="A408">
        <v>32.4</v>
      </c>
      <c r="B408">
        <v>1.8094462170000001</v>
      </c>
      <c r="D408">
        <f t="shared" si="15"/>
        <v>3.2399999999999999E-8</v>
      </c>
      <c r="E408">
        <f t="shared" si="14"/>
        <v>1.8095128185450133</v>
      </c>
      <c r="N408">
        <v>32.399999999999899</v>
      </c>
      <c r="O408">
        <v>1.8094462166102401</v>
      </c>
    </row>
    <row r="409" spans="1:15" x14ac:dyDescent="0.3">
      <c r="A409">
        <v>32.479999999999997</v>
      </c>
      <c r="B409">
        <v>1.8094462170000001</v>
      </c>
      <c r="D409">
        <f t="shared" si="15"/>
        <v>3.2479999999999997E-8</v>
      </c>
      <c r="E409">
        <f t="shared" si="14"/>
        <v>1.8095128185450133</v>
      </c>
      <c r="N409">
        <v>32.479999999999897</v>
      </c>
      <c r="O409">
        <v>1.8094462166102301</v>
      </c>
    </row>
    <row r="410" spans="1:15" x14ac:dyDescent="0.3">
      <c r="A410">
        <v>32.56</v>
      </c>
      <c r="B410">
        <v>1.8094462170000001</v>
      </c>
      <c r="D410">
        <f t="shared" si="15"/>
        <v>3.2560000000000002E-8</v>
      </c>
      <c r="E410">
        <f t="shared" si="14"/>
        <v>1.8095128185450133</v>
      </c>
      <c r="N410">
        <v>32.559999999999903</v>
      </c>
      <c r="O410">
        <v>1.8094462166102201</v>
      </c>
    </row>
    <row r="411" spans="1:15" x14ac:dyDescent="0.3">
      <c r="A411">
        <v>32.64</v>
      </c>
      <c r="B411">
        <v>1.8094462170000001</v>
      </c>
      <c r="D411">
        <f t="shared" si="15"/>
        <v>3.264E-8</v>
      </c>
      <c r="E411">
        <f t="shared" si="14"/>
        <v>1.8095128185450133</v>
      </c>
      <c r="N411">
        <v>32.639999999999901</v>
      </c>
      <c r="O411">
        <v>1.8094462166102201</v>
      </c>
    </row>
    <row r="412" spans="1:15" x14ac:dyDescent="0.3">
      <c r="A412">
        <v>32.72</v>
      </c>
      <c r="B412">
        <v>1.8094462170000001</v>
      </c>
      <c r="D412">
        <f t="shared" si="15"/>
        <v>3.2719999999999998E-8</v>
      </c>
      <c r="E412">
        <f t="shared" si="14"/>
        <v>1.8095128185450133</v>
      </c>
      <c r="N412">
        <v>32.719999999999899</v>
      </c>
      <c r="O412">
        <v>1.8094462166102101</v>
      </c>
    </row>
    <row r="413" spans="1:15" x14ac:dyDescent="0.3">
      <c r="A413">
        <v>32.799999999999997</v>
      </c>
      <c r="B413">
        <v>1.8094462170000001</v>
      </c>
      <c r="D413">
        <f t="shared" si="15"/>
        <v>3.2799999999999996E-8</v>
      </c>
      <c r="E413">
        <f t="shared" si="14"/>
        <v>1.8095128185450133</v>
      </c>
      <c r="N413">
        <v>32.799999999999898</v>
      </c>
      <c r="O413">
        <v>1.8094462166102101</v>
      </c>
    </row>
    <row r="414" spans="1:15" x14ac:dyDescent="0.3">
      <c r="A414">
        <v>32.880000000000003</v>
      </c>
      <c r="B414">
        <v>1.8094462170000001</v>
      </c>
      <c r="D414">
        <f t="shared" si="15"/>
        <v>3.2880000000000007E-8</v>
      </c>
      <c r="E414">
        <f t="shared" si="14"/>
        <v>1.8095128185450133</v>
      </c>
      <c r="N414">
        <v>32.879999999999903</v>
      </c>
      <c r="O414">
        <v>1.8094462166102001</v>
      </c>
    </row>
    <row r="415" spans="1:15" x14ac:dyDescent="0.3">
      <c r="A415">
        <v>32.96</v>
      </c>
      <c r="B415">
        <v>1.8094462170000001</v>
      </c>
      <c r="D415">
        <f t="shared" si="15"/>
        <v>3.2960000000000005E-8</v>
      </c>
      <c r="E415">
        <f t="shared" si="14"/>
        <v>1.8095128185450133</v>
      </c>
      <c r="N415">
        <v>32.959999999999901</v>
      </c>
      <c r="O415">
        <v>1.8094462166102001</v>
      </c>
    </row>
    <row r="416" spans="1:15" x14ac:dyDescent="0.3">
      <c r="A416">
        <v>33.04</v>
      </c>
      <c r="B416">
        <v>1.8094462170000001</v>
      </c>
      <c r="D416">
        <f t="shared" si="15"/>
        <v>3.3040000000000003E-8</v>
      </c>
      <c r="E416">
        <f t="shared" si="14"/>
        <v>1.8095128185450133</v>
      </c>
      <c r="N416">
        <v>33.0399999999999</v>
      </c>
      <c r="O416">
        <v>1.8094462166101899</v>
      </c>
    </row>
    <row r="417" spans="1:15" x14ac:dyDescent="0.3">
      <c r="A417">
        <v>33.119999999999997</v>
      </c>
      <c r="B417">
        <v>1.8094462170000001</v>
      </c>
      <c r="D417">
        <f t="shared" si="15"/>
        <v>3.3120000000000001E-8</v>
      </c>
      <c r="E417">
        <f t="shared" si="14"/>
        <v>1.8095128185450133</v>
      </c>
      <c r="N417">
        <v>33.119999999999898</v>
      </c>
      <c r="O417">
        <v>1.8094462166101899</v>
      </c>
    </row>
    <row r="418" spans="1:15" x14ac:dyDescent="0.3">
      <c r="A418">
        <v>33.200000000000003</v>
      </c>
      <c r="B418">
        <v>1.8094462170000001</v>
      </c>
      <c r="D418">
        <f t="shared" si="15"/>
        <v>3.3200000000000006E-8</v>
      </c>
      <c r="E418">
        <f t="shared" si="14"/>
        <v>1.8095128185450133</v>
      </c>
      <c r="N418">
        <v>33.199999999999903</v>
      </c>
      <c r="O418">
        <v>1.8094462166101799</v>
      </c>
    </row>
    <row r="419" spans="1:15" x14ac:dyDescent="0.3">
      <c r="A419">
        <v>33.28</v>
      </c>
      <c r="B419">
        <v>1.8094462170000001</v>
      </c>
      <c r="D419">
        <f t="shared" si="15"/>
        <v>3.3280000000000004E-8</v>
      </c>
      <c r="E419">
        <f t="shared" si="14"/>
        <v>1.8095128185450133</v>
      </c>
      <c r="N419">
        <v>33.28</v>
      </c>
      <c r="O419">
        <v>1.8094462166101799</v>
      </c>
    </row>
    <row r="420" spans="1:15" x14ac:dyDescent="0.3">
      <c r="A420">
        <v>33.36</v>
      </c>
      <c r="B420">
        <v>1.8094462170000001</v>
      </c>
      <c r="D420">
        <f t="shared" si="15"/>
        <v>3.3360000000000002E-8</v>
      </c>
      <c r="E420">
        <f t="shared" si="14"/>
        <v>1.8095128185450133</v>
      </c>
      <c r="N420">
        <v>33.36</v>
      </c>
      <c r="O420">
        <v>1.8094462166101699</v>
      </c>
    </row>
    <row r="421" spans="1:15" x14ac:dyDescent="0.3">
      <c r="A421">
        <v>33.44</v>
      </c>
      <c r="B421">
        <v>1.8094462170000001</v>
      </c>
      <c r="D421">
        <f t="shared" si="15"/>
        <v>3.344E-8</v>
      </c>
      <c r="E421">
        <f t="shared" si="14"/>
        <v>1.8095128185450133</v>
      </c>
      <c r="N421">
        <v>33.44</v>
      </c>
      <c r="O421">
        <v>1.8094462166101699</v>
      </c>
    </row>
    <row r="422" spans="1:15" x14ac:dyDescent="0.3">
      <c r="A422">
        <v>33.520000000000003</v>
      </c>
      <c r="B422">
        <v>1.8094462170000001</v>
      </c>
      <c r="D422">
        <f t="shared" si="15"/>
        <v>3.3520000000000005E-8</v>
      </c>
      <c r="E422">
        <f t="shared" si="14"/>
        <v>1.8095128185450133</v>
      </c>
      <c r="N422">
        <v>33.519999999999897</v>
      </c>
      <c r="O422">
        <v>1.8094462166101599</v>
      </c>
    </row>
    <row r="423" spans="1:15" x14ac:dyDescent="0.3">
      <c r="A423">
        <v>33.6</v>
      </c>
      <c r="B423">
        <v>1.8094462170000001</v>
      </c>
      <c r="D423">
        <f t="shared" si="15"/>
        <v>3.3600000000000003E-8</v>
      </c>
      <c r="E423">
        <f t="shared" si="14"/>
        <v>1.8095128185450133</v>
      </c>
      <c r="N423">
        <v>33.599999999999902</v>
      </c>
      <c r="O423">
        <v>1.8094462166101599</v>
      </c>
    </row>
    <row r="424" spans="1:15" x14ac:dyDescent="0.3">
      <c r="A424">
        <v>33.68</v>
      </c>
      <c r="B424">
        <v>1.8094462170000001</v>
      </c>
      <c r="D424">
        <f t="shared" si="15"/>
        <v>3.3680000000000001E-8</v>
      </c>
      <c r="E424">
        <f t="shared" si="14"/>
        <v>1.8095128185450133</v>
      </c>
      <c r="N424">
        <v>33.6799999999999</v>
      </c>
      <c r="O424">
        <v>1.8094462166101599</v>
      </c>
    </row>
    <row r="425" spans="1:15" x14ac:dyDescent="0.3">
      <c r="A425">
        <v>33.76</v>
      </c>
      <c r="B425">
        <v>1.8094462170000001</v>
      </c>
      <c r="D425">
        <f t="shared" si="15"/>
        <v>3.3759999999999999E-8</v>
      </c>
      <c r="E425">
        <f t="shared" si="14"/>
        <v>1.8095128185450133</v>
      </c>
      <c r="N425">
        <v>33.759999999999899</v>
      </c>
      <c r="O425">
        <v>1.8094462166101499</v>
      </c>
    </row>
    <row r="426" spans="1:15" x14ac:dyDescent="0.3">
      <c r="A426">
        <v>33.840000000000003</v>
      </c>
      <c r="B426">
        <v>1.8094462170000001</v>
      </c>
      <c r="D426">
        <f t="shared" si="15"/>
        <v>3.3840000000000004E-8</v>
      </c>
      <c r="E426">
        <f t="shared" si="14"/>
        <v>1.8095128185450133</v>
      </c>
      <c r="N426">
        <v>33.839999999999897</v>
      </c>
      <c r="O426">
        <v>1.8094462166101499</v>
      </c>
    </row>
    <row r="427" spans="1:15" x14ac:dyDescent="0.3">
      <c r="A427">
        <v>33.92</v>
      </c>
      <c r="B427">
        <v>1.8094462170000001</v>
      </c>
      <c r="D427">
        <f t="shared" si="15"/>
        <v>3.3920000000000002E-8</v>
      </c>
      <c r="E427">
        <f t="shared" si="14"/>
        <v>1.8095128185450133</v>
      </c>
      <c r="N427">
        <v>33.919999999999902</v>
      </c>
      <c r="O427">
        <v>1.8094462166101399</v>
      </c>
    </row>
    <row r="428" spans="1:15" x14ac:dyDescent="0.3">
      <c r="A428">
        <v>34</v>
      </c>
      <c r="B428">
        <v>1.8094462170000001</v>
      </c>
      <c r="D428">
        <f t="shared" si="15"/>
        <v>3.4E-8</v>
      </c>
      <c r="E428">
        <f t="shared" si="14"/>
        <v>1.8095128185450133</v>
      </c>
      <c r="N428">
        <v>33.999999999999901</v>
      </c>
      <c r="O428">
        <v>1.8094462166101399</v>
      </c>
    </row>
    <row r="429" spans="1:15" x14ac:dyDescent="0.3">
      <c r="A429">
        <v>34.08</v>
      </c>
      <c r="B429">
        <v>1.8094462170000001</v>
      </c>
      <c r="D429">
        <f t="shared" si="15"/>
        <v>3.4079999999999998E-8</v>
      </c>
      <c r="E429">
        <f t="shared" si="14"/>
        <v>1.8095128185450133</v>
      </c>
      <c r="N429">
        <v>34.079999999999899</v>
      </c>
      <c r="O429">
        <v>1.8094462166101299</v>
      </c>
    </row>
    <row r="430" spans="1:15" x14ac:dyDescent="0.3">
      <c r="A430">
        <v>34.159999999999997</v>
      </c>
      <c r="B430">
        <v>1.8094462170000001</v>
      </c>
      <c r="D430">
        <f t="shared" si="15"/>
        <v>3.4159999999999996E-8</v>
      </c>
      <c r="E430">
        <f t="shared" si="14"/>
        <v>1.8095128185450133</v>
      </c>
      <c r="N430">
        <v>34.159999999999897</v>
      </c>
      <c r="O430">
        <v>1.8094462166101299</v>
      </c>
    </row>
    <row r="431" spans="1:15" x14ac:dyDescent="0.3">
      <c r="A431">
        <v>34.24</v>
      </c>
      <c r="B431">
        <v>1.8094462170000001</v>
      </c>
      <c r="D431">
        <f t="shared" si="15"/>
        <v>3.4240000000000001E-8</v>
      </c>
      <c r="E431">
        <f t="shared" si="14"/>
        <v>1.8095128185450133</v>
      </c>
      <c r="N431">
        <v>34.239999999999903</v>
      </c>
      <c r="O431">
        <v>1.80944621661012</v>
      </c>
    </row>
    <row r="432" spans="1:15" x14ac:dyDescent="0.3">
      <c r="A432">
        <v>34.32</v>
      </c>
      <c r="B432">
        <v>1.8094462170000001</v>
      </c>
      <c r="D432">
        <f t="shared" si="15"/>
        <v>3.4320000000000006E-8</v>
      </c>
      <c r="E432">
        <f t="shared" si="14"/>
        <v>1.8095128185450133</v>
      </c>
      <c r="N432">
        <v>34.319999999999901</v>
      </c>
      <c r="O432">
        <v>1.80944621661012</v>
      </c>
    </row>
    <row r="433" spans="1:15" x14ac:dyDescent="0.3">
      <c r="A433">
        <v>34.4</v>
      </c>
      <c r="B433">
        <v>1.8094462170000001</v>
      </c>
      <c r="D433">
        <f t="shared" si="15"/>
        <v>3.4400000000000004E-8</v>
      </c>
      <c r="E433">
        <f t="shared" si="14"/>
        <v>1.8095128185450133</v>
      </c>
      <c r="N433">
        <v>34.399999999999899</v>
      </c>
      <c r="O433">
        <v>1.80944621661011</v>
      </c>
    </row>
    <row r="434" spans="1:15" x14ac:dyDescent="0.3">
      <c r="A434">
        <v>34.479999999999997</v>
      </c>
      <c r="B434">
        <v>1.8094462170000001</v>
      </c>
      <c r="D434">
        <f t="shared" si="15"/>
        <v>3.4480000000000002E-8</v>
      </c>
      <c r="E434">
        <f t="shared" si="14"/>
        <v>1.8095128185450133</v>
      </c>
      <c r="N434">
        <v>34.479999999999897</v>
      </c>
      <c r="O434">
        <v>1.80944621661011</v>
      </c>
    </row>
    <row r="435" spans="1:15" x14ac:dyDescent="0.3">
      <c r="A435">
        <v>34.56</v>
      </c>
      <c r="B435">
        <v>1.8094462170000001</v>
      </c>
      <c r="D435">
        <f t="shared" si="15"/>
        <v>3.4560000000000006E-8</v>
      </c>
      <c r="E435">
        <f t="shared" si="14"/>
        <v>1.8095128185450133</v>
      </c>
      <c r="N435">
        <v>34.559999999999903</v>
      </c>
      <c r="O435">
        <v>1.8094462166101</v>
      </c>
    </row>
    <row r="436" spans="1:15" x14ac:dyDescent="0.3">
      <c r="A436">
        <v>34.64</v>
      </c>
      <c r="B436">
        <v>1.8094462170000001</v>
      </c>
      <c r="D436">
        <f t="shared" si="15"/>
        <v>3.4640000000000004E-8</v>
      </c>
      <c r="E436">
        <f t="shared" si="14"/>
        <v>1.8095128185450133</v>
      </c>
      <c r="N436">
        <v>34.639999999999901</v>
      </c>
      <c r="O436">
        <v>1.8094462166101</v>
      </c>
    </row>
    <row r="437" spans="1:15" x14ac:dyDescent="0.3">
      <c r="A437">
        <v>34.72</v>
      </c>
      <c r="B437">
        <v>1.8094462170000001</v>
      </c>
      <c r="D437">
        <f t="shared" si="15"/>
        <v>3.4720000000000003E-8</v>
      </c>
      <c r="E437">
        <f t="shared" si="14"/>
        <v>1.8095128185450133</v>
      </c>
      <c r="N437">
        <v>34.719999999999899</v>
      </c>
      <c r="O437">
        <v>1.8094462166101</v>
      </c>
    </row>
    <row r="438" spans="1:15" x14ac:dyDescent="0.3">
      <c r="A438">
        <v>34.799999999999997</v>
      </c>
      <c r="B438">
        <v>1.8094462170000001</v>
      </c>
      <c r="D438">
        <f t="shared" si="15"/>
        <v>3.4800000000000001E-8</v>
      </c>
      <c r="E438">
        <f t="shared" si="14"/>
        <v>1.8095128185450133</v>
      </c>
      <c r="N438">
        <v>34.799999999999898</v>
      </c>
      <c r="O438">
        <v>1.80944621661009</v>
      </c>
    </row>
    <row r="439" spans="1:15" x14ac:dyDescent="0.3">
      <c r="A439">
        <v>34.880000000000003</v>
      </c>
      <c r="B439">
        <v>1.8094462170000001</v>
      </c>
      <c r="D439">
        <f t="shared" si="15"/>
        <v>3.4880000000000005E-8</v>
      </c>
      <c r="E439">
        <f t="shared" si="14"/>
        <v>1.8095128185450133</v>
      </c>
      <c r="N439">
        <v>34.879999999999903</v>
      </c>
      <c r="O439">
        <v>1.80944621661009</v>
      </c>
    </row>
    <row r="440" spans="1:15" x14ac:dyDescent="0.3">
      <c r="A440">
        <v>34.96</v>
      </c>
      <c r="B440">
        <v>1.8094462170000001</v>
      </c>
      <c r="D440">
        <f t="shared" si="15"/>
        <v>3.4960000000000003E-8</v>
      </c>
      <c r="E440">
        <f t="shared" si="14"/>
        <v>1.8095128185450133</v>
      </c>
      <c r="N440">
        <v>34.959999999999901</v>
      </c>
      <c r="O440">
        <v>1.80944621661008</v>
      </c>
    </row>
    <row r="441" spans="1:15" x14ac:dyDescent="0.3">
      <c r="A441">
        <v>35.04</v>
      </c>
      <c r="B441">
        <v>1.8094462170000001</v>
      </c>
      <c r="D441">
        <f t="shared" si="15"/>
        <v>3.5040000000000001E-8</v>
      </c>
      <c r="E441">
        <f t="shared" si="14"/>
        <v>1.8095128185450133</v>
      </c>
      <c r="N441">
        <v>35.0399999999999</v>
      </c>
      <c r="O441">
        <v>1.80944621661008</v>
      </c>
    </row>
    <row r="442" spans="1:15" x14ac:dyDescent="0.3">
      <c r="A442">
        <v>35.119999999999997</v>
      </c>
      <c r="B442">
        <v>1.8094462170000001</v>
      </c>
      <c r="D442">
        <f t="shared" si="15"/>
        <v>3.5119999999999999E-8</v>
      </c>
      <c r="E442">
        <f t="shared" si="14"/>
        <v>1.8095128185450133</v>
      </c>
      <c r="N442">
        <v>35.119999999999898</v>
      </c>
      <c r="O442">
        <v>1.80944621661008</v>
      </c>
    </row>
    <row r="443" spans="1:15" x14ac:dyDescent="0.3">
      <c r="A443">
        <v>35.200000000000003</v>
      </c>
      <c r="B443">
        <v>1.8094462170000001</v>
      </c>
      <c r="D443">
        <f t="shared" si="15"/>
        <v>3.5200000000000004E-8</v>
      </c>
      <c r="E443">
        <f t="shared" si="14"/>
        <v>1.8095128185450133</v>
      </c>
      <c r="N443">
        <v>35.199999999999903</v>
      </c>
      <c r="O443">
        <v>1.80944621661007</v>
      </c>
    </row>
    <row r="444" spans="1:15" x14ac:dyDescent="0.3">
      <c r="A444">
        <v>35.28</v>
      </c>
      <c r="B444">
        <v>1.8094462170000001</v>
      </c>
      <c r="D444">
        <f t="shared" si="15"/>
        <v>3.5280000000000002E-8</v>
      </c>
      <c r="E444">
        <f t="shared" ref="E444:E503" si="16">(($I$9*$I$6*$I$8^2)/(2*$I$10))+(($I$9*$I$5*$I$7^2)/(2*$I$10))</f>
        <v>1.8095128185450133</v>
      </c>
      <c r="N444">
        <v>35.279999999999902</v>
      </c>
      <c r="O444">
        <v>1.80944621661007</v>
      </c>
    </row>
    <row r="445" spans="1:15" x14ac:dyDescent="0.3">
      <c r="A445">
        <v>35.36</v>
      </c>
      <c r="B445">
        <v>1.8094462170000001</v>
      </c>
      <c r="D445">
        <f t="shared" si="15"/>
        <v>3.536E-8</v>
      </c>
      <c r="E445">
        <f t="shared" si="16"/>
        <v>1.8095128185450133</v>
      </c>
      <c r="N445">
        <v>35.3599999999999</v>
      </c>
      <c r="O445">
        <v>1.80944621661007</v>
      </c>
    </row>
    <row r="446" spans="1:15" x14ac:dyDescent="0.3">
      <c r="A446">
        <v>35.44</v>
      </c>
      <c r="B446">
        <v>1.8094462170000001</v>
      </c>
      <c r="D446">
        <f t="shared" si="15"/>
        <v>3.5439999999999998E-8</v>
      </c>
      <c r="E446">
        <f t="shared" si="16"/>
        <v>1.8095128185450133</v>
      </c>
      <c r="N446">
        <v>35.439999999999898</v>
      </c>
      <c r="O446">
        <v>1.80944621661006</v>
      </c>
    </row>
    <row r="447" spans="1:15" x14ac:dyDescent="0.3">
      <c r="A447">
        <v>35.520000000000003</v>
      </c>
      <c r="B447">
        <v>1.8094462170000001</v>
      </c>
      <c r="D447">
        <f t="shared" si="15"/>
        <v>3.5520000000000003E-8</v>
      </c>
      <c r="E447">
        <f t="shared" si="16"/>
        <v>1.8095128185450133</v>
      </c>
      <c r="N447">
        <v>35.519999999999897</v>
      </c>
      <c r="O447">
        <v>1.80944621661006</v>
      </c>
    </row>
    <row r="448" spans="1:15" x14ac:dyDescent="0.3">
      <c r="A448">
        <v>35.6</v>
      </c>
      <c r="B448">
        <v>1.8094462170000001</v>
      </c>
      <c r="D448">
        <f t="shared" si="15"/>
        <v>3.5600000000000001E-8</v>
      </c>
      <c r="E448">
        <f t="shared" si="16"/>
        <v>1.8095128185450133</v>
      </c>
      <c r="N448">
        <v>35.599999999999902</v>
      </c>
      <c r="O448">
        <v>1.80944621661006</v>
      </c>
    </row>
    <row r="449" spans="1:15" x14ac:dyDescent="0.3">
      <c r="A449">
        <v>35.68</v>
      </c>
      <c r="B449">
        <v>1.8094462170000001</v>
      </c>
      <c r="D449">
        <f t="shared" si="15"/>
        <v>3.5679999999999999E-8</v>
      </c>
      <c r="E449">
        <f t="shared" si="16"/>
        <v>1.8095128185450133</v>
      </c>
      <c r="N449">
        <v>35.6799999999999</v>
      </c>
      <c r="O449">
        <v>1.80944621661005</v>
      </c>
    </row>
    <row r="450" spans="1:15" x14ac:dyDescent="0.3">
      <c r="A450">
        <v>35.76</v>
      </c>
      <c r="B450">
        <v>1.8094462170000001</v>
      </c>
      <c r="D450">
        <f t="shared" si="15"/>
        <v>3.5759999999999997E-8</v>
      </c>
      <c r="E450">
        <f t="shared" si="16"/>
        <v>1.8095128185450133</v>
      </c>
      <c r="N450">
        <v>35.759999999999899</v>
      </c>
      <c r="O450">
        <v>1.80944621661005</v>
      </c>
    </row>
    <row r="451" spans="1:15" x14ac:dyDescent="0.3">
      <c r="A451">
        <v>35.840000000000003</v>
      </c>
      <c r="B451">
        <v>1.8094462170000001</v>
      </c>
      <c r="D451">
        <f t="shared" ref="D451:D503" si="17">A451*0.000000001</f>
        <v>3.5840000000000009E-8</v>
      </c>
      <c r="E451">
        <f t="shared" si="16"/>
        <v>1.8095128185450133</v>
      </c>
      <c r="N451">
        <v>35.839999999999897</v>
      </c>
      <c r="O451">
        <v>1.80944621661005</v>
      </c>
    </row>
    <row r="452" spans="1:15" x14ac:dyDescent="0.3">
      <c r="A452">
        <v>35.92</v>
      </c>
      <c r="B452">
        <v>1.8094462170000001</v>
      </c>
      <c r="D452">
        <f t="shared" si="17"/>
        <v>3.5920000000000007E-8</v>
      </c>
      <c r="E452">
        <f t="shared" si="16"/>
        <v>1.8095128185450133</v>
      </c>
      <c r="N452">
        <v>35.919999999999902</v>
      </c>
      <c r="O452">
        <v>1.80944621661004</v>
      </c>
    </row>
    <row r="453" spans="1:15" x14ac:dyDescent="0.3">
      <c r="A453">
        <v>36</v>
      </c>
      <c r="B453">
        <v>1.8094462170000001</v>
      </c>
      <c r="D453">
        <f t="shared" si="17"/>
        <v>3.6000000000000005E-8</v>
      </c>
      <c r="E453">
        <f t="shared" si="16"/>
        <v>1.8095128185450133</v>
      </c>
      <c r="N453">
        <v>35.999999999999901</v>
      </c>
      <c r="O453">
        <v>1.80944621661004</v>
      </c>
    </row>
    <row r="454" spans="1:15" x14ac:dyDescent="0.3">
      <c r="A454">
        <v>36.08</v>
      </c>
      <c r="B454">
        <v>1.8094462170000001</v>
      </c>
      <c r="D454">
        <f t="shared" si="17"/>
        <v>3.6080000000000003E-8</v>
      </c>
      <c r="E454">
        <f t="shared" si="16"/>
        <v>1.8095128185450133</v>
      </c>
      <c r="N454">
        <v>36.079999999999899</v>
      </c>
      <c r="O454">
        <v>1.80944621661004</v>
      </c>
    </row>
    <row r="455" spans="1:15" x14ac:dyDescent="0.3">
      <c r="A455">
        <v>36.159999999999997</v>
      </c>
      <c r="B455">
        <v>1.8094462170000001</v>
      </c>
      <c r="D455">
        <f t="shared" si="17"/>
        <v>3.6160000000000001E-8</v>
      </c>
      <c r="E455">
        <f t="shared" si="16"/>
        <v>1.8095128185450133</v>
      </c>
      <c r="N455">
        <v>36.159999999999897</v>
      </c>
      <c r="O455">
        <v>1.80944621661004</v>
      </c>
    </row>
    <row r="456" spans="1:15" x14ac:dyDescent="0.3">
      <c r="A456">
        <v>36.24</v>
      </c>
      <c r="B456">
        <v>1.8094462170000001</v>
      </c>
      <c r="D456">
        <f t="shared" si="17"/>
        <v>3.6240000000000006E-8</v>
      </c>
      <c r="E456">
        <f t="shared" si="16"/>
        <v>1.8095128185450133</v>
      </c>
      <c r="N456">
        <v>36.239999999999903</v>
      </c>
      <c r="O456">
        <v>1.80944621661003</v>
      </c>
    </row>
    <row r="457" spans="1:15" x14ac:dyDescent="0.3">
      <c r="A457">
        <v>36.32</v>
      </c>
      <c r="B457">
        <v>1.8094462170000001</v>
      </c>
      <c r="D457">
        <f t="shared" si="17"/>
        <v>3.6320000000000004E-8</v>
      </c>
      <c r="E457">
        <f t="shared" si="16"/>
        <v>1.8095128185450133</v>
      </c>
      <c r="N457">
        <v>36.319999999999901</v>
      </c>
      <c r="O457">
        <v>1.80944621661003</v>
      </c>
    </row>
    <row r="458" spans="1:15" x14ac:dyDescent="0.3">
      <c r="A458">
        <v>36.4</v>
      </c>
      <c r="B458">
        <v>1.8094462170000001</v>
      </c>
      <c r="D458">
        <f t="shared" si="17"/>
        <v>3.6400000000000002E-8</v>
      </c>
      <c r="E458">
        <f t="shared" si="16"/>
        <v>1.8095128185450133</v>
      </c>
      <c r="N458">
        <v>36.399999999999899</v>
      </c>
      <c r="O458">
        <v>1.80944621661003</v>
      </c>
    </row>
    <row r="459" spans="1:15" x14ac:dyDescent="0.3">
      <c r="A459">
        <v>36.479999999999997</v>
      </c>
      <c r="B459">
        <v>1.8094462170000001</v>
      </c>
      <c r="D459">
        <f t="shared" si="17"/>
        <v>3.648E-8</v>
      </c>
      <c r="E459">
        <f t="shared" si="16"/>
        <v>1.8095128185450133</v>
      </c>
      <c r="N459">
        <v>36.479999999999997</v>
      </c>
      <c r="O459">
        <v>1.80944621661002</v>
      </c>
    </row>
    <row r="460" spans="1:15" x14ac:dyDescent="0.3">
      <c r="A460">
        <v>36.56</v>
      </c>
      <c r="B460">
        <v>1.8094462170000001</v>
      </c>
      <c r="D460">
        <f t="shared" si="17"/>
        <v>3.6560000000000004E-8</v>
      </c>
      <c r="E460">
        <f t="shared" si="16"/>
        <v>1.8095128185450133</v>
      </c>
      <c r="N460">
        <v>36.559999999999903</v>
      </c>
      <c r="O460">
        <v>1.80944621661002</v>
      </c>
    </row>
    <row r="461" spans="1:15" x14ac:dyDescent="0.3">
      <c r="A461">
        <v>36.64</v>
      </c>
      <c r="B461">
        <v>1.8094462170000001</v>
      </c>
      <c r="D461">
        <f t="shared" si="17"/>
        <v>3.6640000000000003E-8</v>
      </c>
      <c r="E461">
        <f t="shared" si="16"/>
        <v>1.8095128185450133</v>
      </c>
      <c r="N461">
        <v>36.639999999999901</v>
      </c>
      <c r="O461">
        <v>1.80944621661002</v>
      </c>
    </row>
    <row r="462" spans="1:15" x14ac:dyDescent="0.3">
      <c r="A462">
        <v>36.72</v>
      </c>
      <c r="B462">
        <v>1.8094462170000001</v>
      </c>
      <c r="D462">
        <f t="shared" si="17"/>
        <v>3.6720000000000001E-8</v>
      </c>
      <c r="E462">
        <f t="shared" si="16"/>
        <v>1.8095128185450133</v>
      </c>
      <c r="N462">
        <v>36.719999999999899</v>
      </c>
      <c r="O462">
        <v>1.80944621661002</v>
      </c>
    </row>
    <row r="463" spans="1:15" x14ac:dyDescent="0.3">
      <c r="A463">
        <v>36.799999999999997</v>
      </c>
      <c r="B463">
        <v>1.8094462170000001</v>
      </c>
      <c r="D463">
        <f t="shared" si="17"/>
        <v>3.6799999999999999E-8</v>
      </c>
      <c r="E463">
        <f t="shared" si="16"/>
        <v>1.8095128185450133</v>
      </c>
      <c r="N463">
        <v>36.799999999999898</v>
      </c>
      <c r="O463">
        <v>1.80944621661001</v>
      </c>
    </row>
    <row r="464" spans="1:15" x14ac:dyDescent="0.3">
      <c r="A464">
        <v>36.880000000000003</v>
      </c>
      <c r="B464">
        <v>1.8094462170000001</v>
      </c>
      <c r="D464">
        <f t="shared" si="17"/>
        <v>3.6880000000000003E-8</v>
      </c>
      <c r="E464">
        <f t="shared" si="16"/>
        <v>1.8095128185450133</v>
      </c>
      <c r="N464">
        <v>36.879999999999903</v>
      </c>
      <c r="O464">
        <v>1.80944621661001</v>
      </c>
    </row>
    <row r="465" spans="1:15" x14ac:dyDescent="0.3">
      <c r="A465">
        <v>36.96</v>
      </c>
      <c r="B465">
        <v>1.8094462170000001</v>
      </c>
      <c r="D465">
        <f t="shared" si="17"/>
        <v>3.6960000000000001E-8</v>
      </c>
      <c r="E465">
        <f t="shared" si="16"/>
        <v>1.8095128185450133</v>
      </c>
      <c r="N465">
        <v>36.959999999999901</v>
      </c>
      <c r="O465">
        <v>1.80944621661001</v>
      </c>
    </row>
    <row r="466" spans="1:15" x14ac:dyDescent="0.3">
      <c r="A466">
        <v>37.04</v>
      </c>
      <c r="B466">
        <v>1.8094462170000001</v>
      </c>
      <c r="D466">
        <f t="shared" si="17"/>
        <v>3.7039999999999999E-8</v>
      </c>
      <c r="E466">
        <f t="shared" si="16"/>
        <v>1.8095128185450133</v>
      </c>
      <c r="N466">
        <v>37.0399999999999</v>
      </c>
      <c r="O466">
        <v>1.80944621661</v>
      </c>
    </row>
    <row r="467" spans="1:15" x14ac:dyDescent="0.3">
      <c r="A467">
        <v>37.119999999999997</v>
      </c>
      <c r="B467">
        <v>1.8094462170000001</v>
      </c>
      <c r="D467">
        <f t="shared" si="17"/>
        <v>3.7119999999999998E-8</v>
      </c>
      <c r="E467">
        <f t="shared" si="16"/>
        <v>1.8095128185450133</v>
      </c>
      <c r="N467">
        <v>37.119999999999898</v>
      </c>
      <c r="O467">
        <v>1.80944621661</v>
      </c>
    </row>
    <row r="468" spans="1:15" x14ac:dyDescent="0.3">
      <c r="A468">
        <v>37.200000000000003</v>
      </c>
      <c r="B468">
        <v>1.8094462170000001</v>
      </c>
      <c r="D468">
        <f t="shared" si="17"/>
        <v>3.7200000000000002E-8</v>
      </c>
      <c r="E468">
        <f t="shared" si="16"/>
        <v>1.8095128185450133</v>
      </c>
      <c r="N468">
        <v>37.199999999999903</v>
      </c>
      <c r="O468">
        <v>1.80944621661</v>
      </c>
    </row>
    <row r="469" spans="1:15" x14ac:dyDescent="0.3">
      <c r="A469">
        <v>37.28</v>
      </c>
      <c r="B469">
        <v>1.8094462170000001</v>
      </c>
      <c r="D469">
        <f t="shared" si="17"/>
        <v>3.728E-8</v>
      </c>
      <c r="E469">
        <f t="shared" si="16"/>
        <v>1.8095128185450133</v>
      </c>
      <c r="N469">
        <v>37.279999999999902</v>
      </c>
      <c r="O469">
        <v>1.80944621661</v>
      </c>
    </row>
    <row r="470" spans="1:15" x14ac:dyDescent="0.3">
      <c r="A470">
        <v>37.36</v>
      </c>
      <c r="B470">
        <v>1.8094462170000001</v>
      </c>
      <c r="D470">
        <f t="shared" si="17"/>
        <v>3.7360000000000005E-8</v>
      </c>
      <c r="E470">
        <f t="shared" si="16"/>
        <v>1.8095128185450133</v>
      </c>
      <c r="N470">
        <v>37.3599999999999</v>
      </c>
      <c r="O470">
        <v>1.80944621661</v>
      </c>
    </row>
    <row r="471" spans="1:15" x14ac:dyDescent="0.3">
      <c r="A471">
        <v>37.44</v>
      </c>
      <c r="B471">
        <v>1.8094462170000001</v>
      </c>
      <c r="D471">
        <f t="shared" si="17"/>
        <v>3.7440000000000003E-8</v>
      </c>
      <c r="E471">
        <f t="shared" si="16"/>
        <v>1.8095128185450133</v>
      </c>
      <c r="N471">
        <v>37.439999999999898</v>
      </c>
      <c r="O471">
        <v>1.8094462166099901</v>
      </c>
    </row>
    <row r="472" spans="1:15" x14ac:dyDescent="0.3">
      <c r="A472">
        <v>37.520000000000003</v>
      </c>
      <c r="B472">
        <v>1.8094462170000001</v>
      </c>
      <c r="D472">
        <f t="shared" si="17"/>
        <v>3.7520000000000008E-8</v>
      </c>
      <c r="E472">
        <f t="shared" si="16"/>
        <v>1.8095128185450133</v>
      </c>
      <c r="N472">
        <v>37.519999999999897</v>
      </c>
      <c r="O472">
        <v>1.8094462166099901</v>
      </c>
    </row>
    <row r="473" spans="1:15" x14ac:dyDescent="0.3">
      <c r="A473">
        <v>37.6</v>
      </c>
      <c r="B473">
        <v>1.8094462170000001</v>
      </c>
      <c r="D473">
        <f t="shared" si="17"/>
        <v>3.7600000000000006E-8</v>
      </c>
      <c r="E473">
        <f t="shared" si="16"/>
        <v>1.8095128185450133</v>
      </c>
      <c r="N473">
        <v>37.599999999999902</v>
      </c>
      <c r="O473">
        <v>1.8094462166099901</v>
      </c>
    </row>
    <row r="474" spans="1:15" x14ac:dyDescent="0.3">
      <c r="A474">
        <v>37.68</v>
      </c>
      <c r="B474">
        <v>1.8094462170000001</v>
      </c>
      <c r="D474">
        <f t="shared" si="17"/>
        <v>3.7680000000000004E-8</v>
      </c>
      <c r="E474">
        <f t="shared" si="16"/>
        <v>1.8095128185450133</v>
      </c>
      <c r="N474">
        <v>37.6799999999999</v>
      </c>
      <c r="O474">
        <v>1.8094462166099901</v>
      </c>
    </row>
    <row r="475" spans="1:15" x14ac:dyDescent="0.3">
      <c r="A475">
        <v>37.76</v>
      </c>
      <c r="B475">
        <v>1.8094462170000001</v>
      </c>
      <c r="D475">
        <f t="shared" si="17"/>
        <v>3.7760000000000002E-8</v>
      </c>
      <c r="E475">
        <f t="shared" si="16"/>
        <v>1.8095128185450133</v>
      </c>
      <c r="N475">
        <v>37.759999999999899</v>
      </c>
      <c r="O475">
        <v>1.8094462166099901</v>
      </c>
    </row>
    <row r="476" spans="1:15" x14ac:dyDescent="0.3">
      <c r="A476">
        <v>37.840000000000003</v>
      </c>
      <c r="B476">
        <v>1.8094462170000001</v>
      </c>
      <c r="D476">
        <f t="shared" si="17"/>
        <v>3.7840000000000007E-8</v>
      </c>
      <c r="E476">
        <f t="shared" si="16"/>
        <v>1.8095128185450133</v>
      </c>
      <c r="N476">
        <v>37.839999999999897</v>
      </c>
      <c r="O476">
        <v>1.8094462166099801</v>
      </c>
    </row>
    <row r="477" spans="1:15" x14ac:dyDescent="0.3">
      <c r="A477">
        <v>37.92</v>
      </c>
      <c r="B477">
        <v>1.8094462170000001</v>
      </c>
      <c r="D477">
        <f t="shared" si="17"/>
        <v>3.7920000000000005E-8</v>
      </c>
      <c r="E477">
        <f t="shared" si="16"/>
        <v>1.8095128185450133</v>
      </c>
      <c r="N477">
        <v>37.919999999999902</v>
      </c>
      <c r="O477">
        <v>1.8094462166099801</v>
      </c>
    </row>
    <row r="478" spans="1:15" x14ac:dyDescent="0.3">
      <c r="A478">
        <v>38</v>
      </c>
      <c r="B478">
        <v>1.8094462170000001</v>
      </c>
      <c r="D478">
        <f t="shared" si="17"/>
        <v>3.8000000000000003E-8</v>
      </c>
      <c r="E478">
        <f t="shared" si="16"/>
        <v>1.8095128185450133</v>
      </c>
      <c r="N478">
        <v>37.999999999999901</v>
      </c>
      <c r="O478">
        <v>1.8094462166099801</v>
      </c>
    </row>
    <row r="479" spans="1:15" x14ac:dyDescent="0.3">
      <c r="A479">
        <v>38.08</v>
      </c>
      <c r="B479">
        <v>1.8094462170000001</v>
      </c>
      <c r="D479">
        <f t="shared" si="17"/>
        <v>3.8080000000000001E-8</v>
      </c>
      <c r="E479">
        <f t="shared" si="16"/>
        <v>1.8095128185450133</v>
      </c>
      <c r="N479">
        <v>38.079999999999899</v>
      </c>
      <c r="O479">
        <v>1.8094462166099801</v>
      </c>
    </row>
    <row r="480" spans="1:15" x14ac:dyDescent="0.3">
      <c r="A480">
        <v>38.159999999999997</v>
      </c>
      <c r="B480">
        <v>1.8094462170000001</v>
      </c>
      <c r="D480">
        <f t="shared" si="17"/>
        <v>3.8159999999999999E-8</v>
      </c>
      <c r="E480">
        <f t="shared" si="16"/>
        <v>1.8095128185450133</v>
      </c>
      <c r="N480">
        <v>38.159999999999897</v>
      </c>
      <c r="O480">
        <v>1.8094462166099801</v>
      </c>
    </row>
    <row r="481" spans="1:15" x14ac:dyDescent="0.3">
      <c r="A481">
        <v>38.24</v>
      </c>
      <c r="B481">
        <v>1.8094462170000001</v>
      </c>
      <c r="D481">
        <f t="shared" si="17"/>
        <v>3.8240000000000004E-8</v>
      </c>
      <c r="E481">
        <f t="shared" si="16"/>
        <v>1.8095128185450133</v>
      </c>
      <c r="N481">
        <v>38.239999999999903</v>
      </c>
      <c r="O481">
        <v>1.8094462166099801</v>
      </c>
    </row>
    <row r="482" spans="1:15" x14ac:dyDescent="0.3">
      <c r="A482">
        <v>38.32</v>
      </c>
      <c r="B482">
        <v>1.8094462170000001</v>
      </c>
      <c r="D482">
        <f t="shared" si="17"/>
        <v>3.8320000000000002E-8</v>
      </c>
      <c r="E482">
        <f t="shared" si="16"/>
        <v>1.8095128185450133</v>
      </c>
      <c r="N482">
        <v>38.319999999999901</v>
      </c>
      <c r="O482">
        <v>1.8094462166099801</v>
      </c>
    </row>
    <row r="483" spans="1:15" x14ac:dyDescent="0.3">
      <c r="A483">
        <v>38.4</v>
      </c>
      <c r="B483">
        <v>1.8094462170000001</v>
      </c>
      <c r="D483">
        <f t="shared" si="17"/>
        <v>3.84E-8</v>
      </c>
      <c r="E483">
        <f t="shared" si="16"/>
        <v>1.8095128185450133</v>
      </c>
      <c r="N483">
        <v>38.399999999999899</v>
      </c>
      <c r="O483">
        <v>1.8094462166099701</v>
      </c>
    </row>
    <row r="484" spans="1:15" x14ac:dyDescent="0.3">
      <c r="A484">
        <v>38.479999999999997</v>
      </c>
      <c r="B484">
        <v>1.8094462170000001</v>
      </c>
      <c r="D484">
        <f t="shared" si="17"/>
        <v>3.8479999999999998E-8</v>
      </c>
      <c r="E484">
        <f t="shared" si="16"/>
        <v>1.8095128185450133</v>
      </c>
      <c r="N484">
        <v>38.479999999999897</v>
      </c>
      <c r="O484">
        <v>1.8094462166099701</v>
      </c>
    </row>
    <row r="485" spans="1:15" x14ac:dyDescent="0.3">
      <c r="A485">
        <v>38.56</v>
      </c>
      <c r="B485">
        <v>1.8094462170000001</v>
      </c>
      <c r="D485">
        <f t="shared" si="17"/>
        <v>3.8560000000000003E-8</v>
      </c>
      <c r="E485">
        <f t="shared" si="16"/>
        <v>1.8095128185450133</v>
      </c>
      <c r="N485">
        <v>38.559999999999903</v>
      </c>
      <c r="O485">
        <v>1.8094462166099701</v>
      </c>
    </row>
    <row r="486" spans="1:15" x14ac:dyDescent="0.3">
      <c r="A486">
        <v>38.64</v>
      </c>
      <c r="B486">
        <v>1.8094462170000001</v>
      </c>
      <c r="D486">
        <f t="shared" si="17"/>
        <v>3.8640000000000001E-8</v>
      </c>
      <c r="E486">
        <f t="shared" si="16"/>
        <v>1.8095128185450133</v>
      </c>
      <c r="N486">
        <v>38.639999999999901</v>
      </c>
      <c r="O486">
        <v>1.8094462166099701</v>
      </c>
    </row>
    <row r="487" spans="1:15" x14ac:dyDescent="0.3">
      <c r="A487">
        <v>38.72</v>
      </c>
      <c r="B487">
        <v>1.8094462170000001</v>
      </c>
      <c r="D487">
        <f t="shared" si="17"/>
        <v>3.8719999999999999E-8</v>
      </c>
      <c r="E487">
        <f t="shared" si="16"/>
        <v>1.8095128185450133</v>
      </c>
      <c r="N487">
        <v>38.719999999999899</v>
      </c>
      <c r="O487">
        <v>1.8094462166099701</v>
      </c>
    </row>
    <row r="488" spans="1:15" x14ac:dyDescent="0.3">
      <c r="A488">
        <v>38.799999999999997</v>
      </c>
      <c r="B488">
        <v>1.8094462170000001</v>
      </c>
      <c r="D488">
        <f t="shared" si="17"/>
        <v>3.8799999999999997E-8</v>
      </c>
      <c r="E488">
        <f t="shared" si="16"/>
        <v>1.8095128185450133</v>
      </c>
      <c r="N488">
        <v>38.799999999999898</v>
      </c>
      <c r="O488">
        <v>1.8094462166099701</v>
      </c>
    </row>
    <row r="489" spans="1:15" x14ac:dyDescent="0.3">
      <c r="A489">
        <v>38.880000000000003</v>
      </c>
      <c r="B489">
        <v>1.8094462170000001</v>
      </c>
      <c r="D489">
        <f t="shared" si="17"/>
        <v>3.8880000000000008E-8</v>
      </c>
      <c r="E489">
        <f t="shared" si="16"/>
        <v>1.8095128185450133</v>
      </c>
      <c r="N489">
        <v>38.879999999999903</v>
      </c>
      <c r="O489">
        <v>1.8094462166099701</v>
      </c>
    </row>
    <row r="490" spans="1:15" x14ac:dyDescent="0.3">
      <c r="A490">
        <v>38.96</v>
      </c>
      <c r="B490">
        <v>1.8094462170000001</v>
      </c>
      <c r="D490">
        <f t="shared" si="17"/>
        <v>3.8960000000000006E-8</v>
      </c>
      <c r="E490">
        <f t="shared" si="16"/>
        <v>1.8095128185450133</v>
      </c>
      <c r="N490">
        <v>38.959999999999901</v>
      </c>
      <c r="O490">
        <v>1.8094462166099701</v>
      </c>
    </row>
    <row r="491" spans="1:15" x14ac:dyDescent="0.3">
      <c r="A491">
        <v>39.04</v>
      </c>
      <c r="B491">
        <v>1.8094462170000001</v>
      </c>
      <c r="D491">
        <f t="shared" si="17"/>
        <v>3.9040000000000004E-8</v>
      </c>
      <c r="E491">
        <f t="shared" si="16"/>
        <v>1.8095128185450133</v>
      </c>
      <c r="N491">
        <v>39.0399999999999</v>
      </c>
      <c r="O491">
        <v>1.8094462166099701</v>
      </c>
    </row>
    <row r="492" spans="1:15" x14ac:dyDescent="0.3">
      <c r="A492">
        <v>39.119999999999997</v>
      </c>
      <c r="B492">
        <v>1.8094462170000001</v>
      </c>
      <c r="D492">
        <f t="shared" si="17"/>
        <v>3.9120000000000002E-8</v>
      </c>
      <c r="E492">
        <f t="shared" si="16"/>
        <v>1.8095128185450133</v>
      </c>
      <c r="N492">
        <v>39.119999999999898</v>
      </c>
      <c r="O492">
        <v>1.8094462166099701</v>
      </c>
    </row>
    <row r="493" spans="1:15" x14ac:dyDescent="0.3">
      <c r="A493">
        <v>39.200000000000003</v>
      </c>
      <c r="B493">
        <v>1.8094462170000001</v>
      </c>
      <c r="D493">
        <f t="shared" si="17"/>
        <v>3.9200000000000007E-8</v>
      </c>
      <c r="E493">
        <f t="shared" si="16"/>
        <v>1.8095128185450133</v>
      </c>
      <c r="N493">
        <v>39.199999999999903</v>
      </c>
      <c r="O493">
        <v>1.8094462166099701</v>
      </c>
    </row>
    <row r="494" spans="1:15" x14ac:dyDescent="0.3">
      <c r="A494">
        <v>39.28</v>
      </c>
      <c r="B494">
        <v>1.8094462170000001</v>
      </c>
      <c r="D494">
        <f t="shared" si="17"/>
        <v>3.9280000000000005E-8</v>
      </c>
      <c r="E494">
        <f t="shared" si="16"/>
        <v>1.8095128185450133</v>
      </c>
      <c r="N494">
        <v>39.279999999999902</v>
      </c>
      <c r="O494">
        <v>1.8094462166099701</v>
      </c>
    </row>
    <row r="495" spans="1:15" x14ac:dyDescent="0.3">
      <c r="A495">
        <v>39.36</v>
      </c>
      <c r="B495">
        <v>1.8094462170000001</v>
      </c>
      <c r="D495">
        <f t="shared" si="17"/>
        <v>3.9360000000000003E-8</v>
      </c>
      <c r="E495">
        <f t="shared" si="16"/>
        <v>1.8095128185450133</v>
      </c>
      <c r="N495">
        <v>39.3599999999999</v>
      </c>
      <c r="O495">
        <v>1.8094462166099701</v>
      </c>
    </row>
    <row r="496" spans="1:15" x14ac:dyDescent="0.3">
      <c r="A496">
        <v>39.44</v>
      </c>
      <c r="B496">
        <v>1.8094462170000001</v>
      </c>
      <c r="D496">
        <f t="shared" si="17"/>
        <v>3.9440000000000001E-8</v>
      </c>
      <c r="E496">
        <f t="shared" si="16"/>
        <v>1.8095128185450133</v>
      </c>
      <c r="N496">
        <v>39.439999999999898</v>
      </c>
      <c r="O496">
        <v>1.8094462166099701</v>
      </c>
    </row>
    <row r="497" spans="1:15" x14ac:dyDescent="0.3">
      <c r="A497">
        <v>39.520000000000003</v>
      </c>
      <c r="B497">
        <v>1.8094462170000001</v>
      </c>
      <c r="D497">
        <f t="shared" si="17"/>
        <v>3.9520000000000006E-8</v>
      </c>
      <c r="E497">
        <f t="shared" si="16"/>
        <v>1.8095128185450133</v>
      </c>
      <c r="N497">
        <v>39.519999999999897</v>
      </c>
      <c r="O497">
        <v>1.8094462166099701</v>
      </c>
    </row>
    <row r="498" spans="1:15" x14ac:dyDescent="0.3">
      <c r="A498">
        <v>39.6</v>
      </c>
      <c r="B498">
        <v>1.8094462170000001</v>
      </c>
      <c r="D498">
        <f t="shared" si="17"/>
        <v>3.9600000000000004E-8</v>
      </c>
      <c r="E498">
        <f t="shared" si="16"/>
        <v>1.8095128185450133</v>
      </c>
      <c r="N498">
        <v>39.599999999999902</v>
      </c>
      <c r="O498">
        <v>1.8094462166099701</v>
      </c>
    </row>
    <row r="499" spans="1:15" x14ac:dyDescent="0.3">
      <c r="A499">
        <v>39.68</v>
      </c>
      <c r="B499">
        <v>1.8094462170000001</v>
      </c>
      <c r="D499">
        <f t="shared" si="17"/>
        <v>3.9680000000000002E-8</v>
      </c>
      <c r="E499">
        <f t="shared" si="16"/>
        <v>1.8095128185450133</v>
      </c>
      <c r="N499">
        <v>39.6799999999999</v>
      </c>
      <c r="O499">
        <v>1.8094462166099701</v>
      </c>
    </row>
    <row r="500" spans="1:15" x14ac:dyDescent="0.3">
      <c r="A500">
        <v>39.76</v>
      </c>
      <c r="B500">
        <v>1.8094462170000001</v>
      </c>
      <c r="D500">
        <f t="shared" si="17"/>
        <v>3.976E-8</v>
      </c>
      <c r="E500">
        <f t="shared" si="16"/>
        <v>1.8095128185450133</v>
      </c>
      <c r="N500">
        <v>39.759999999999899</v>
      </c>
      <c r="O500">
        <v>1.8094462166099701</v>
      </c>
    </row>
    <row r="501" spans="1:15" x14ac:dyDescent="0.3">
      <c r="A501">
        <v>39.840000000000003</v>
      </c>
      <c r="B501">
        <v>1.8094462170000001</v>
      </c>
      <c r="D501">
        <f t="shared" si="17"/>
        <v>3.9840000000000005E-8</v>
      </c>
      <c r="E501">
        <f t="shared" si="16"/>
        <v>1.8095128185450133</v>
      </c>
      <c r="N501">
        <v>39.839999999999897</v>
      </c>
      <c r="O501">
        <v>1.8094462166099701</v>
      </c>
    </row>
    <row r="502" spans="1:15" x14ac:dyDescent="0.3">
      <c r="A502">
        <v>39.92</v>
      </c>
      <c r="B502">
        <v>1.8094462170000001</v>
      </c>
      <c r="D502">
        <f t="shared" si="17"/>
        <v>3.9920000000000003E-8</v>
      </c>
      <c r="E502">
        <f t="shared" si="16"/>
        <v>1.8095128185450133</v>
      </c>
      <c r="N502">
        <v>39.919999999999902</v>
      </c>
      <c r="O502">
        <v>1.8094462166099701</v>
      </c>
    </row>
    <row r="503" spans="1:15" x14ac:dyDescent="0.3">
      <c r="A503">
        <v>40</v>
      </c>
      <c r="B503">
        <v>1.8094462170000001</v>
      </c>
      <c r="D503">
        <f t="shared" si="17"/>
        <v>4.0000000000000001E-8</v>
      </c>
      <c r="E503">
        <f t="shared" si="16"/>
        <v>1.8095128185450133</v>
      </c>
      <c r="N503">
        <v>39.999999999999901</v>
      </c>
      <c r="O503">
        <v>1.8094462166099701</v>
      </c>
    </row>
  </sheetData>
  <mergeCells count="8">
    <mergeCell ref="T1:U1"/>
    <mergeCell ref="A1:B1"/>
    <mergeCell ref="D1:E1"/>
    <mergeCell ref="H2:K2"/>
    <mergeCell ref="G15:H15"/>
    <mergeCell ref="J15:L20"/>
    <mergeCell ref="N1:O1"/>
    <mergeCell ref="Q1:R1"/>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80EF0-04AB-4936-9BFA-B8842A1C28F0}">
  <dimension ref="A1:W503"/>
  <sheetViews>
    <sheetView zoomScale="73" workbookViewId="0">
      <selection activeCell="O11" sqref="O11"/>
    </sheetView>
  </sheetViews>
  <sheetFormatPr defaultRowHeight="14.4" x14ac:dyDescent="0.3"/>
  <cols>
    <col min="1" max="1" width="17.109375" customWidth="1"/>
    <col min="2" max="2" width="24.33203125" customWidth="1"/>
    <col min="4" max="4" width="15.5546875" customWidth="1"/>
    <col min="5" max="5" width="17.33203125" customWidth="1"/>
    <col min="7" max="7" width="15.109375" customWidth="1"/>
    <col min="8" max="8" width="17.109375" customWidth="1"/>
    <col min="10" max="10" width="16.109375" customWidth="1"/>
    <col min="11" max="11" width="17.88671875" customWidth="1"/>
    <col min="15" max="15" width="19.33203125" customWidth="1"/>
    <col min="19" max="19" width="21.21875" customWidth="1"/>
    <col min="20" max="20" width="9.109375" customWidth="1"/>
    <col min="22" max="22" width="14.5546875" customWidth="1"/>
    <col min="23" max="23" width="12.6640625" customWidth="1"/>
  </cols>
  <sheetData>
    <row r="1" spans="1:23" x14ac:dyDescent="0.3">
      <c r="A1" s="36" t="s">
        <v>82</v>
      </c>
      <c r="B1" s="36"/>
      <c r="D1" s="36" t="s">
        <v>81</v>
      </c>
      <c r="E1" s="36"/>
      <c r="G1" s="36" t="s">
        <v>80</v>
      </c>
      <c r="H1" s="36"/>
      <c r="J1" s="36" t="s">
        <v>79</v>
      </c>
      <c r="K1" s="36"/>
      <c r="M1" s="37" t="s">
        <v>84</v>
      </c>
      <c r="N1" s="37"/>
      <c r="O1" s="37"/>
      <c r="P1" s="37"/>
      <c r="Q1" s="37"/>
      <c r="R1" s="37"/>
      <c r="S1" s="37"/>
      <c r="V1" s="36" t="s">
        <v>78</v>
      </c>
      <c r="W1" s="36"/>
    </row>
    <row r="2" spans="1:23" x14ac:dyDescent="0.3">
      <c r="A2" t="s">
        <v>77</v>
      </c>
      <c r="B2" t="s">
        <v>63</v>
      </c>
      <c r="D2" t="s">
        <v>77</v>
      </c>
      <c r="E2" t="s">
        <v>63</v>
      </c>
      <c r="G2" t="s">
        <v>77</v>
      </c>
      <c r="H2" t="s">
        <v>63</v>
      </c>
      <c r="J2" t="s">
        <v>77</v>
      </c>
      <c r="K2" t="s">
        <v>63</v>
      </c>
      <c r="V2" t="s">
        <v>77</v>
      </c>
      <c r="W2" t="s">
        <v>63</v>
      </c>
    </row>
    <row r="3" spans="1:23" x14ac:dyDescent="0.3">
      <c r="A3">
        <v>0</v>
      </c>
      <c r="B3">
        <v>0</v>
      </c>
      <c r="D3">
        <v>0</v>
      </c>
      <c r="E3">
        <v>0</v>
      </c>
      <c r="G3">
        <v>0</v>
      </c>
      <c r="H3">
        <v>0</v>
      </c>
      <c r="J3">
        <v>0</v>
      </c>
      <c r="K3">
        <v>0</v>
      </c>
      <c r="N3" s="6" t="s">
        <v>76</v>
      </c>
      <c r="O3" s="6" t="s">
        <v>75</v>
      </c>
      <c r="P3" s="6" t="s">
        <v>74</v>
      </c>
      <c r="Q3" s="6" t="s">
        <v>73</v>
      </c>
      <c r="S3" s="20" t="s">
        <v>72</v>
      </c>
      <c r="T3">
        <f>EXP(-4.0192)</f>
        <v>1.796733305793554E-2</v>
      </c>
      <c r="V3">
        <v>0</v>
      </c>
      <c r="W3">
        <v>0</v>
      </c>
    </row>
    <row r="4" spans="1:23" x14ac:dyDescent="0.3">
      <c r="A4">
        <v>5.5999999999999897E-2</v>
      </c>
      <c r="B4" s="11">
        <v>4.26309563069736E-16</v>
      </c>
      <c r="D4">
        <v>6.4000000000000001E-2</v>
      </c>
      <c r="E4" s="11">
        <v>1.0883649093197399E-15</v>
      </c>
      <c r="G4">
        <v>7.1999999999999995E-2</v>
      </c>
      <c r="H4" s="11">
        <v>1.2484132646919101E-15</v>
      </c>
      <c r="J4">
        <v>7.9999999999999905E-2</v>
      </c>
      <c r="K4" s="11">
        <v>-1.22966647501116E-14</v>
      </c>
      <c r="N4">
        <v>4</v>
      </c>
      <c r="O4">
        <f>MAX(B$3:B$503)-MIN(B$3:B$503)</f>
        <v>0.28919038167303729</v>
      </c>
      <c r="P4">
        <f t="shared" ref="P4:Q7" si="0">LN(N4)</f>
        <v>1.3862943611198906</v>
      </c>
      <c r="Q4">
        <f t="shared" si="0"/>
        <v>-1.2406700476425871</v>
      </c>
      <c r="S4" s="20" t="s">
        <v>71</v>
      </c>
      <c r="T4">
        <v>2.0038999999999998</v>
      </c>
      <c r="V4">
        <v>7.2556159999999897E-2</v>
      </c>
      <c r="W4" s="11">
        <v>-9.9146122672823395E-15</v>
      </c>
    </row>
    <row r="5" spans="1:23" x14ac:dyDescent="0.3">
      <c r="A5">
        <v>0.111999999999999</v>
      </c>
      <c r="B5" s="11">
        <v>8.5261912613947299E-16</v>
      </c>
      <c r="D5">
        <v>0.128</v>
      </c>
      <c r="E5" s="11">
        <v>2.1767298186394798E-15</v>
      </c>
      <c r="G5">
        <v>0.14399999999999999</v>
      </c>
      <c r="H5" s="11">
        <v>2.49682652938383E-15</v>
      </c>
      <c r="J5">
        <v>0.159999999999999</v>
      </c>
      <c r="K5" s="11">
        <v>-2.4593329500223301E-14</v>
      </c>
      <c r="N5">
        <v>6</v>
      </c>
      <c r="O5">
        <f>MAX(E$3:E$503)-MIN(E$3:E$503)</f>
        <v>0.64950418273838006</v>
      </c>
      <c r="P5">
        <f t="shared" si="0"/>
        <v>1.791759469228055</v>
      </c>
      <c r="Q5">
        <f t="shared" si="0"/>
        <v>-0.43154600295629908</v>
      </c>
      <c r="S5" s="20" t="s">
        <v>70</v>
      </c>
      <c r="T5">
        <f xml:space="preserve"> (1.2/T3)^(1/T4)</f>
        <v>8.1390402485166238</v>
      </c>
      <c r="V5">
        <v>0.14511231999999899</v>
      </c>
      <c r="W5" s="11">
        <v>-1.98292245345646E-14</v>
      </c>
    </row>
    <row r="6" spans="1:23" x14ac:dyDescent="0.3">
      <c r="A6">
        <v>0.16799999999999901</v>
      </c>
      <c r="B6" s="11">
        <v>1.2789286892092E-15</v>
      </c>
      <c r="D6">
        <v>0.192</v>
      </c>
      <c r="E6" s="11">
        <v>3.2650947279592199E-15</v>
      </c>
      <c r="G6">
        <v>0.215999999999999</v>
      </c>
      <c r="H6" s="11">
        <v>3.7452397940757502E-15</v>
      </c>
      <c r="J6">
        <v>0.23999999999999899</v>
      </c>
      <c r="K6" s="11">
        <v>-3.6889994250335001E-14</v>
      </c>
      <c r="N6">
        <v>8</v>
      </c>
      <c r="O6">
        <f>MAX(H$3:H$503)-MIN(H$3:H$503)</f>
        <v>1.1638439981058919</v>
      </c>
      <c r="P6">
        <f t="shared" si="0"/>
        <v>2.0794415416798357</v>
      </c>
      <c r="Q6">
        <f t="shared" si="0"/>
        <v>0.15172831808166504</v>
      </c>
      <c r="S6" s="42" t="s">
        <v>85</v>
      </c>
      <c r="T6" s="41">
        <f>MAX(W3:W503)</f>
        <v>1.1818757306234999</v>
      </c>
      <c r="V6">
        <v>0.217668479999999</v>
      </c>
      <c r="W6" s="11">
        <v>-2.9743836801846999E-14</v>
      </c>
    </row>
    <row r="7" spans="1:23" x14ac:dyDescent="0.3">
      <c r="A7">
        <v>0.22399999999999901</v>
      </c>
      <c r="B7" s="11">
        <v>1.7052382522789401E-15</v>
      </c>
      <c r="D7">
        <v>0.25600000000000001</v>
      </c>
      <c r="E7" s="11">
        <v>4.3534596372789596E-15</v>
      </c>
      <c r="G7">
        <v>0.28799999999999998</v>
      </c>
      <c r="H7" s="11">
        <v>4.9936530587676703E-15</v>
      </c>
      <c r="J7">
        <v>0.31999999999999901</v>
      </c>
      <c r="K7" s="11">
        <v>-4.9186659000446702E-14</v>
      </c>
      <c r="N7">
        <v>10</v>
      </c>
      <c r="O7">
        <f>MAX(K$3:K$503)-MIN(K$3:K$503)</f>
        <v>1.8094462166119569</v>
      </c>
      <c r="P7">
        <f t="shared" si="0"/>
        <v>2.3025850929940459</v>
      </c>
      <c r="Q7">
        <f t="shared" si="0"/>
        <v>0.59302084079018447</v>
      </c>
      <c r="S7" s="43"/>
      <c r="T7" s="41"/>
      <c r="V7">
        <v>0.29022463999999898</v>
      </c>
      <c r="W7" s="11">
        <v>-3.9658449069129301E-14</v>
      </c>
    </row>
    <row r="8" spans="1:23" x14ac:dyDescent="0.3">
      <c r="A8">
        <v>0.27999999999999903</v>
      </c>
      <c r="B8" s="11">
        <v>2.1315478153486802E-15</v>
      </c>
      <c r="D8">
        <v>0.32</v>
      </c>
      <c r="E8" s="11">
        <v>5.4418245465986997E-15</v>
      </c>
      <c r="G8">
        <v>0.35999999999999899</v>
      </c>
      <c r="H8" s="11">
        <v>6.2420663234595897E-15</v>
      </c>
      <c r="J8">
        <v>0.39999999999999902</v>
      </c>
      <c r="K8" s="11">
        <v>-6.1483323750558397E-14</v>
      </c>
      <c r="S8" s="40" t="s">
        <v>86</v>
      </c>
      <c r="T8" s="41">
        <f>1.2-T6</f>
        <v>1.8124269376500024E-2</v>
      </c>
      <c r="V8">
        <v>0.36278079999999902</v>
      </c>
      <c r="W8" s="11">
        <v>-4.9573061336411697E-14</v>
      </c>
    </row>
    <row r="9" spans="1:23" ht="15" customHeight="1" x14ac:dyDescent="0.3">
      <c r="A9">
        <v>0.33599999999999902</v>
      </c>
      <c r="B9" s="11">
        <v>2.5578573784184201E-15</v>
      </c>
      <c r="D9">
        <v>0.38400000000000001</v>
      </c>
      <c r="E9" s="11">
        <v>6.5301894559184501E-15</v>
      </c>
      <c r="G9">
        <v>0.432</v>
      </c>
      <c r="H9" s="11">
        <v>7.4904795881515098E-15</v>
      </c>
      <c r="J9">
        <v>0.47999999999999898</v>
      </c>
      <c r="K9" s="11">
        <v>-7.3779988500670104E-14</v>
      </c>
      <c r="O9" s="7"/>
      <c r="P9" s="7"/>
      <c r="Q9" s="7"/>
      <c r="R9" s="7"/>
      <c r="S9" s="40"/>
      <c r="T9" s="41"/>
      <c r="V9">
        <v>0.435336959999999</v>
      </c>
      <c r="W9" s="11">
        <v>-5.94876736036941E-14</v>
      </c>
    </row>
    <row r="10" spans="1:23" ht="14.4" customHeight="1" x14ac:dyDescent="0.3">
      <c r="A10">
        <v>0.39199999999999902</v>
      </c>
      <c r="B10" s="11">
        <v>2.9841669414881501E-15</v>
      </c>
      <c r="D10">
        <v>0.44800000000000001</v>
      </c>
      <c r="E10" s="11">
        <v>7.6185543652381894E-15</v>
      </c>
      <c r="G10">
        <v>0.504</v>
      </c>
      <c r="H10" s="11">
        <v>8.73889285284343E-15</v>
      </c>
      <c r="J10">
        <v>0.55999999999999905</v>
      </c>
      <c r="K10" s="11">
        <v>-8.6076653250781798E-14</v>
      </c>
      <c r="N10" s="7"/>
      <c r="O10" s="7"/>
      <c r="P10" s="7"/>
      <c r="Q10" s="7"/>
      <c r="R10" s="7"/>
      <c r="S10" s="40"/>
      <c r="T10" s="41"/>
      <c r="V10">
        <v>0.50789311999999898</v>
      </c>
      <c r="W10" s="11">
        <v>-6.9402285870976401E-14</v>
      </c>
    </row>
    <row r="11" spans="1:23" x14ac:dyDescent="0.3">
      <c r="A11">
        <v>0.44799999999999901</v>
      </c>
      <c r="B11" s="11">
        <v>3.41047650455789E-15</v>
      </c>
      <c r="D11">
        <v>0.51200000000000001</v>
      </c>
      <c r="E11" s="11">
        <v>8.7069192745579303E-15</v>
      </c>
      <c r="G11">
        <v>0.57599999999999996</v>
      </c>
      <c r="H11" s="11">
        <v>9.9873061175353501E-15</v>
      </c>
      <c r="J11">
        <v>0.63999999999999901</v>
      </c>
      <c r="K11" s="11">
        <v>-9.8373318000893505E-14</v>
      </c>
      <c r="N11" s="7"/>
      <c r="O11" s="7"/>
      <c r="P11" s="7"/>
      <c r="Q11" s="7"/>
      <c r="R11" s="7"/>
      <c r="V11">
        <v>0.58044927999999896</v>
      </c>
      <c r="W11" s="11">
        <v>-7.9316898138258804E-14</v>
      </c>
    </row>
    <row r="12" spans="1:23" x14ac:dyDescent="0.3">
      <c r="A12">
        <v>0.503999999999999</v>
      </c>
      <c r="B12" s="11">
        <v>3.8367860676276299E-15</v>
      </c>
      <c r="D12">
        <v>0.57599999999999996</v>
      </c>
      <c r="E12" s="11">
        <v>9.7952841838776806E-15</v>
      </c>
      <c r="G12">
        <v>0.64799999999999902</v>
      </c>
      <c r="H12" s="11">
        <v>1.1235719382227199E-14</v>
      </c>
      <c r="J12">
        <v>0.71999999999999897</v>
      </c>
      <c r="K12" s="11">
        <v>-1.10669982751005E-13</v>
      </c>
      <c r="N12" s="7"/>
      <c r="O12" s="7"/>
      <c r="P12" s="7"/>
      <c r="Q12" s="7"/>
      <c r="R12" s="7"/>
      <c r="V12">
        <v>0.65300543999999905</v>
      </c>
      <c r="W12" s="11">
        <v>-8.9231510405541194E-14</v>
      </c>
    </row>
    <row r="13" spans="1:23" ht="12.6" customHeight="1" x14ac:dyDescent="0.3">
      <c r="A13">
        <v>0.55999999999999905</v>
      </c>
      <c r="B13" s="11">
        <v>4.2630956306973603E-15</v>
      </c>
      <c r="D13">
        <v>0.64</v>
      </c>
      <c r="E13" s="11">
        <v>1.0883649093197399E-14</v>
      </c>
      <c r="G13">
        <v>0.71999999999999897</v>
      </c>
      <c r="H13" s="11">
        <v>1.24841326469191E-14</v>
      </c>
      <c r="J13">
        <v>0.79999999999999905</v>
      </c>
      <c r="K13" s="11">
        <v>-1.2296664750111601E-13</v>
      </c>
      <c r="M13" s="38" t="s">
        <v>83</v>
      </c>
      <c r="N13" s="39"/>
      <c r="O13" s="39"/>
      <c r="P13" s="39"/>
      <c r="Q13" s="39"/>
      <c r="R13" s="39"/>
      <c r="S13" s="39"/>
      <c r="V13">
        <v>0.72556159999999903</v>
      </c>
      <c r="W13" s="11">
        <v>-9.9146122672823596E-14</v>
      </c>
    </row>
    <row r="14" spans="1:23" x14ac:dyDescent="0.3">
      <c r="A14">
        <v>0.61599999999999899</v>
      </c>
      <c r="B14" s="11">
        <v>4.6894051937671002E-15</v>
      </c>
      <c r="D14">
        <v>0.70399999999999996</v>
      </c>
      <c r="E14" s="11">
        <v>1.1972014002517099E-14</v>
      </c>
      <c r="G14">
        <v>0.79199999999999904</v>
      </c>
      <c r="H14" s="11">
        <v>1.37325459116111E-14</v>
      </c>
      <c r="J14">
        <v>0.87999999999999901</v>
      </c>
      <c r="K14" s="11">
        <v>-1.35263312251228E-13</v>
      </c>
      <c r="M14" s="39"/>
      <c r="N14" s="39"/>
      <c r="O14" s="39"/>
      <c r="P14" s="39"/>
      <c r="Q14" s="39"/>
      <c r="R14" s="39"/>
      <c r="S14" s="39"/>
      <c r="V14">
        <v>0.79811775999999901</v>
      </c>
      <c r="W14" s="11">
        <v>-1.09060734940105E-13</v>
      </c>
    </row>
    <row r="15" spans="1:23" x14ac:dyDescent="0.3">
      <c r="A15">
        <v>0.67199999999999904</v>
      </c>
      <c r="B15" s="11">
        <v>5.1157147568368401E-15</v>
      </c>
      <c r="D15">
        <v>0.76800000000000002</v>
      </c>
      <c r="E15" s="11">
        <v>1.30603789118369E-14</v>
      </c>
      <c r="G15">
        <v>0.86399999999999899</v>
      </c>
      <c r="H15" s="11">
        <v>1.4980959176303001E-14</v>
      </c>
      <c r="J15">
        <v>0.95999999999999897</v>
      </c>
      <c r="K15" s="11">
        <v>-1.4755997700134001E-13</v>
      </c>
      <c r="M15" s="39"/>
      <c r="N15" s="39"/>
      <c r="O15" s="39"/>
      <c r="P15" s="39"/>
      <c r="Q15" s="39"/>
      <c r="R15" s="39"/>
      <c r="S15" s="39"/>
      <c r="V15">
        <v>0.87067391999999899</v>
      </c>
      <c r="W15" s="11">
        <v>-1.18975347207388E-13</v>
      </c>
    </row>
    <row r="16" spans="1:23" x14ac:dyDescent="0.3">
      <c r="A16">
        <v>0.72799999999999898</v>
      </c>
      <c r="B16" s="11">
        <v>5.5420243199065698E-15</v>
      </c>
      <c r="D16">
        <v>0.83199999999999996</v>
      </c>
      <c r="E16" s="11">
        <v>1.41487438211566E-14</v>
      </c>
      <c r="G16">
        <v>0.93599999999999905</v>
      </c>
      <c r="H16" s="11">
        <v>1.6229372440994899E-14</v>
      </c>
      <c r="J16">
        <v>1.03999999999999</v>
      </c>
      <c r="K16" s="11">
        <v>-1.5985664175145101E-13</v>
      </c>
      <c r="M16" s="39"/>
      <c r="N16" s="39"/>
      <c r="O16" s="39"/>
      <c r="P16" s="39"/>
      <c r="Q16" s="39"/>
      <c r="R16" s="39"/>
      <c r="S16" s="39"/>
      <c r="V16">
        <v>0.94323007999999897</v>
      </c>
      <c r="W16" s="11">
        <v>-1.2888995947467001E-13</v>
      </c>
    </row>
    <row r="17" spans="1:23" x14ac:dyDescent="0.3">
      <c r="A17">
        <v>0.78399999999999903</v>
      </c>
      <c r="B17" s="11">
        <v>5.9683338829763097E-15</v>
      </c>
      <c r="D17">
        <v>0.89600000000000002</v>
      </c>
      <c r="E17" s="11">
        <v>1.5237108730476401E-14</v>
      </c>
      <c r="G17">
        <v>1.008</v>
      </c>
      <c r="H17" s="11">
        <v>1.74777857056868E-14</v>
      </c>
      <c r="J17">
        <v>1.1199999999999899</v>
      </c>
      <c r="K17" s="11">
        <v>-1.7215330650156299E-13</v>
      </c>
      <c r="M17" s="39"/>
      <c r="N17" s="39"/>
      <c r="O17" s="39"/>
      <c r="P17" s="39"/>
      <c r="Q17" s="39"/>
      <c r="R17" s="39"/>
      <c r="S17" s="39"/>
      <c r="V17">
        <v>1.01578623999999</v>
      </c>
      <c r="W17" s="11">
        <v>-1.38804571741953E-13</v>
      </c>
    </row>
    <row r="18" spans="1:23" x14ac:dyDescent="0.3">
      <c r="A18">
        <v>0.83999999999999897</v>
      </c>
      <c r="B18" s="11">
        <v>6.3946434460460503E-15</v>
      </c>
      <c r="D18">
        <v>0.96</v>
      </c>
      <c r="E18" s="11">
        <v>1.6325473639796101E-14</v>
      </c>
      <c r="G18">
        <v>1.0799999999999901</v>
      </c>
      <c r="H18" s="11">
        <v>1.8726198970378701E-14</v>
      </c>
      <c r="J18">
        <v>1.19999999999999</v>
      </c>
      <c r="K18" s="11">
        <v>-1.84449971251675E-13</v>
      </c>
      <c r="M18" s="39"/>
      <c r="N18" s="39"/>
      <c r="O18" s="39"/>
      <c r="P18" s="39"/>
      <c r="Q18" s="39"/>
      <c r="R18" s="39"/>
      <c r="S18" s="39"/>
      <c r="V18">
        <v>1.0883423999999899</v>
      </c>
      <c r="W18" s="11">
        <v>-1.4871918400923499E-13</v>
      </c>
    </row>
    <row r="19" spans="1:23" x14ac:dyDescent="0.3">
      <c r="A19">
        <v>0.89599999999999902</v>
      </c>
      <c r="B19" s="11">
        <v>6.8209530091157902E-15</v>
      </c>
      <c r="D19">
        <v>1.024</v>
      </c>
      <c r="E19" s="11">
        <v>1.7413838549115801E-14</v>
      </c>
      <c r="G19">
        <v>1.1519999999999999</v>
      </c>
      <c r="H19" s="11">
        <v>1.9974612235070599E-14</v>
      </c>
      <c r="J19">
        <v>1.27999999999999</v>
      </c>
      <c r="K19" s="11">
        <v>-1.9674663600178701E-13</v>
      </c>
      <c r="M19" s="39"/>
      <c r="N19" s="39"/>
      <c r="O19" s="39"/>
      <c r="P19" s="39"/>
      <c r="Q19" s="39"/>
      <c r="R19" s="39"/>
      <c r="S19" s="39"/>
      <c r="V19">
        <v>1.1608985599999899</v>
      </c>
      <c r="W19" s="11">
        <v>-1.58633796276517E-13</v>
      </c>
    </row>
    <row r="20" spans="1:23" x14ac:dyDescent="0.3">
      <c r="A20">
        <v>0.95199999999999896</v>
      </c>
      <c r="B20" s="11">
        <v>7.2472625721855294E-15</v>
      </c>
      <c r="D20">
        <v>1.0880000000000001</v>
      </c>
      <c r="E20" s="11">
        <v>1.8502203458435601E-14</v>
      </c>
      <c r="G20">
        <v>1.22399999999999</v>
      </c>
      <c r="H20" s="11">
        <v>2.1223025499762601E-14</v>
      </c>
      <c r="J20">
        <v>1.3599999999999901</v>
      </c>
      <c r="K20" s="11">
        <v>-2.0904330075189801E-13</v>
      </c>
      <c r="V20">
        <v>1.2334547199999899</v>
      </c>
      <c r="W20" s="11">
        <v>-1.685484085438E-13</v>
      </c>
    </row>
    <row r="21" spans="1:23" x14ac:dyDescent="0.3">
      <c r="A21">
        <v>1.00799999999999</v>
      </c>
      <c r="B21" s="11">
        <v>7.6735721352552693E-15</v>
      </c>
      <c r="D21">
        <v>1.1519999999999999</v>
      </c>
      <c r="E21" s="11">
        <v>1.9590568367755301E-14</v>
      </c>
      <c r="G21">
        <v>1.29599999999999</v>
      </c>
      <c r="H21" s="11">
        <v>2.24714387644545E-14</v>
      </c>
      <c r="J21">
        <v>1.43999999999999</v>
      </c>
      <c r="K21" s="11">
        <v>-2.2133996550201E-13</v>
      </c>
      <c r="V21">
        <v>1.3060108799999901</v>
      </c>
      <c r="W21" s="11">
        <v>-1.7846302081108201E-13</v>
      </c>
    </row>
    <row r="22" spans="1:23" x14ac:dyDescent="0.3">
      <c r="A22">
        <v>1.0639999999999901</v>
      </c>
      <c r="B22" s="11">
        <v>8.0998816983249997E-15</v>
      </c>
      <c r="D22">
        <v>1.216</v>
      </c>
      <c r="E22" s="11">
        <v>2.0678933277075099E-14</v>
      </c>
      <c r="G22">
        <v>1.3679999999999899</v>
      </c>
      <c r="H22" s="11">
        <v>2.3719852029146401E-14</v>
      </c>
      <c r="J22">
        <v>1.51999999999999</v>
      </c>
      <c r="K22" s="11">
        <v>-2.3363663025212198E-13</v>
      </c>
      <c r="V22">
        <v>1.3785670399999901</v>
      </c>
      <c r="W22" s="11">
        <v>-1.88377633078365E-13</v>
      </c>
    </row>
    <row r="23" spans="1:23" x14ac:dyDescent="0.3">
      <c r="A23">
        <v>1.1199999999999899</v>
      </c>
      <c r="B23" s="11">
        <v>8.5261912613947396E-15</v>
      </c>
      <c r="D23">
        <v>1.28</v>
      </c>
      <c r="E23" s="11">
        <v>2.1767298186394799E-14</v>
      </c>
      <c r="G23">
        <v>1.43999999999999</v>
      </c>
      <c r="H23" s="11">
        <v>2.4968265293838299E-14</v>
      </c>
      <c r="J23">
        <v>1.5999999999999901</v>
      </c>
      <c r="K23" s="11">
        <v>-2.4593329500223298E-13</v>
      </c>
      <c r="V23">
        <v>1.4511231999999901</v>
      </c>
      <c r="W23" s="11">
        <v>-1.9829224534564699E-13</v>
      </c>
    </row>
    <row r="24" spans="1:23" x14ac:dyDescent="0.3">
      <c r="A24">
        <v>1.1759999999999899</v>
      </c>
      <c r="B24" s="11">
        <v>8.9525008244644795E-15</v>
      </c>
      <c r="D24">
        <v>1.3440000000000001</v>
      </c>
      <c r="E24" s="11">
        <v>2.28556630957146E-14</v>
      </c>
      <c r="G24">
        <v>1.512</v>
      </c>
      <c r="H24" s="11">
        <v>2.62166785585302E-14</v>
      </c>
      <c r="J24">
        <v>1.6799999999999899</v>
      </c>
      <c r="K24" s="11">
        <v>-2.5822995975234499E-13</v>
      </c>
      <c r="V24">
        <v>1.52367935999999</v>
      </c>
      <c r="W24" s="11">
        <v>-2.08206857612929E-13</v>
      </c>
    </row>
    <row r="25" spans="1:23" x14ac:dyDescent="0.3">
      <c r="A25">
        <v>1.23199999999999</v>
      </c>
      <c r="B25" s="11">
        <v>9.3788103875342099E-15</v>
      </c>
      <c r="D25">
        <v>1.4079999999999999</v>
      </c>
      <c r="E25" s="11">
        <v>2.39440280050343E-14</v>
      </c>
      <c r="G25">
        <v>1.5839999999999901</v>
      </c>
      <c r="H25" s="11">
        <v>2.7465091823222101E-14</v>
      </c>
      <c r="J25">
        <v>1.75999999999999</v>
      </c>
      <c r="K25" s="11">
        <v>-2.7052662450245599E-13</v>
      </c>
      <c r="V25">
        <v>1.59623551999999</v>
      </c>
      <c r="W25" s="11">
        <v>-2.18121469880212E-13</v>
      </c>
    </row>
    <row r="26" spans="1:23" x14ac:dyDescent="0.3">
      <c r="A26">
        <v>1.28799999999999</v>
      </c>
      <c r="B26" s="11">
        <v>9.8051199506039498E-15</v>
      </c>
      <c r="D26">
        <v>1.472</v>
      </c>
      <c r="E26" s="11">
        <v>2.50323929143541E-14</v>
      </c>
      <c r="G26">
        <v>1.6559999999999999</v>
      </c>
      <c r="H26" s="11">
        <v>2.8713505087914097E-14</v>
      </c>
      <c r="J26">
        <v>1.8399999999999901</v>
      </c>
      <c r="K26" s="11">
        <v>-2.82823289252568E-13</v>
      </c>
      <c r="V26">
        <v>1.66879167999999</v>
      </c>
      <c r="W26" s="11">
        <v>-2.2803608214749401E-13</v>
      </c>
    </row>
    <row r="27" spans="1:23" x14ac:dyDescent="0.3">
      <c r="A27">
        <v>1.3439999999999901</v>
      </c>
      <c r="B27" s="11">
        <v>1.02314295136736E-14</v>
      </c>
      <c r="D27">
        <v>1.536</v>
      </c>
      <c r="E27" s="11">
        <v>2.61207578236738E-14</v>
      </c>
      <c r="G27">
        <v>1.728</v>
      </c>
      <c r="H27" s="11">
        <v>2.9961918352606001E-14</v>
      </c>
      <c r="J27">
        <v>1.9199999999999899</v>
      </c>
      <c r="K27" s="11">
        <v>-2.9511995400268001E-13</v>
      </c>
      <c r="V27">
        <v>1.74134783999999</v>
      </c>
      <c r="W27" s="11">
        <v>-2.3795069441477701E-13</v>
      </c>
    </row>
    <row r="28" spans="1:23" x14ac:dyDescent="0.3">
      <c r="A28">
        <v>1.3999999999999899</v>
      </c>
      <c r="B28" s="11">
        <v>1.06577390767434E-14</v>
      </c>
      <c r="D28">
        <v>1.6</v>
      </c>
      <c r="E28" s="11">
        <v>2.72091227329935E-14</v>
      </c>
      <c r="G28">
        <v>1.8</v>
      </c>
      <c r="H28" s="11">
        <v>3.12103316172979E-14</v>
      </c>
      <c r="J28">
        <v>1.99999999999999</v>
      </c>
      <c r="K28" s="11">
        <v>-3.0741661875279101E-13</v>
      </c>
      <c r="V28">
        <v>1.81390399999999</v>
      </c>
      <c r="W28" s="11">
        <v>-2.4786530668205899E-13</v>
      </c>
    </row>
    <row r="29" spans="1:23" x14ac:dyDescent="0.3">
      <c r="A29">
        <v>1.45599999999999</v>
      </c>
      <c r="B29" s="11">
        <v>1.10840486398131E-14</v>
      </c>
      <c r="D29">
        <v>1.6639999999999999</v>
      </c>
      <c r="E29" s="11">
        <v>2.8297487642313301E-14</v>
      </c>
      <c r="G29">
        <v>1.8719999999999899</v>
      </c>
      <c r="H29" s="11">
        <v>3.2458744881989798E-14</v>
      </c>
      <c r="J29">
        <v>2.0799999999999899</v>
      </c>
      <c r="K29" s="11">
        <v>-3.1971328350290302E-13</v>
      </c>
      <c r="V29">
        <v>1.8864601599999899</v>
      </c>
      <c r="W29" s="11">
        <v>-2.5777991894934199E-13</v>
      </c>
    </row>
    <row r="30" spans="1:23" x14ac:dyDescent="0.3">
      <c r="A30">
        <v>1.51199999999999</v>
      </c>
      <c r="B30" s="11">
        <v>1.1510358202882801E-14</v>
      </c>
      <c r="D30">
        <v>1.728</v>
      </c>
      <c r="E30" s="11">
        <v>2.9385852551632998E-14</v>
      </c>
      <c r="G30">
        <v>1.94399999999999</v>
      </c>
      <c r="H30" s="11">
        <v>3.3707158146681702E-14</v>
      </c>
      <c r="J30">
        <v>2.1599999999999899</v>
      </c>
      <c r="K30" s="11">
        <v>-3.3200994825301498E-13</v>
      </c>
      <c r="V30">
        <v>1.9590163199999899</v>
      </c>
      <c r="W30" s="11">
        <v>-2.6769453121662402E-13</v>
      </c>
    </row>
    <row r="31" spans="1:23" x14ac:dyDescent="0.3">
      <c r="A31">
        <v>1.5679999999999901</v>
      </c>
      <c r="B31" s="11">
        <v>1.19366677659526E-14</v>
      </c>
      <c r="D31">
        <v>1.792</v>
      </c>
      <c r="E31" s="11">
        <v>3.0474217460952701E-14</v>
      </c>
      <c r="G31">
        <v>2.016</v>
      </c>
      <c r="H31" s="11">
        <v>3.49555714113736E-14</v>
      </c>
      <c r="J31">
        <v>2.23999999999999</v>
      </c>
      <c r="K31" s="11">
        <v>-3.4430661300312598E-13</v>
      </c>
      <c r="V31">
        <v>2.0315724799999901</v>
      </c>
      <c r="W31" s="11">
        <v>-2.7760914348390601E-13</v>
      </c>
    </row>
    <row r="32" spans="1:23" x14ac:dyDescent="0.3">
      <c r="A32">
        <v>1.6239999999999899</v>
      </c>
      <c r="B32" s="11">
        <v>1.2362977329022299E-14</v>
      </c>
      <c r="D32">
        <v>1.8560000000000001</v>
      </c>
      <c r="E32" s="11">
        <v>3.1562582370272498E-14</v>
      </c>
      <c r="G32">
        <v>2.0879999999999899</v>
      </c>
      <c r="H32" s="11">
        <v>3.6203984676065498E-14</v>
      </c>
      <c r="J32">
        <v>2.3199999999999901</v>
      </c>
      <c r="K32" s="11">
        <v>-3.5660327775323799E-13</v>
      </c>
      <c r="V32">
        <v>2.1041286399999901</v>
      </c>
      <c r="W32" s="11">
        <v>-2.8752375575118901E-13</v>
      </c>
    </row>
    <row r="33" spans="1:23" x14ac:dyDescent="0.3">
      <c r="A33">
        <v>1.6799999999999899</v>
      </c>
      <c r="B33" s="11">
        <v>1.2789286892092E-14</v>
      </c>
      <c r="D33">
        <v>1.92</v>
      </c>
      <c r="E33" s="11">
        <v>3.2650947279592201E-14</v>
      </c>
      <c r="G33">
        <v>2.1599999999999899</v>
      </c>
      <c r="H33" s="11">
        <v>3.7452397940757402E-14</v>
      </c>
      <c r="J33">
        <v>2.3999999999999901</v>
      </c>
      <c r="K33" s="11">
        <v>-3.6889994250334899E-13</v>
      </c>
      <c r="V33">
        <v>2.1766847999999901</v>
      </c>
      <c r="W33" s="11">
        <v>-2.9743836801847099E-13</v>
      </c>
    </row>
    <row r="34" spans="1:23" x14ac:dyDescent="0.3">
      <c r="A34">
        <v>1.73599999999999</v>
      </c>
      <c r="B34" s="11">
        <v>1.32155964551618E-14</v>
      </c>
      <c r="D34">
        <v>1.984</v>
      </c>
      <c r="E34" s="11">
        <v>3.3739312188911898E-14</v>
      </c>
      <c r="G34">
        <v>2.23199999999999</v>
      </c>
      <c r="H34" s="11">
        <v>3.87008112054493E-14</v>
      </c>
      <c r="J34">
        <v>2.4799999999999902</v>
      </c>
      <c r="K34" s="11">
        <v>-3.81196607253461E-13</v>
      </c>
      <c r="V34">
        <v>2.2492409599999901</v>
      </c>
      <c r="W34" s="11">
        <v>-3.0735298028575399E-13</v>
      </c>
    </row>
    <row r="35" spans="1:23" x14ac:dyDescent="0.3">
      <c r="A35">
        <v>1.79199999999999</v>
      </c>
      <c r="B35" s="11">
        <v>1.36419060182315E-14</v>
      </c>
      <c r="D35">
        <v>2.048</v>
      </c>
      <c r="E35" s="11">
        <v>3.4827677098231601E-14</v>
      </c>
      <c r="G35">
        <v>2.3039999999999901</v>
      </c>
      <c r="H35" s="11">
        <v>3.9949224470141199E-14</v>
      </c>
      <c r="J35">
        <v>2.5599999999999898</v>
      </c>
      <c r="K35" s="11">
        <v>-3.9349327200357301E-13</v>
      </c>
      <c r="V35">
        <v>2.3217971199999901</v>
      </c>
      <c r="W35" s="11">
        <v>-3.1726759255303602E-13</v>
      </c>
    </row>
    <row r="36" spans="1:23" x14ac:dyDescent="0.3">
      <c r="A36">
        <v>1.8479999999999901</v>
      </c>
      <c r="B36" s="11">
        <v>1.40682155813012E-14</v>
      </c>
      <c r="D36">
        <v>2.1120000000000001</v>
      </c>
      <c r="E36" s="11">
        <v>3.5916042007551298E-14</v>
      </c>
      <c r="G36">
        <v>2.3759999999999901</v>
      </c>
      <c r="H36" s="11">
        <v>4.1197637734833103E-14</v>
      </c>
      <c r="J36">
        <v>2.6399999999999899</v>
      </c>
      <c r="K36" s="11">
        <v>-4.0578993675368401E-13</v>
      </c>
      <c r="V36">
        <v>2.39435327999999</v>
      </c>
      <c r="W36" s="11">
        <v>-3.2718220482031902E-13</v>
      </c>
    </row>
    <row r="37" spans="1:23" x14ac:dyDescent="0.3">
      <c r="A37">
        <v>1.9039999999999899</v>
      </c>
      <c r="B37" s="11">
        <v>1.4494525144370999E-14</v>
      </c>
      <c r="D37">
        <v>2.1760000000000002</v>
      </c>
      <c r="E37" s="11">
        <v>3.7004406916871102E-14</v>
      </c>
      <c r="G37">
        <v>2.4479999999999902</v>
      </c>
      <c r="H37" s="11">
        <v>4.2446050999525001E-14</v>
      </c>
      <c r="J37">
        <v>2.71999999999999</v>
      </c>
      <c r="K37" s="11">
        <v>-4.1808660150379602E-13</v>
      </c>
      <c r="V37">
        <v>2.46690943999999</v>
      </c>
      <c r="W37" s="11">
        <v>-3.3709681708760101E-13</v>
      </c>
    </row>
    <row r="38" spans="1:23" x14ac:dyDescent="0.3">
      <c r="A38">
        <v>1.95999999999999</v>
      </c>
      <c r="B38" s="11">
        <v>1.4920834707440699E-14</v>
      </c>
      <c r="D38">
        <v>2.2400000000000002</v>
      </c>
      <c r="E38" s="11">
        <v>3.8092771826190799E-14</v>
      </c>
      <c r="G38">
        <v>2.5199999999999898</v>
      </c>
      <c r="H38" s="11">
        <v>4.3694464264217E-14</v>
      </c>
      <c r="J38">
        <v>2.7999999999999901</v>
      </c>
      <c r="K38" s="11">
        <v>-4.3038326625390798E-13</v>
      </c>
      <c r="V38">
        <v>2.53946559999999</v>
      </c>
      <c r="W38" s="11">
        <v>-3.47011429354884E-13</v>
      </c>
    </row>
    <row r="39" spans="1:23" x14ac:dyDescent="0.3">
      <c r="A39">
        <v>2.0159999999999898</v>
      </c>
      <c r="B39" s="11">
        <v>1.5347144270510501E-14</v>
      </c>
      <c r="D39">
        <v>2.3039999999999998</v>
      </c>
      <c r="E39" s="11">
        <v>3.9181136735510502E-14</v>
      </c>
      <c r="G39">
        <v>2.5919999999999899</v>
      </c>
      <c r="H39" s="11">
        <v>4.4942877528908898E-14</v>
      </c>
      <c r="J39">
        <v>2.8799999999999901</v>
      </c>
      <c r="K39" s="11">
        <v>-4.4267993100401999E-13</v>
      </c>
      <c r="V39">
        <v>2.61202175999999</v>
      </c>
      <c r="W39" s="11">
        <v>-3.5692604162216599E-13</v>
      </c>
    </row>
    <row r="40" spans="1:23" x14ac:dyDescent="0.3">
      <c r="A40">
        <v>2.0719999999999898</v>
      </c>
      <c r="B40" s="11">
        <v>1.5773453833580201E-14</v>
      </c>
      <c r="D40">
        <v>2.3679999999999999</v>
      </c>
      <c r="E40" s="11">
        <v>4.0269501644830198E-14</v>
      </c>
      <c r="G40">
        <v>2.6639999999999899</v>
      </c>
      <c r="H40" s="11">
        <v>4.6191290793600802E-14</v>
      </c>
      <c r="J40">
        <v>2.9599999999999902</v>
      </c>
      <c r="K40" s="11">
        <v>-4.5497659575413099E-13</v>
      </c>
      <c r="V40">
        <v>2.68457791999999</v>
      </c>
      <c r="W40" s="11">
        <v>-3.6684065388944898E-13</v>
      </c>
    </row>
    <row r="41" spans="1:23" x14ac:dyDescent="0.3">
      <c r="A41">
        <v>2.1279999999999899</v>
      </c>
      <c r="B41" s="11">
        <v>1.6199763396649902E-14</v>
      </c>
      <c r="D41">
        <v>2.4319999999999999</v>
      </c>
      <c r="E41" s="11">
        <v>4.1357866554149901E-14</v>
      </c>
      <c r="G41">
        <v>2.73599999999999</v>
      </c>
      <c r="H41" s="11">
        <v>4.74397040582927E-14</v>
      </c>
      <c r="J41">
        <v>3.0399999999999898</v>
      </c>
      <c r="K41" s="11">
        <v>-4.6727326050424295E-13</v>
      </c>
      <c r="V41">
        <v>2.7571340799999899</v>
      </c>
      <c r="W41" s="11">
        <v>-3.7675526615673102E-13</v>
      </c>
    </row>
    <row r="42" spans="1:23" x14ac:dyDescent="0.3">
      <c r="A42">
        <v>2.1839999999999899</v>
      </c>
      <c r="B42" s="11">
        <v>1.6626072959719599E-14</v>
      </c>
      <c r="D42">
        <v>2.496</v>
      </c>
      <c r="E42" s="11">
        <v>4.2446231463469598E-14</v>
      </c>
      <c r="G42">
        <v>2.8079999999999998</v>
      </c>
      <c r="H42" s="11">
        <v>4.86881173229847E-14</v>
      </c>
      <c r="J42">
        <v>3.1199999999999899</v>
      </c>
      <c r="K42" s="11">
        <v>-4.7956992525435501E-13</v>
      </c>
      <c r="V42">
        <v>2.8296902399999899</v>
      </c>
      <c r="W42" s="11">
        <v>-3.8666987842401402E-13</v>
      </c>
    </row>
    <row r="43" spans="1:23" x14ac:dyDescent="0.3">
      <c r="A43">
        <v>2.23999999999999</v>
      </c>
      <c r="B43" s="11">
        <v>1.70523825227894E-14</v>
      </c>
      <c r="D43">
        <v>2.56</v>
      </c>
      <c r="E43" s="11">
        <v>4.3534596372789301E-14</v>
      </c>
      <c r="G43">
        <v>2.8799999999999901</v>
      </c>
      <c r="H43" s="11">
        <v>4.9936530587676598E-14</v>
      </c>
      <c r="J43">
        <v>3.19999999999999</v>
      </c>
      <c r="K43" s="11">
        <v>-4.9186659000446697E-13</v>
      </c>
      <c r="V43">
        <v>2.9022463999999899</v>
      </c>
      <c r="W43" s="11">
        <v>-3.96584490691296E-13</v>
      </c>
    </row>
    <row r="44" spans="1:23" x14ac:dyDescent="0.3">
      <c r="A44">
        <v>2.29599999999999</v>
      </c>
      <c r="B44" s="11">
        <v>1.7478692085859101E-14</v>
      </c>
      <c r="D44">
        <v>2.6240000000000001</v>
      </c>
      <c r="E44" s="11">
        <v>4.4622961282109099E-14</v>
      </c>
      <c r="G44">
        <v>2.952</v>
      </c>
      <c r="H44" s="11">
        <v>5.1184943852368502E-14</v>
      </c>
      <c r="J44">
        <v>3.27999999999999</v>
      </c>
      <c r="K44" s="11">
        <v>-5.0416325475457903E-13</v>
      </c>
      <c r="V44">
        <v>2.9748025599999899</v>
      </c>
      <c r="W44" s="11">
        <v>-4.06499102958579E-13</v>
      </c>
    </row>
    <row r="45" spans="1:23" x14ac:dyDescent="0.3">
      <c r="A45">
        <v>2.3519999999999901</v>
      </c>
      <c r="B45" s="11">
        <v>1.7905001648928801E-14</v>
      </c>
      <c r="D45">
        <v>2.6880000000000002</v>
      </c>
      <c r="E45" s="11">
        <v>4.5711326191428802E-14</v>
      </c>
      <c r="G45">
        <v>3.0239999999999898</v>
      </c>
      <c r="H45" s="11">
        <v>5.24333571170604E-14</v>
      </c>
      <c r="J45">
        <v>3.3599999999999901</v>
      </c>
      <c r="K45" s="11">
        <v>-5.1645991950469099E-13</v>
      </c>
      <c r="V45">
        <v>3.0473587199999899</v>
      </c>
      <c r="W45" s="11">
        <v>-4.1641371522586098E-13</v>
      </c>
    </row>
    <row r="46" spans="1:23" x14ac:dyDescent="0.3">
      <c r="A46">
        <v>2.4079999999999901</v>
      </c>
      <c r="B46" s="11">
        <v>1.8331311211998599E-14</v>
      </c>
      <c r="D46">
        <v>2.7519999999999998</v>
      </c>
      <c r="E46" s="11">
        <v>4.6799691100748498E-14</v>
      </c>
      <c r="G46">
        <v>3.0959999999999899</v>
      </c>
      <c r="H46" s="11">
        <v>5.3681770381752298E-14</v>
      </c>
      <c r="J46">
        <v>3.4399999999999902</v>
      </c>
      <c r="K46" s="11">
        <v>-5.2875658425480204E-13</v>
      </c>
      <c r="V46">
        <v>3.1199148799999898</v>
      </c>
      <c r="W46" s="11">
        <v>-4.2632832749314302E-13</v>
      </c>
    </row>
    <row r="47" spans="1:23" x14ac:dyDescent="0.3">
      <c r="A47">
        <v>2.4639999999999902</v>
      </c>
      <c r="B47" s="11">
        <v>1.87576207750683E-14</v>
      </c>
      <c r="D47">
        <v>2.8159999999999998</v>
      </c>
      <c r="E47" s="11">
        <v>4.7888056010068201E-14</v>
      </c>
      <c r="G47">
        <v>3.1679999999999899</v>
      </c>
      <c r="H47" s="11">
        <v>5.4930183646444297E-14</v>
      </c>
      <c r="J47">
        <v>3.5199999999999898</v>
      </c>
      <c r="K47" s="11">
        <v>-5.41053249004914E-13</v>
      </c>
      <c r="V47">
        <v>3.1924710399999898</v>
      </c>
      <c r="W47" s="11">
        <v>-4.3624293976042602E-13</v>
      </c>
    </row>
    <row r="48" spans="1:23" x14ac:dyDescent="0.3">
      <c r="A48">
        <v>2.5199999999999898</v>
      </c>
      <c r="B48" s="11">
        <v>1.9183930338138E-14</v>
      </c>
      <c r="D48">
        <v>2.88</v>
      </c>
      <c r="E48" s="11">
        <v>4.8976420919387898E-14</v>
      </c>
      <c r="G48">
        <v>3.23999999999999</v>
      </c>
      <c r="H48" s="11">
        <v>5.6178596911136201E-14</v>
      </c>
      <c r="J48">
        <v>3.5999999999999899</v>
      </c>
      <c r="K48" s="11">
        <v>-5.5334991375502596E-13</v>
      </c>
      <c r="V48">
        <v>3.2650271999999898</v>
      </c>
      <c r="W48" s="11">
        <v>-4.46157552027708E-13</v>
      </c>
    </row>
    <row r="49" spans="1:23" x14ac:dyDescent="0.3">
      <c r="A49">
        <v>2.5759999999999899</v>
      </c>
      <c r="B49" s="11">
        <v>1.9610239901207799E-14</v>
      </c>
      <c r="D49">
        <v>2.944</v>
      </c>
      <c r="E49" s="11">
        <v>5.0064785828707601E-14</v>
      </c>
      <c r="G49">
        <v>3.3119999999999998</v>
      </c>
      <c r="H49" s="11">
        <v>5.7427010175828106E-14</v>
      </c>
      <c r="J49">
        <v>3.6799999999999899</v>
      </c>
      <c r="K49" s="11">
        <v>-5.6564657850513802E-13</v>
      </c>
      <c r="V49">
        <v>3.3375833599999898</v>
      </c>
      <c r="W49" s="11">
        <v>-4.5607216429499105E-13</v>
      </c>
    </row>
    <row r="50" spans="1:23" x14ac:dyDescent="0.3">
      <c r="A50">
        <v>2.6319999999999899</v>
      </c>
      <c r="B50" s="11">
        <v>2.0036549464277499E-14</v>
      </c>
      <c r="D50">
        <v>3.008</v>
      </c>
      <c r="E50" s="11">
        <v>5.1153150738027298E-14</v>
      </c>
      <c r="G50">
        <v>3.3839999999999901</v>
      </c>
      <c r="H50" s="11">
        <v>5.8675423440520004E-14</v>
      </c>
      <c r="J50">
        <v>3.75999999999999</v>
      </c>
      <c r="K50" s="11">
        <v>-5.7794324325524998E-13</v>
      </c>
      <c r="V50">
        <v>3.4101395199999902</v>
      </c>
      <c r="W50" s="11">
        <v>-4.6598677656227303E-13</v>
      </c>
    </row>
    <row r="51" spans="1:23" x14ac:dyDescent="0.3">
      <c r="A51">
        <v>2.68799999999999</v>
      </c>
      <c r="B51" s="11">
        <v>2.04628590273472E-14</v>
      </c>
      <c r="D51">
        <v>3.0720000000000001</v>
      </c>
      <c r="E51" s="11">
        <v>5.2241515647347001E-14</v>
      </c>
      <c r="G51">
        <v>3.4559999999999902</v>
      </c>
      <c r="H51" s="11">
        <v>5.9923836705211902E-14</v>
      </c>
      <c r="J51">
        <v>3.8399999999999901</v>
      </c>
      <c r="K51" s="11">
        <v>-5.9023990800536204E-13</v>
      </c>
      <c r="V51">
        <v>3.4826956799999902</v>
      </c>
      <c r="W51" s="11">
        <v>-4.7590138882955502E-13</v>
      </c>
    </row>
    <row r="52" spans="1:23" x14ac:dyDescent="0.3">
      <c r="A52">
        <v>2.74399999999999</v>
      </c>
      <c r="B52" s="11">
        <v>2.08891685904169E-14</v>
      </c>
      <c r="D52">
        <v>3.1360000000000001</v>
      </c>
      <c r="E52" s="11">
        <v>5.3329880556666698E-14</v>
      </c>
      <c r="G52">
        <v>3.528</v>
      </c>
      <c r="H52" s="11">
        <v>6.11722499699038E-14</v>
      </c>
      <c r="J52">
        <v>3.9199999999999902</v>
      </c>
      <c r="K52" s="11">
        <v>-6.02536572755474E-13</v>
      </c>
      <c r="V52">
        <v>3.5552518399999902</v>
      </c>
      <c r="W52" s="11">
        <v>-4.8581600109683802E-13</v>
      </c>
    </row>
    <row r="53" spans="1:23" x14ac:dyDescent="0.3">
      <c r="A53">
        <v>2.7999999999999901</v>
      </c>
      <c r="B53" s="11">
        <v>2.13154781534866E-14</v>
      </c>
      <c r="D53">
        <v>3.2</v>
      </c>
      <c r="E53" s="11">
        <v>5.4418245465986401E-14</v>
      </c>
      <c r="G53">
        <v>3.6</v>
      </c>
      <c r="H53" s="11">
        <v>6.2420663234595698E-14</v>
      </c>
      <c r="J53">
        <v>3.9999999999999898</v>
      </c>
      <c r="K53" s="11">
        <v>-6.1483323750558495E-13</v>
      </c>
      <c r="V53">
        <v>3.6278079999999902</v>
      </c>
      <c r="W53" s="11">
        <v>-4.9573061336412101E-13</v>
      </c>
    </row>
    <row r="54" spans="1:23" x14ac:dyDescent="0.3">
      <c r="A54">
        <v>2.8559999999999901</v>
      </c>
      <c r="B54" s="11">
        <v>2.1741787716556399E-14</v>
      </c>
      <c r="D54">
        <v>3.2639999999999998</v>
      </c>
      <c r="E54" s="11">
        <v>5.5506610375306097E-14</v>
      </c>
      <c r="G54">
        <v>3.6720000000000002</v>
      </c>
      <c r="H54" s="11">
        <v>6.3669076499287697E-14</v>
      </c>
      <c r="J54">
        <v>4.0799999999999903</v>
      </c>
      <c r="K54" s="11">
        <v>-6.2712990225569701E-13</v>
      </c>
      <c r="V54">
        <v>3.7003641599999901</v>
      </c>
      <c r="W54" s="11">
        <v>-5.05645225631403E-13</v>
      </c>
    </row>
    <row r="55" spans="1:23" x14ac:dyDescent="0.3">
      <c r="A55">
        <v>2.9119999999999902</v>
      </c>
      <c r="B55" s="11">
        <v>2.2168097279626099E-14</v>
      </c>
      <c r="D55">
        <v>3.3279999999999998</v>
      </c>
      <c r="E55" s="11">
        <v>5.65949752846258E-14</v>
      </c>
      <c r="G55">
        <v>3.74399999999999</v>
      </c>
      <c r="H55" s="11">
        <v>6.4917489763979595E-14</v>
      </c>
      <c r="J55">
        <v>4.1599999999999904</v>
      </c>
      <c r="K55" s="11">
        <v>-6.3942656700580897E-13</v>
      </c>
      <c r="V55">
        <v>3.7729203199999901</v>
      </c>
      <c r="W55" s="11">
        <v>-5.1555983789868599E-13</v>
      </c>
    </row>
    <row r="56" spans="1:23" x14ac:dyDescent="0.3">
      <c r="A56">
        <v>2.9679999999999902</v>
      </c>
      <c r="B56" s="11">
        <v>2.25944068426958E-14</v>
      </c>
      <c r="D56">
        <v>3.3919999999999999</v>
      </c>
      <c r="E56" s="11">
        <v>5.7683340193945497E-14</v>
      </c>
      <c r="G56">
        <v>3.8159999999999901</v>
      </c>
      <c r="H56" s="11">
        <v>6.6165903028671506E-14</v>
      </c>
      <c r="J56">
        <v>4.2399999999999904</v>
      </c>
      <c r="K56" s="11">
        <v>-6.5172323175592002E-13</v>
      </c>
      <c r="V56">
        <v>3.8454764799999901</v>
      </c>
      <c r="W56" s="11">
        <v>-5.2547445016596798E-13</v>
      </c>
    </row>
    <row r="57" spans="1:23" x14ac:dyDescent="0.3">
      <c r="A57">
        <v>3.0239999999999898</v>
      </c>
      <c r="B57" s="11">
        <v>2.30207164057655E-14</v>
      </c>
      <c r="D57">
        <v>3.456</v>
      </c>
      <c r="E57" s="11">
        <v>5.87717051032652E-14</v>
      </c>
      <c r="G57">
        <v>3.8879999999999999</v>
      </c>
      <c r="H57" s="11">
        <v>6.7414316293363404E-14</v>
      </c>
      <c r="J57">
        <v>4.3199999999999896</v>
      </c>
      <c r="K57" s="11">
        <v>-6.6401989650603198E-13</v>
      </c>
      <c r="V57">
        <v>3.9180326399999901</v>
      </c>
      <c r="W57" s="11">
        <v>-5.3538906243325098E-13</v>
      </c>
    </row>
    <row r="58" spans="1:23" x14ac:dyDescent="0.3">
      <c r="A58">
        <v>3.0799999999999899</v>
      </c>
      <c r="B58" s="11">
        <v>2.3447025968835201E-14</v>
      </c>
      <c r="D58">
        <v>3.52</v>
      </c>
      <c r="E58" s="11">
        <v>5.9860070012584802E-14</v>
      </c>
      <c r="G58">
        <v>3.96</v>
      </c>
      <c r="H58" s="11">
        <v>6.8662729558055302E-14</v>
      </c>
      <c r="J58">
        <v>4.3999999999999897</v>
      </c>
      <c r="K58" s="11">
        <v>-6.7631656125614404E-13</v>
      </c>
      <c r="V58">
        <v>3.9905887999999901</v>
      </c>
      <c r="W58" s="11">
        <v>-5.4530367470053397E-13</v>
      </c>
    </row>
    <row r="59" spans="1:23" x14ac:dyDescent="0.3">
      <c r="A59">
        <v>3.1359999999999899</v>
      </c>
      <c r="B59" s="11">
        <v>2.3873335531904999E-14</v>
      </c>
      <c r="D59">
        <v>3.5840000000000001</v>
      </c>
      <c r="E59" s="11">
        <v>6.0948434921904505E-14</v>
      </c>
      <c r="G59">
        <v>4.032</v>
      </c>
      <c r="H59" s="11">
        <v>6.99111428227472E-14</v>
      </c>
      <c r="J59">
        <v>4.4799999999999898</v>
      </c>
      <c r="K59" s="11">
        <v>-6.88613226006256E-13</v>
      </c>
      <c r="V59">
        <v>4.06314495999999</v>
      </c>
      <c r="W59" s="11">
        <v>-5.5521828696781596E-13</v>
      </c>
    </row>
    <row r="60" spans="1:23" x14ac:dyDescent="0.3">
      <c r="A60">
        <v>3.19199999999999</v>
      </c>
      <c r="B60" s="11">
        <v>2.4299645094974699E-14</v>
      </c>
      <c r="D60">
        <v>3.6480000000000001</v>
      </c>
      <c r="E60" s="11">
        <v>6.2036799831224196E-14</v>
      </c>
      <c r="G60">
        <v>4.1039999999999903</v>
      </c>
      <c r="H60" s="11">
        <v>7.1159556087439098E-14</v>
      </c>
      <c r="J60">
        <v>4.5599999999999898</v>
      </c>
      <c r="K60" s="11">
        <v>-7.0090989075636695E-13</v>
      </c>
      <c r="V60">
        <v>4.1357011199999896</v>
      </c>
      <c r="W60" s="11">
        <v>-5.6513289923509895E-13</v>
      </c>
    </row>
    <row r="61" spans="1:23" x14ac:dyDescent="0.3">
      <c r="A61">
        <v>3.24799999999999</v>
      </c>
      <c r="B61" s="11">
        <v>2.47259546580444E-14</v>
      </c>
      <c r="D61">
        <v>3.7120000000000002</v>
      </c>
      <c r="E61" s="11">
        <v>6.3125164740543798E-14</v>
      </c>
      <c r="G61">
        <v>4.1760000000000002</v>
      </c>
      <c r="H61" s="11">
        <v>7.2407969352130996E-14</v>
      </c>
      <c r="J61">
        <v>4.6399999999999899</v>
      </c>
      <c r="K61" s="11">
        <v>-7.1320655550647901E-13</v>
      </c>
      <c r="V61">
        <v>4.20825727999999</v>
      </c>
      <c r="W61" s="11">
        <v>-5.7504751150238205E-13</v>
      </c>
    </row>
    <row r="62" spans="1:23" x14ac:dyDescent="0.3">
      <c r="A62">
        <v>3.3039999999999901</v>
      </c>
      <c r="B62" s="11">
        <v>2.51522642211141E-14</v>
      </c>
      <c r="D62">
        <v>3.7759999999999998</v>
      </c>
      <c r="E62" s="11">
        <v>6.4213529649863501E-14</v>
      </c>
      <c r="G62">
        <v>4.2479999999999896</v>
      </c>
      <c r="H62" s="11">
        <v>7.3656382616822894E-14</v>
      </c>
      <c r="J62">
        <v>4.71999999999999</v>
      </c>
      <c r="K62" s="11">
        <v>-7.2550322025659097E-13</v>
      </c>
      <c r="V62">
        <v>4.2808134399999904</v>
      </c>
      <c r="W62" s="11">
        <v>-5.8496212376966404E-13</v>
      </c>
    </row>
    <row r="63" spans="1:23" x14ac:dyDescent="0.3">
      <c r="A63">
        <v>3.3599999999999901</v>
      </c>
      <c r="B63" s="11">
        <v>2.5578573784183801E-14</v>
      </c>
      <c r="D63">
        <v>3.84</v>
      </c>
      <c r="E63" s="11">
        <v>6.5301894559183204E-14</v>
      </c>
      <c r="G63">
        <v>4.3199999999999896</v>
      </c>
      <c r="H63" s="11">
        <v>7.4904795881514704E-14</v>
      </c>
      <c r="J63">
        <v>4.7999999999999901</v>
      </c>
      <c r="K63" s="11">
        <v>-7.3779988500670303E-13</v>
      </c>
      <c r="V63">
        <v>4.35336959999999</v>
      </c>
      <c r="W63" s="11">
        <v>-5.9487673603694703E-13</v>
      </c>
    </row>
    <row r="64" spans="1:23" x14ac:dyDescent="0.3">
      <c r="A64">
        <v>3.4159999999999902</v>
      </c>
      <c r="B64" s="11">
        <v>2.6004883347253501E-14</v>
      </c>
      <c r="D64">
        <v>3.9039999999999999</v>
      </c>
      <c r="E64" s="11">
        <v>6.6390259468502894E-14</v>
      </c>
      <c r="G64">
        <v>4.3919999999999897</v>
      </c>
      <c r="H64" s="11">
        <v>7.6153209146206703E-14</v>
      </c>
      <c r="J64">
        <v>4.8799999999999901</v>
      </c>
      <c r="K64" s="11">
        <v>-7.5009654975681398E-13</v>
      </c>
      <c r="V64">
        <v>4.4259257599999904</v>
      </c>
      <c r="W64" s="11">
        <v>-6.0479134830423003E-13</v>
      </c>
    </row>
    <row r="65" spans="1:23" x14ac:dyDescent="0.3">
      <c r="A65">
        <v>3.4719999999999902</v>
      </c>
      <c r="B65" s="11">
        <v>2.6431192910323299E-14</v>
      </c>
      <c r="D65">
        <v>3.968</v>
      </c>
      <c r="E65" s="11">
        <v>6.7478624377822597E-14</v>
      </c>
      <c r="G65">
        <v>4.4639999999999898</v>
      </c>
      <c r="H65" s="11">
        <v>7.7401622410898601E-14</v>
      </c>
      <c r="J65">
        <v>4.9599999999999902</v>
      </c>
      <c r="K65" s="11">
        <v>-7.6239321450692604E-13</v>
      </c>
      <c r="V65">
        <v>4.4984819199999899</v>
      </c>
      <c r="W65" s="11">
        <v>-6.1470596057151302E-13</v>
      </c>
    </row>
    <row r="66" spans="1:23" x14ac:dyDescent="0.3">
      <c r="A66">
        <v>3.5279999999999898</v>
      </c>
      <c r="B66" s="11">
        <v>2.6857502473393E-14</v>
      </c>
      <c r="D66">
        <v>4.032</v>
      </c>
      <c r="E66" s="11">
        <v>6.8566989287142199E-14</v>
      </c>
      <c r="G66">
        <v>4.5359999999999898</v>
      </c>
      <c r="H66" s="11">
        <v>7.8650035675590499E-14</v>
      </c>
      <c r="J66">
        <v>5.0399999999999903</v>
      </c>
      <c r="K66" s="11">
        <v>-7.7468987925703699E-13</v>
      </c>
      <c r="V66">
        <v>4.5710380799999903</v>
      </c>
      <c r="W66" s="11">
        <v>-6.2462057283879501E-13</v>
      </c>
    </row>
    <row r="67" spans="1:23" x14ac:dyDescent="0.3">
      <c r="A67">
        <v>3.5839999999999899</v>
      </c>
      <c r="B67" s="11">
        <v>2.72838120364627E-14</v>
      </c>
      <c r="D67">
        <v>4.0960000000000001</v>
      </c>
      <c r="E67" s="11">
        <v>6.9655354196461902E-14</v>
      </c>
      <c r="G67">
        <v>4.6079999999999899</v>
      </c>
      <c r="H67" s="11">
        <v>7.9898448940282397E-14</v>
      </c>
      <c r="J67">
        <v>5.1199999999999903</v>
      </c>
      <c r="K67" s="11">
        <v>-7.8698654400714895E-13</v>
      </c>
      <c r="V67">
        <v>4.6435942399999899</v>
      </c>
      <c r="W67" s="11">
        <v>-6.34535185106078E-13</v>
      </c>
    </row>
    <row r="68" spans="1:23" x14ac:dyDescent="0.3">
      <c r="A68">
        <v>3.6399999999999899</v>
      </c>
      <c r="B68" s="11">
        <v>2.7710121599532401E-14</v>
      </c>
      <c r="D68">
        <v>4.16</v>
      </c>
      <c r="E68" s="11">
        <v>7.0743719105781605E-14</v>
      </c>
      <c r="G68">
        <v>4.6799999999999899</v>
      </c>
      <c r="H68" s="11">
        <v>8.1146862204974295E-14</v>
      </c>
      <c r="J68">
        <v>5.1999999999999904</v>
      </c>
      <c r="K68" s="11">
        <v>-7.9928320875726101E-13</v>
      </c>
      <c r="V68">
        <v>4.7161503999999903</v>
      </c>
      <c r="W68" s="11">
        <v>-6.44449797373361E-13</v>
      </c>
    </row>
    <row r="69" spans="1:23" x14ac:dyDescent="0.3">
      <c r="A69">
        <v>3.69599999999999</v>
      </c>
      <c r="B69" s="11">
        <v>2.8136431162602101E-14</v>
      </c>
      <c r="D69">
        <v>4.2240000000000002</v>
      </c>
      <c r="E69" s="11">
        <v>7.1832084015101296E-14</v>
      </c>
      <c r="G69">
        <v>4.75199999999999</v>
      </c>
      <c r="H69" s="11">
        <v>8.2395275469666206E-14</v>
      </c>
      <c r="J69">
        <v>5.2799999999999896</v>
      </c>
      <c r="K69" s="11">
        <v>-8.1157987350737297E-13</v>
      </c>
      <c r="V69">
        <v>4.7887065599999898</v>
      </c>
      <c r="W69" s="11">
        <v>-6.5436440964064299E-13</v>
      </c>
    </row>
    <row r="70" spans="1:23" x14ac:dyDescent="0.3">
      <c r="A70">
        <v>3.75199999999999</v>
      </c>
      <c r="B70" s="11">
        <v>2.8562740725671802E-14</v>
      </c>
      <c r="D70">
        <v>4.2880000000000003</v>
      </c>
      <c r="E70" s="11">
        <v>7.2920448924420898E-14</v>
      </c>
      <c r="G70">
        <v>4.8239999999999901</v>
      </c>
      <c r="H70" s="11">
        <v>8.3643688734358104E-14</v>
      </c>
      <c r="J70">
        <v>5.3599999999999897</v>
      </c>
      <c r="K70" s="11">
        <v>-8.2387653825748503E-13</v>
      </c>
      <c r="V70">
        <v>4.8612627199999903</v>
      </c>
      <c r="W70" s="11">
        <v>-6.6427902190792598E-13</v>
      </c>
    </row>
    <row r="71" spans="1:23" x14ac:dyDescent="0.3">
      <c r="A71">
        <v>3.8079999999999901</v>
      </c>
      <c r="B71" s="11">
        <v>2.8989050288741499E-14</v>
      </c>
      <c r="D71">
        <v>4.3520000000000003</v>
      </c>
      <c r="E71" s="11">
        <v>7.4008813833740601E-14</v>
      </c>
      <c r="G71">
        <v>4.8959999999999901</v>
      </c>
      <c r="H71" s="11">
        <v>8.4892101999050103E-14</v>
      </c>
      <c r="J71">
        <v>5.4399999999999897</v>
      </c>
      <c r="K71" s="11">
        <v>-8.3617320300759699E-13</v>
      </c>
      <c r="V71">
        <v>4.9338188799999898</v>
      </c>
      <c r="W71" s="11">
        <v>-6.7419363417520797E-13</v>
      </c>
    </row>
    <row r="72" spans="1:23" x14ac:dyDescent="0.3">
      <c r="A72">
        <v>3.8639999999999901</v>
      </c>
      <c r="B72" s="11">
        <v>2.9415359851811203E-14</v>
      </c>
      <c r="D72">
        <v>4.4160000000000004</v>
      </c>
      <c r="E72" s="11">
        <v>7.5097178743060203E-14</v>
      </c>
      <c r="G72">
        <v>4.9679999999999902</v>
      </c>
      <c r="H72" s="11">
        <v>8.6140515263742001E-14</v>
      </c>
      <c r="J72">
        <v>5.5199999999999898</v>
      </c>
      <c r="K72" s="11">
        <v>-8.4846986775770804E-13</v>
      </c>
      <c r="V72">
        <v>5.0063750399999902</v>
      </c>
      <c r="W72" s="11">
        <v>-6.8410824644249096E-13</v>
      </c>
    </row>
    <row r="73" spans="1:23" x14ac:dyDescent="0.3">
      <c r="A73">
        <v>3.9199999999999902</v>
      </c>
      <c r="B73" s="11">
        <v>2.98416694148809E-14</v>
      </c>
      <c r="D73">
        <v>4.4800000000000004</v>
      </c>
      <c r="E73" s="11">
        <v>7.6185543652379906E-14</v>
      </c>
      <c r="G73">
        <v>5.0399999999999903</v>
      </c>
      <c r="H73" s="11">
        <v>8.7388928528433899E-14</v>
      </c>
      <c r="J73">
        <v>5.5999999999999899</v>
      </c>
      <c r="K73" s="11">
        <v>-8.6076653250782E-13</v>
      </c>
      <c r="V73">
        <v>5.0789311999999898</v>
      </c>
      <c r="W73" s="11">
        <v>-6.9402285870977295E-13</v>
      </c>
    </row>
    <row r="74" spans="1:23" x14ac:dyDescent="0.3">
      <c r="A74">
        <v>3.9759999999999902</v>
      </c>
      <c r="B74" s="11">
        <v>3.0267978977950698E-14</v>
      </c>
      <c r="D74">
        <v>4.5439999999999996</v>
      </c>
      <c r="E74" s="11">
        <v>7.7273908561699495E-14</v>
      </c>
      <c r="G74">
        <v>5.1119999999999903</v>
      </c>
      <c r="H74" s="11">
        <v>8.8637341793125797E-14</v>
      </c>
      <c r="J74">
        <v>5.6799999999999899</v>
      </c>
      <c r="K74" s="11">
        <v>-8.7306319725793196E-13</v>
      </c>
      <c r="V74">
        <v>5.1514873599999902</v>
      </c>
      <c r="W74" s="11">
        <v>-7.0393747097705504E-13</v>
      </c>
    </row>
    <row r="75" spans="1:23" x14ac:dyDescent="0.3">
      <c r="A75">
        <v>4.0319999999999903</v>
      </c>
      <c r="B75" s="11">
        <v>3.0694288541020402E-14</v>
      </c>
      <c r="D75">
        <v>4.6079999999999997</v>
      </c>
      <c r="E75" s="11">
        <v>7.8362273471019097E-14</v>
      </c>
      <c r="G75">
        <v>5.1839999999999904</v>
      </c>
      <c r="H75" s="11">
        <v>8.9885755057817695E-14</v>
      </c>
      <c r="J75">
        <v>5.75999999999999</v>
      </c>
      <c r="K75" s="11">
        <v>-8.8535986200804301E-13</v>
      </c>
      <c r="V75">
        <v>5.2240435199999897</v>
      </c>
      <c r="W75" s="11">
        <v>-7.1385208324433803E-13</v>
      </c>
    </row>
    <row r="76" spans="1:23" x14ac:dyDescent="0.3">
      <c r="A76">
        <v>4.0879999999999903</v>
      </c>
      <c r="B76" s="11">
        <v>3.1120598104090099E-14</v>
      </c>
      <c r="D76">
        <v>4.6719999999999997</v>
      </c>
      <c r="E76" s="11">
        <v>7.94506383803388E-14</v>
      </c>
      <c r="G76">
        <v>5.2559999999999896</v>
      </c>
      <c r="H76" s="11">
        <v>9.1134168322509606E-14</v>
      </c>
      <c r="J76">
        <v>5.8399999999999901</v>
      </c>
      <c r="K76" s="11">
        <v>-8.9765652675815497E-13</v>
      </c>
      <c r="V76">
        <v>5.2965996799999902</v>
      </c>
      <c r="W76" s="11">
        <v>-7.2376669551162002E-13</v>
      </c>
    </row>
    <row r="77" spans="1:23" x14ac:dyDescent="0.3">
      <c r="A77">
        <v>4.1439999999999904</v>
      </c>
      <c r="B77" s="11">
        <v>3.1546907667159803E-14</v>
      </c>
      <c r="D77">
        <v>4.7359999999999998</v>
      </c>
      <c r="E77" s="11">
        <v>8.0539003289658402E-14</v>
      </c>
      <c r="G77">
        <v>5.3280000000000003</v>
      </c>
      <c r="H77" s="11">
        <v>9.2382581587201504E-14</v>
      </c>
      <c r="J77">
        <v>5.9199999999999902</v>
      </c>
      <c r="K77" s="11">
        <v>-9.0995319150826703E-13</v>
      </c>
      <c r="V77">
        <v>5.3691558399999897</v>
      </c>
      <c r="W77" s="11">
        <v>-7.3368130777890301E-13</v>
      </c>
    </row>
    <row r="78" spans="1:23" x14ac:dyDescent="0.3">
      <c r="A78">
        <v>4.1999999999999904</v>
      </c>
      <c r="B78" s="11">
        <v>3.19732172302295E-14</v>
      </c>
      <c r="D78">
        <v>4.8</v>
      </c>
      <c r="E78" s="11">
        <v>8.1627368198978004E-14</v>
      </c>
      <c r="G78">
        <v>5.3999999999999897</v>
      </c>
      <c r="H78" s="11">
        <v>9.3630994851893402E-14</v>
      </c>
      <c r="J78">
        <v>5.9999999999999902</v>
      </c>
      <c r="K78" s="11">
        <v>-9.2224985625837899E-13</v>
      </c>
      <c r="V78">
        <v>5.4417119999999901</v>
      </c>
      <c r="W78" s="11">
        <v>-7.43595920046185E-13</v>
      </c>
    </row>
    <row r="79" spans="1:23" x14ac:dyDescent="0.3">
      <c r="A79">
        <v>4.2559999999999896</v>
      </c>
      <c r="B79" s="11">
        <v>3.2399526793299197E-14</v>
      </c>
      <c r="D79">
        <v>4.8639999999999999</v>
      </c>
      <c r="E79" s="11">
        <v>8.2715733108297594E-14</v>
      </c>
      <c r="G79">
        <v>5.4720000000000004</v>
      </c>
      <c r="H79" s="11">
        <v>9.4879408116585401E-14</v>
      </c>
      <c r="J79">
        <v>6.0799999999999903</v>
      </c>
      <c r="K79" s="11">
        <v>-9.3454652100849095E-13</v>
      </c>
      <c r="V79">
        <v>5.5142681599999896</v>
      </c>
      <c r="W79" s="11">
        <v>-7.5351053231346699E-13</v>
      </c>
    </row>
    <row r="80" spans="1:23" x14ac:dyDescent="0.3">
      <c r="A80">
        <v>4.3119999999999896</v>
      </c>
      <c r="B80" s="11">
        <v>3.2825836356368901E-14</v>
      </c>
      <c r="D80">
        <v>4.9279999999999999</v>
      </c>
      <c r="E80" s="11">
        <v>8.3804098017617196E-14</v>
      </c>
      <c r="G80">
        <v>5.5439999999999996</v>
      </c>
      <c r="H80" s="11">
        <v>9.6127821381277299E-14</v>
      </c>
      <c r="J80">
        <v>6.1599999999999904</v>
      </c>
      <c r="K80" s="11">
        <v>-9.4684318575860291E-13</v>
      </c>
      <c r="V80">
        <v>5.5868243199999901</v>
      </c>
      <c r="W80" s="11">
        <v>-7.6342514458074897E-13</v>
      </c>
    </row>
    <row r="81" spans="1:23" x14ac:dyDescent="0.3">
      <c r="A81">
        <v>4.3679999999999897</v>
      </c>
      <c r="B81" s="11">
        <v>3.3252145919438598E-14</v>
      </c>
      <c r="D81">
        <v>4.992</v>
      </c>
      <c r="E81" s="11">
        <v>8.4892462926936798E-14</v>
      </c>
      <c r="G81">
        <v>5.6159999999999899</v>
      </c>
      <c r="H81" s="11">
        <v>9.7376234645969197E-14</v>
      </c>
      <c r="J81">
        <v>6.2399999999999904</v>
      </c>
      <c r="K81" s="11">
        <v>-9.5913985050871406E-13</v>
      </c>
      <c r="V81">
        <v>5.6593804799999896</v>
      </c>
      <c r="W81" s="11">
        <v>-7.7333975684803096E-13</v>
      </c>
    </row>
    <row r="82" spans="1:23" x14ac:dyDescent="0.3">
      <c r="A82">
        <v>4.4239999999999897</v>
      </c>
      <c r="B82" s="11">
        <v>3.3678455482508302E-14</v>
      </c>
      <c r="D82">
        <v>5.056</v>
      </c>
      <c r="E82" s="11">
        <v>8.59808278362564E-14</v>
      </c>
      <c r="G82">
        <v>5.68799999999999</v>
      </c>
      <c r="H82" s="11">
        <v>9.8624647910661095E-14</v>
      </c>
      <c r="J82">
        <v>6.3199999999999896</v>
      </c>
      <c r="K82" s="11">
        <v>-9.7143651525882703E-13</v>
      </c>
      <c r="V82">
        <v>5.73193663999999</v>
      </c>
      <c r="W82" s="11">
        <v>-7.8325436911531395E-13</v>
      </c>
    </row>
    <row r="83" spans="1:23" x14ac:dyDescent="0.3">
      <c r="A83">
        <v>4.4799999999999898</v>
      </c>
      <c r="B83" s="11">
        <v>3.4104765045577999E-14</v>
      </c>
      <c r="D83">
        <v>5.12</v>
      </c>
      <c r="E83" s="11">
        <v>8.7069192745576002E-14</v>
      </c>
      <c r="G83">
        <v>5.75999999999999</v>
      </c>
      <c r="H83" s="11">
        <v>9.9873061175353006E-14</v>
      </c>
      <c r="J83">
        <v>6.3999999999999897</v>
      </c>
      <c r="K83" s="11">
        <v>-9.8373318000893798E-13</v>
      </c>
      <c r="V83">
        <v>5.8044927999999896</v>
      </c>
      <c r="W83" s="11">
        <v>-7.9316898138259604E-13</v>
      </c>
    </row>
    <row r="84" spans="1:23" x14ac:dyDescent="0.3">
      <c r="A84">
        <v>4.5359999999999898</v>
      </c>
      <c r="B84" s="11">
        <v>3.4531074608647703E-14</v>
      </c>
      <c r="D84">
        <v>5.1840000000000002</v>
      </c>
      <c r="E84" s="11">
        <v>8.8157557654895604E-14</v>
      </c>
      <c r="G84">
        <v>5.8319999999999901</v>
      </c>
      <c r="H84" s="11">
        <v>1.01121474440044E-13</v>
      </c>
      <c r="J84">
        <v>6.4799999999999898</v>
      </c>
      <c r="K84" s="11">
        <v>-9.9602984475904994E-13</v>
      </c>
      <c r="V84">
        <v>5.87704895999999</v>
      </c>
      <c r="W84" s="11">
        <v>-8.0308359364987803E-13</v>
      </c>
    </row>
    <row r="85" spans="1:23" x14ac:dyDescent="0.3">
      <c r="A85">
        <v>4.5919999999999899</v>
      </c>
      <c r="B85" s="11">
        <v>3.49573841717174E-14</v>
      </c>
      <c r="D85">
        <v>5.2480000000000002</v>
      </c>
      <c r="E85" s="11">
        <v>8.9245922564215206E-14</v>
      </c>
      <c r="G85">
        <v>5.9039999999999901</v>
      </c>
      <c r="H85" s="11">
        <v>1.0236988770473599E-13</v>
      </c>
      <c r="J85">
        <v>6.5599999999999898</v>
      </c>
      <c r="K85" s="11">
        <v>-1.0083265095091601E-12</v>
      </c>
      <c r="V85">
        <v>5.9496051199999904</v>
      </c>
      <c r="W85" s="11">
        <v>-8.1299820591716001E-13</v>
      </c>
    </row>
    <row r="86" spans="1:23" x14ac:dyDescent="0.3">
      <c r="A86">
        <v>4.6479999999999899</v>
      </c>
      <c r="B86" s="11">
        <v>3.5383693734787097E-14</v>
      </c>
      <c r="D86">
        <v>5.3120000000000003</v>
      </c>
      <c r="E86" s="11">
        <v>9.0334287473534795E-14</v>
      </c>
      <c r="G86">
        <v>5.9759999999999902</v>
      </c>
      <c r="H86" s="11">
        <v>1.0361830096942801E-13</v>
      </c>
      <c r="J86">
        <v>6.6399999999999899</v>
      </c>
      <c r="K86" s="11">
        <v>-1.02062317425927E-12</v>
      </c>
      <c r="V86">
        <v>6.02216127999999</v>
      </c>
      <c r="W86" s="11">
        <v>-8.22912818184442E-13</v>
      </c>
    </row>
    <row r="87" spans="1:23" x14ac:dyDescent="0.3">
      <c r="A87">
        <v>4.70399999999999</v>
      </c>
      <c r="B87" s="11">
        <v>3.5810003297856801E-14</v>
      </c>
      <c r="D87">
        <v>5.3760000000000003</v>
      </c>
      <c r="E87" s="11">
        <v>9.1422652382854398E-14</v>
      </c>
      <c r="G87">
        <v>6.0479999999999903</v>
      </c>
      <c r="H87" s="11">
        <v>1.0486671423412E-13</v>
      </c>
      <c r="J87">
        <v>6.71999999999999</v>
      </c>
      <c r="K87" s="11">
        <v>-1.03291983900938E-12</v>
      </c>
      <c r="V87">
        <v>6.0947174399999904</v>
      </c>
      <c r="W87" s="11">
        <v>-8.3282743045172399E-13</v>
      </c>
    </row>
    <row r="88" spans="1:23" x14ac:dyDescent="0.3">
      <c r="A88">
        <v>4.75999999999999</v>
      </c>
      <c r="B88" s="11">
        <v>3.6236312860926498E-14</v>
      </c>
      <c r="D88">
        <v>5.44</v>
      </c>
      <c r="E88" s="11">
        <v>9.2511017292174E-14</v>
      </c>
      <c r="G88">
        <v>6.1199999999999903</v>
      </c>
      <c r="H88" s="11">
        <v>1.06115127498812E-13</v>
      </c>
      <c r="J88">
        <v>6.7999999999999901</v>
      </c>
      <c r="K88" s="11">
        <v>-1.0452165037594899E-12</v>
      </c>
      <c r="V88">
        <v>6.1672735999999899</v>
      </c>
      <c r="W88" s="11">
        <v>-8.4274204271900597E-13</v>
      </c>
    </row>
    <row r="89" spans="1:23" x14ac:dyDescent="0.3">
      <c r="A89">
        <v>4.8159999999999901</v>
      </c>
      <c r="B89" s="11">
        <v>3.6662622423996202E-14</v>
      </c>
      <c r="D89">
        <v>5.5039999999999996</v>
      </c>
      <c r="E89" s="11">
        <v>9.3599382201493602E-14</v>
      </c>
      <c r="G89">
        <v>6.1919999999999904</v>
      </c>
      <c r="H89" s="11">
        <v>1.07363540763504E-13</v>
      </c>
      <c r="J89">
        <v>6.8799999999999901</v>
      </c>
      <c r="K89" s="11">
        <v>-1.0575131685096E-12</v>
      </c>
      <c r="V89">
        <v>6.2398297599999903</v>
      </c>
      <c r="W89" s="11">
        <v>-8.5265665498628897E-13</v>
      </c>
    </row>
    <row r="90" spans="1:23" x14ac:dyDescent="0.3">
      <c r="A90">
        <v>4.8719999999999901</v>
      </c>
      <c r="B90" s="11">
        <v>3.7088931987065899E-14</v>
      </c>
      <c r="D90">
        <v>5.5679999999999996</v>
      </c>
      <c r="E90" s="11">
        <v>9.4687747110813103E-14</v>
      </c>
      <c r="G90">
        <v>6.2640000000000002</v>
      </c>
      <c r="H90" s="11">
        <v>1.08611954028196E-13</v>
      </c>
      <c r="J90">
        <v>6.9599999999999902</v>
      </c>
      <c r="K90" s="11">
        <v>-1.06980983325971E-12</v>
      </c>
      <c r="V90">
        <v>6.3123859199999899</v>
      </c>
      <c r="W90" s="11">
        <v>-8.6257126725357095E-13</v>
      </c>
    </row>
    <row r="91" spans="1:23" x14ac:dyDescent="0.3">
      <c r="A91">
        <v>4.9279999999999902</v>
      </c>
      <c r="B91" s="11">
        <v>3.7515241550135603E-14</v>
      </c>
      <c r="D91">
        <v>5.6319999999999997</v>
      </c>
      <c r="E91" s="11">
        <v>9.5776112020132705E-14</v>
      </c>
      <c r="G91">
        <v>6.3359999999999896</v>
      </c>
      <c r="H91" s="11">
        <v>1.09860367292888E-13</v>
      </c>
      <c r="J91">
        <v>7.0399999999999903</v>
      </c>
      <c r="K91" s="11">
        <v>-1.08210649800983E-12</v>
      </c>
      <c r="V91">
        <v>6.3849420799999903</v>
      </c>
      <c r="W91" s="11">
        <v>-8.7248587952085304E-13</v>
      </c>
    </row>
    <row r="92" spans="1:23" x14ac:dyDescent="0.3">
      <c r="A92">
        <v>4.9839999999999902</v>
      </c>
      <c r="B92" s="11">
        <v>3.79415511132053E-14</v>
      </c>
      <c r="D92">
        <v>5.6959999999999997</v>
      </c>
      <c r="E92" s="11">
        <v>9.6864476929452294E-14</v>
      </c>
      <c r="G92">
        <v>6.4080000000000004</v>
      </c>
      <c r="H92" s="11">
        <v>1.1110878055758E-13</v>
      </c>
      <c r="J92">
        <v>7.1199999999999903</v>
      </c>
      <c r="K92" s="11">
        <v>-1.09440316275994E-12</v>
      </c>
      <c r="V92">
        <v>6.4574982399999898</v>
      </c>
      <c r="W92" s="11">
        <v>-8.8240049178813503E-13</v>
      </c>
    </row>
    <row r="93" spans="1:23" x14ac:dyDescent="0.3">
      <c r="A93">
        <v>5.0399999999999903</v>
      </c>
      <c r="B93" s="11">
        <v>3.8367860676274997E-14</v>
      </c>
      <c r="D93">
        <v>5.76</v>
      </c>
      <c r="E93" s="11">
        <v>9.7952841838771896E-14</v>
      </c>
      <c r="G93">
        <v>6.48</v>
      </c>
      <c r="H93" s="11">
        <v>1.12357193822271E-13</v>
      </c>
      <c r="J93">
        <v>7.1999999999999904</v>
      </c>
      <c r="K93" s="11">
        <v>-1.1066998275100499E-12</v>
      </c>
      <c r="V93">
        <v>6.5300543999999903</v>
      </c>
      <c r="W93" s="11">
        <v>-8.9231510405541701E-13</v>
      </c>
    </row>
    <row r="94" spans="1:23" x14ac:dyDescent="0.3">
      <c r="A94">
        <v>5.0959999999999903</v>
      </c>
      <c r="B94" s="11">
        <v>3.8794170239344701E-14</v>
      </c>
      <c r="D94">
        <v>5.8239999999999998</v>
      </c>
      <c r="E94" s="11">
        <v>9.9041206748091397E-14</v>
      </c>
      <c r="G94">
        <v>6.5519999999999996</v>
      </c>
      <c r="H94" s="11">
        <v>1.13605607086963E-13</v>
      </c>
      <c r="J94">
        <v>7.2799999999999896</v>
      </c>
      <c r="K94" s="11">
        <v>-1.11899649226016E-12</v>
      </c>
      <c r="V94">
        <v>6.6026105599999898</v>
      </c>
      <c r="W94" s="11">
        <v>-9.0222971632270001E-13</v>
      </c>
    </row>
    <row r="95" spans="1:23" x14ac:dyDescent="0.3">
      <c r="A95">
        <v>5.1519999999999904</v>
      </c>
      <c r="B95" s="11">
        <v>3.9220479802414398E-14</v>
      </c>
      <c r="D95">
        <v>5.8879999999999999</v>
      </c>
      <c r="E95" s="11">
        <v>1.0012957165741E-13</v>
      </c>
      <c r="G95">
        <v>6.6239999999999997</v>
      </c>
      <c r="H95" s="11">
        <v>1.14854020351655E-13</v>
      </c>
      <c r="J95">
        <v>7.3599999999999897</v>
      </c>
      <c r="K95" s="11">
        <v>-1.13129315701027E-12</v>
      </c>
      <c r="V95">
        <v>6.6751667199999902</v>
      </c>
      <c r="W95" s="11">
        <v>-9.121443285899821E-13</v>
      </c>
    </row>
    <row r="96" spans="1:23" x14ac:dyDescent="0.3">
      <c r="A96">
        <v>5.2079999999999904</v>
      </c>
      <c r="B96" s="11">
        <v>3.9646789365484102E-14</v>
      </c>
      <c r="D96">
        <v>5.952</v>
      </c>
      <c r="E96" s="11">
        <v>1.0121793656673E-13</v>
      </c>
      <c r="G96">
        <v>6.6959999999999997</v>
      </c>
      <c r="H96" s="11">
        <v>1.1610243361634701E-13</v>
      </c>
      <c r="J96">
        <v>7.4399999999999897</v>
      </c>
      <c r="K96" s="11">
        <v>-1.14358982176039E-12</v>
      </c>
      <c r="V96">
        <v>6.7477228799999898</v>
      </c>
      <c r="W96" s="11">
        <v>-9.2205894085726398E-13</v>
      </c>
    </row>
    <row r="97" spans="1:23" x14ac:dyDescent="0.3">
      <c r="A97">
        <v>5.2639999999999896</v>
      </c>
      <c r="B97" s="11">
        <v>4.0073098928553799E-14</v>
      </c>
      <c r="D97">
        <v>6.016</v>
      </c>
      <c r="E97" s="11">
        <v>1.0230630147605E-13</v>
      </c>
      <c r="G97">
        <v>6.7679999999999998</v>
      </c>
      <c r="H97" s="11">
        <v>1.17350846881039E-13</v>
      </c>
      <c r="J97">
        <v>7.5199999999999898</v>
      </c>
      <c r="K97" s="11">
        <v>-1.1558864865105E-12</v>
      </c>
      <c r="V97">
        <v>6.8202790399999902</v>
      </c>
      <c r="W97" s="11">
        <v>-9.3197355312454708E-13</v>
      </c>
    </row>
    <row r="98" spans="1:23" x14ac:dyDescent="0.3">
      <c r="A98">
        <v>5.3199999999999896</v>
      </c>
      <c r="B98" s="11">
        <v>4.0499408491623503E-14</v>
      </c>
      <c r="D98">
        <v>6.08</v>
      </c>
      <c r="E98" s="11">
        <v>1.03394666385369E-13</v>
      </c>
      <c r="G98">
        <v>6.84</v>
      </c>
      <c r="H98" s="11">
        <v>1.1859926014573101E-13</v>
      </c>
      <c r="J98">
        <v>7.5999999999999899</v>
      </c>
      <c r="K98" s="11">
        <v>-1.1681831512606099E-12</v>
      </c>
      <c r="V98">
        <v>6.8928351999999897</v>
      </c>
      <c r="W98" s="11">
        <v>-9.4188816539182896E-13</v>
      </c>
    </row>
    <row r="99" spans="1:23" x14ac:dyDescent="0.3">
      <c r="A99">
        <v>5.3759999999999897</v>
      </c>
      <c r="B99" s="11">
        <v>4.09257180546932E-14</v>
      </c>
      <c r="D99">
        <v>6.1440000000000001</v>
      </c>
      <c r="E99" s="11">
        <v>1.04483031294689E-13</v>
      </c>
      <c r="G99">
        <v>6.9119999999999999</v>
      </c>
      <c r="H99" s="11">
        <v>1.19847673410423E-13</v>
      </c>
      <c r="J99">
        <v>7.6799999999999899</v>
      </c>
      <c r="K99" s="11">
        <v>-1.18047981601072E-12</v>
      </c>
      <c r="V99">
        <v>6.9653913599999902</v>
      </c>
      <c r="W99" s="11">
        <v>-9.5180277765911206E-13</v>
      </c>
    </row>
    <row r="100" spans="1:23" x14ac:dyDescent="0.3">
      <c r="A100">
        <v>5.4319999999999897</v>
      </c>
      <c r="B100" s="11">
        <v>4.1352027617762897E-14</v>
      </c>
      <c r="D100">
        <v>6.2080000000000002</v>
      </c>
      <c r="E100" s="11">
        <v>1.05571396204008E-13</v>
      </c>
      <c r="G100">
        <v>6.9839999999999902</v>
      </c>
      <c r="H100" s="11">
        <v>1.2109608667511501E-13</v>
      </c>
      <c r="J100">
        <v>7.75999999999999</v>
      </c>
      <c r="K100" s="11">
        <v>-1.19277648076083E-12</v>
      </c>
      <c r="V100">
        <v>7.0379475199999897</v>
      </c>
      <c r="W100" s="11">
        <v>-9.6171738992639394E-13</v>
      </c>
    </row>
    <row r="101" spans="1:23" x14ac:dyDescent="0.3">
      <c r="A101">
        <v>5.4879999999999898</v>
      </c>
      <c r="B101" s="11">
        <v>4.1778337180832601E-14</v>
      </c>
      <c r="D101">
        <v>6.2720000000000002</v>
      </c>
      <c r="E101" s="11">
        <v>1.0665976111332801E-13</v>
      </c>
      <c r="G101">
        <v>7.056</v>
      </c>
      <c r="H101" s="11">
        <v>1.2234449993980699E-13</v>
      </c>
      <c r="J101">
        <v>7.8399999999999901</v>
      </c>
      <c r="K101" s="11">
        <v>-1.2050731455109399E-12</v>
      </c>
      <c r="V101">
        <v>7.1105036799999901</v>
      </c>
      <c r="W101" s="11">
        <v>-9.7163200219367704E-13</v>
      </c>
    </row>
    <row r="102" spans="1:23" x14ac:dyDescent="0.3">
      <c r="A102">
        <v>5.5439999999999898</v>
      </c>
      <c r="B102" s="11">
        <v>4.2204646743902298E-14</v>
      </c>
      <c r="D102">
        <v>6.3360000000000003</v>
      </c>
      <c r="E102" s="11">
        <v>1.07748126022647E-13</v>
      </c>
      <c r="G102">
        <v>7.1279999999999903</v>
      </c>
      <c r="H102" s="11">
        <v>1.2359291320449901E-13</v>
      </c>
      <c r="J102">
        <v>7.9199999999999902</v>
      </c>
      <c r="K102" s="11">
        <v>-1.21736981026106E-12</v>
      </c>
      <c r="V102">
        <v>7.1830598399999896</v>
      </c>
      <c r="W102" s="11">
        <v>-9.8154661446095994E-13</v>
      </c>
    </row>
    <row r="103" spans="1:23" x14ac:dyDescent="0.3">
      <c r="A103">
        <v>5.5999999999999899</v>
      </c>
      <c r="B103" s="11">
        <v>4.2630956306972002E-14</v>
      </c>
      <c r="D103">
        <v>6.4</v>
      </c>
      <c r="E103" s="11">
        <v>1.08836490931967E-13</v>
      </c>
      <c r="G103">
        <v>7.1999999999999904</v>
      </c>
      <c r="H103" s="11">
        <v>1.2484132646919099E-13</v>
      </c>
      <c r="J103">
        <v>7.9999999999999902</v>
      </c>
      <c r="K103" s="11">
        <v>-1.2296664750111699E-12</v>
      </c>
      <c r="V103">
        <v>7.2556159999999901</v>
      </c>
      <c r="W103" s="11">
        <v>-9.9146122672824202E-13</v>
      </c>
    </row>
    <row r="104" spans="1:23" x14ac:dyDescent="0.3">
      <c r="A104">
        <v>5.6559999999999899</v>
      </c>
      <c r="B104" s="11">
        <v>4.3057265870041699E-14</v>
      </c>
      <c r="D104">
        <v>6.4640000000000004</v>
      </c>
      <c r="E104" s="11">
        <v>1.09924855841286E-13</v>
      </c>
      <c r="G104">
        <v>7.2719999999999896</v>
      </c>
      <c r="H104" s="11">
        <v>1.26089739733883E-13</v>
      </c>
      <c r="J104">
        <v>8.0799999999999894</v>
      </c>
      <c r="K104" s="11">
        <v>-1.24196313976128E-12</v>
      </c>
      <c r="V104">
        <v>7.3281721599999896</v>
      </c>
      <c r="W104" s="11">
        <v>-1.0013758389955201E-12</v>
      </c>
    </row>
    <row r="105" spans="1:23" x14ac:dyDescent="0.3">
      <c r="A105">
        <v>5.71199999999999</v>
      </c>
      <c r="B105" s="11">
        <v>4.3483575433111403E-14</v>
      </c>
      <c r="D105">
        <v>6.5279999999999996</v>
      </c>
      <c r="E105" s="11">
        <v>1.11013220750606E-13</v>
      </c>
      <c r="G105">
        <v>7.3439999999999896</v>
      </c>
      <c r="H105" s="11">
        <v>1.2733815299857401E-13</v>
      </c>
      <c r="J105">
        <v>8.1599999999999895</v>
      </c>
      <c r="K105" s="11">
        <v>-1.25425980451139E-12</v>
      </c>
      <c r="V105">
        <v>7.40072831999999</v>
      </c>
      <c r="W105" s="11">
        <v>-1.0112904512627999E-12</v>
      </c>
    </row>
    <row r="106" spans="1:23" x14ac:dyDescent="0.3">
      <c r="A106">
        <v>5.76799999999999</v>
      </c>
      <c r="B106" s="11">
        <v>4.39098849961811E-14</v>
      </c>
      <c r="D106">
        <v>6.5919999999999996</v>
      </c>
      <c r="E106" s="11">
        <v>1.1210158565992501E-13</v>
      </c>
      <c r="G106">
        <v>7.4159999999999897</v>
      </c>
      <c r="H106" s="11">
        <v>1.2858656626326599E-13</v>
      </c>
      <c r="J106">
        <v>8.2399999999999896</v>
      </c>
      <c r="K106" s="11">
        <v>-1.2665564692614999E-12</v>
      </c>
      <c r="V106">
        <v>7.4732844799999896</v>
      </c>
      <c r="W106" s="11">
        <v>-1.0212050635300899E-12</v>
      </c>
    </row>
    <row r="107" spans="1:23" x14ac:dyDescent="0.3">
      <c r="A107">
        <v>5.8239999999999901</v>
      </c>
      <c r="B107" s="11">
        <v>4.4336194559250797E-14</v>
      </c>
      <c r="D107">
        <v>6.6559999999999997</v>
      </c>
      <c r="E107" s="11">
        <v>1.13189950569245E-13</v>
      </c>
      <c r="G107">
        <v>7.4879999999999898</v>
      </c>
      <c r="H107" s="11">
        <v>1.29834979527958E-13</v>
      </c>
      <c r="J107">
        <v>8.3199999999999896</v>
      </c>
      <c r="K107" s="11">
        <v>-1.2788531340116101E-12</v>
      </c>
      <c r="V107">
        <v>7.54584063999999</v>
      </c>
      <c r="W107" s="11">
        <v>-1.03111967579737E-12</v>
      </c>
    </row>
    <row r="108" spans="1:23" x14ac:dyDescent="0.3">
      <c r="A108">
        <v>5.8799999999999901</v>
      </c>
      <c r="B108" s="11">
        <v>4.4762504122320501E-14</v>
      </c>
      <c r="D108">
        <v>6.72</v>
      </c>
      <c r="E108" s="11">
        <v>1.14278315478564E-13</v>
      </c>
      <c r="G108">
        <v>7.5599999999999898</v>
      </c>
      <c r="H108" s="11">
        <v>1.3108339279264999E-13</v>
      </c>
      <c r="J108">
        <v>8.3999999999999897</v>
      </c>
      <c r="K108" s="11">
        <v>-1.29114979876172E-12</v>
      </c>
      <c r="V108">
        <v>7.6183967999999904</v>
      </c>
      <c r="W108" s="11">
        <v>-1.04103428806465E-12</v>
      </c>
    </row>
    <row r="109" spans="1:23" x14ac:dyDescent="0.3">
      <c r="A109">
        <v>5.9359999999999902</v>
      </c>
      <c r="B109" s="11">
        <v>4.5188813685390198E-14</v>
      </c>
      <c r="D109">
        <v>6.7839999999999998</v>
      </c>
      <c r="E109" s="11">
        <v>1.15366680387884E-13</v>
      </c>
      <c r="G109">
        <v>7.6319999999999899</v>
      </c>
      <c r="H109" s="11">
        <v>1.32331806057342E-13</v>
      </c>
      <c r="J109">
        <v>8.4799999999999898</v>
      </c>
      <c r="K109" s="11">
        <v>-1.30344646351184E-12</v>
      </c>
      <c r="V109">
        <v>7.69095295999999</v>
      </c>
      <c r="W109" s="11">
        <v>-1.0509489003319299E-12</v>
      </c>
    </row>
    <row r="110" spans="1:23" x14ac:dyDescent="0.3">
      <c r="A110">
        <v>5.9919999999999902</v>
      </c>
      <c r="B110" s="11">
        <v>4.5615123248459902E-14</v>
      </c>
      <c r="D110">
        <v>6.8479999999999999</v>
      </c>
      <c r="E110" s="11">
        <v>1.16455045297203E-13</v>
      </c>
      <c r="G110">
        <v>7.70399999999999</v>
      </c>
      <c r="H110" s="11">
        <v>1.3358021932203399E-13</v>
      </c>
      <c r="J110">
        <v>8.5599999999999898</v>
      </c>
      <c r="K110" s="11">
        <v>-1.31574312826195E-12</v>
      </c>
      <c r="V110">
        <v>7.7635091199999904</v>
      </c>
      <c r="W110" s="11">
        <v>-1.0608635125992201E-12</v>
      </c>
    </row>
    <row r="111" spans="1:23" x14ac:dyDescent="0.3">
      <c r="A111">
        <v>6.0479999999999903</v>
      </c>
      <c r="B111" s="11">
        <v>4.6041432811529599E-14</v>
      </c>
      <c r="D111">
        <v>6.9119999999999999</v>
      </c>
      <c r="E111" s="11">
        <v>1.17543410206523E-13</v>
      </c>
      <c r="G111">
        <v>7.77599999999999</v>
      </c>
      <c r="H111" s="11">
        <v>1.34828632586726E-13</v>
      </c>
      <c r="J111">
        <v>8.6399999999999899</v>
      </c>
      <c r="K111" s="11">
        <v>-1.3280397930120599E-12</v>
      </c>
      <c r="V111">
        <v>7.8360652799999899</v>
      </c>
      <c r="W111" s="11">
        <v>-1.0707781248664999E-12</v>
      </c>
    </row>
    <row r="112" spans="1:23" x14ac:dyDescent="0.3">
      <c r="A112">
        <v>6.1039999999999903</v>
      </c>
      <c r="B112" s="11">
        <v>4.6467742374599303E-14</v>
      </c>
      <c r="D112">
        <v>6.976</v>
      </c>
      <c r="E112" s="11">
        <v>1.18631775115842E-13</v>
      </c>
      <c r="G112">
        <v>7.8479999999999901</v>
      </c>
      <c r="H112" s="11">
        <v>1.3607704585141801E-13</v>
      </c>
      <c r="J112">
        <v>8.71999999999999</v>
      </c>
      <c r="K112" s="11">
        <v>-1.3403364577621701E-12</v>
      </c>
      <c r="V112">
        <v>7.9086214399999903</v>
      </c>
      <c r="W112" s="11">
        <v>-1.08069273713378E-12</v>
      </c>
    </row>
    <row r="113" spans="1:23" x14ac:dyDescent="0.3">
      <c r="A113">
        <v>6.1599999999999904</v>
      </c>
      <c r="B113" s="11">
        <v>4.6894051937669E-14</v>
      </c>
      <c r="D113">
        <v>7.04</v>
      </c>
      <c r="E113" s="11">
        <v>1.1972014002516201E-13</v>
      </c>
      <c r="G113">
        <v>7.9199999999999902</v>
      </c>
      <c r="H113" s="11">
        <v>1.3732545911611E-13</v>
      </c>
      <c r="J113">
        <v>8.7999999999999901</v>
      </c>
      <c r="K113" s="11">
        <v>-1.35263312251228E-12</v>
      </c>
      <c r="V113">
        <v>7.9811775999999899</v>
      </c>
      <c r="W113" s="11">
        <v>-1.0906073494010601E-12</v>
      </c>
    </row>
    <row r="114" spans="1:23" x14ac:dyDescent="0.3">
      <c r="A114">
        <v>6.2159999999999904</v>
      </c>
      <c r="B114" s="11">
        <v>4.7320361500738697E-14</v>
      </c>
      <c r="D114">
        <v>7.1040000000000001</v>
      </c>
      <c r="E114" s="11">
        <v>1.20808504934481E-13</v>
      </c>
      <c r="G114">
        <v>7.9919999999999902</v>
      </c>
      <c r="H114" s="11">
        <v>1.3857387238080201E-13</v>
      </c>
      <c r="J114">
        <v>8.8799999999999901</v>
      </c>
      <c r="K114" s="11">
        <v>-1.3649297872623899E-12</v>
      </c>
      <c r="V114">
        <v>8.0537337599999894</v>
      </c>
      <c r="W114" s="11">
        <v>-1.10052196166835E-12</v>
      </c>
    </row>
    <row r="115" spans="1:23" x14ac:dyDescent="0.3">
      <c r="A115">
        <v>6.2719999999999896</v>
      </c>
      <c r="B115" s="11">
        <v>4.7746671063808401E-14</v>
      </c>
      <c r="D115">
        <v>7.1680000000000001</v>
      </c>
      <c r="E115" s="11">
        <v>1.2189686984380101E-13</v>
      </c>
      <c r="G115">
        <v>8.0639999999999894</v>
      </c>
      <c r="H115" s="11">
        <v>1.39822285645494E-13</v>
      </c>
      <c r="J115">
        <v>8.9599999999999902</v>
      </c>
      <c r="K115" s="11">
        <v>-1.3772264520125001E-12</v>
      </c>
      <c r="V115">
        <v>8.1262899199999907</v>
      </c>
      <c r="W115" s="11">
        <v>-1.1104365739356301E-12</v>
      </c>
    </row>
    <row r="116" spans="1:23" x14ac:dyDescent="0.3">
      <c r="A116">
        <v>6.3279999999999896</v>
      </c>
      <c r="B116" s="11">
        <v>4.8172980626877997E-14</v>
      </c>
      <c r="D116">
        <v>7.2320000000000002</v>
      </c>
      <c r="E116" s="11">
        <v>1.2298523475312E-13</v>
      </c>
      <c r="G116">
        <v>8.1359999999999992</v>
      </c>
      <c r="H116" s="11">
        <v>1.4107069891018601E-13</v>
      </c>
      <c r="J116">
        <v>9.0399999999999903</v>
      </c>
      <c r="K116" s="11">
        <v>-1.38952311676261E-12</v>
      </c>
      <c r="V116">
        <v>8.1988460799999903</v>
      </c>
      <c r="W116" s="11">
        <v>-1.12035118620291E-12</v>
      </c>
    </row>
    <row r="117" spans="1:23" x14ac:dyDescent="0.3">
      <c r="A117">
        <v>6.3839999999999897</v>
      </c>
      <c r="B117" s="11">
        <v>4.8599290189947701E-14</v>
      </c>
      <c r="D117">
        <v>7.2960000000000003</v>
      </c>
      <c r="E117" s="11">
        <v>1.2407359966244001E-13</v>
      </c>
      <c r="G117">
        <v>8.2079999999999895</v>
      </c>
      <c r="H117" s="11">
        <v>1.4231911217487799E-13</v>
      </c>
      <c r="J117">
        <v>9.1199999999999903</v>
      </c>
      <c r="K117" s="11">
        <v>-1.4018197815127301E-12</v>
      </c>
      <c r="V117">
        <v>8.2714022399999898</v>
      </c>
      <c r="W117" s="11">
        <v>-1.13026579847019E-12</v>
      </c>
    </row>
    <row r="118" spans="1:23" x14ac:dyDescent="0.3">
      <c r="A118">
        <v>6.4399999999999897</v>
      </c>
      <c r="B118" s="11">
        <v>4.9025599753017398E-14</v>
      </c>
      <c r="D118">
        <v>7.36</v>
      </c>
      <c r="E118" s="11">
        <v>1.2516196457175901E-13</v>
      </c>
      <c r="G118">
        <v>8.2799999999999994</v>
      </c>
      <c r="H118" s="11">
        <v>1.4356752543957001E-13</v>
      </c>
      <c r="J118">
        <v>9.1999999999999904</v>
      </c>
      <c r="K118" s="11">
        <v>-1.41411644626284E-12</v>
      </c>
      <c r="V118">
        <v>8.3439583999999893</v>
      </c>
      <c r="W118" s="11">
        <v>-1.1401804107374701E-12</v>
      </c>
    </row>
    <row r="119" spans="1:23" x14ac:dyDescent="0.3">
      <c r="A119">
        <v>6.4959999999999898</v>
      </c>
      <c r="B119" s="11">
        <v>4.9451909316087102E-14</v>
      </c>
      <c r="D119">
        <v>7.4240000000000004</v>
      </c>
      <c r="E119" s="11">
        <v>1.26250329481078E-13</v>
      </c>
      <c r="G119">
        <v>8.3520000000000003</v>
      </c>
      <c r="H119" s="11">
        <v>1.4481593870426199E-13</v>
      </c>
      <c r="J119">
        <v>9.2799999999999905</v>
      </c>
      <c r="K119" s="11">
        <v>-1.4264131110129499E-12</v>
      </c>
      <c r="V119">
        <v>8.4165145599999907</v>
      </c>
      <c r="W119" s="11">
        <v>-1.1500950230047601E-12</v>
      </c>
    </row>
    <row r="120" spans="1:23" x14ac:dyDescent="0.3">
      <c r="A120">
        <v>6.5519999999999898</v>
      </c>
      <c r="B120" s="11">
        <v>4.9878218879156799E-14</v>
      </c>
      <c r="D120">
        <v>7.4879999999999898</v>
      </c>
      <c r="E120" s="11">
        <v>1.2733869439039801E-13</v>
      </c>
      <c r="G120">
        <v>8.4239999999999995</v>
      </c>
      <c r="H120" s="11">
        <v>1.46064351968954E-13</v>
      </c>
      <c r="J120">
        <v>9.3599999999999905</v>
      </c>
      <c r="K120" s="11">
        <v>-1.4387097757630601E-12</v>
      </c>
      <c r="V120">
        <v>8.4890707199999902</v>
      </c>
      <c r="W120" s="11">
        <v>-1.1600096352720399E-12</v>
      </c>
    </row>
    <row r="121" spans="1:23" x14ac:dyDescent="0.3">
      <c r="A121">
        <v>6.6079999999999899</v>
      </c>
      <c r="B121" s="11">
        <v>5.0304528442226402E-14</v>
      </c>
      <c r="D121">
        <v>7.5519999999999996</v>
      </c>
      <c r="E121" s="11">
        <v>1.28427059299717E-13</v>
      </c>
      <c r="G121">
        <v>8.4959999999999898</v>
      </c>
      <c r="H121" s="11">
        <v>1.4731276523364599E-13</v>
      </c>
      <c r="J121">
        <v>9.4399999999999906</v>
      </c>
      <c r="K121" s="11">
        <v>-1.45100644051317E-12</v>
      </c>
      <c r="V121">
        <v>8.5616268799999897</v>
      </c>
      <c r="W121" s="11">
        <v>-1.16992424753932E-12</v>
      </c>
    </row>
    <row r="122" spans="1:23" x14ac:dyDescent="0.3">
      <c r="A122">
        <v>6.6639999999999899</v>
      </c>
      <c r="B122" s="11">
        <v>5.0730838005296099E-14</v>
      </c>
      <c r="D122">
        <v>7.6159999999999997</v>
      </c>
      <c r="E122" s="11">
        <v>1.2951542420903701E-13</v>
      </c>
      <c r="G122">
        <v>8.5679999999999907</v>
      </c>
      <c r="H122" s="11">
        <v>1.48561178498338E-13</v>
      </c>
      <c r="J122">
        <v>9.5199999999999907</v>
      </c>
      <c r="K122" s="11">
        <v>-1.46330310526328E-12</v>
      </c>
      <c r="V122">
        <v>8.6341830399999893</v>
      </c>
      <c r="W122" s="11">
        <v>-1.1798388598066001E-12</v>
      </c>
    </row>
    <row r="123" spans="1:23" x14ac:dyDescent="0.3">
      <c r="A123">
        <v>6.71999999999999</v>
      </c>
      <c r="B123" s="11">
        <v>5.1157147568365803E-14</v>
      </c>
      <c r="D123">
        <v>7.68</v>
      </c>
      <c r="E123" s="11">
        <v>1.3060378911835601E-13</v>
      </c>
      <c r="G123">
        <v>8.6399999999999899</v>
      </c>
      <c r="H123" s="11">
        <v>1.4980959176302999E-13</v>
      </c>
      <c r="J123">
        <v>9.5999999999999908</v>
      </c>
      <c r="K123" s="11">
        <v>-1.4755997700133899E-12</v>
      </c>
      <c r="V123">
        <v>8.7067391999999906</v>
      </c>
      <c r="W123" s="11">
        <v>-1.1897534720738799E-12</v>
      </c>
    </row>
    <row r="124" spans="1:23" x14ac:dyDescent="0.3">
      <c r="A124">
        <v>6.77599999999999</v>
      </c>
      <c r="B124" s="11">
        <v>5.15834571314355E-14</v>
      </c>
      <c r="D124">
        <v>7.7439999999999998</v>
      </c>
      <c r="E124" s="11">
        <v>1.3169215402767599E-13</v>
      </c>
      <c r="G124">
        <v>8.7119999999999997</v>
      </c>
      <c r="H124" s="11">
        <v>1.51058005027722E-13</v>
      </c>
      <c r="J124">
        <v>9.6799999999999908</v>
      </c>
      <c r="K124" s="11">
        <v>-1.4878964347635E-12</v>
      </c>
      <c r="V124">
        <v>8.7792953599999901</v>
      </c>
      <c r="W124" s="11">
        <v>-1.1996680843411701E-12</v>
      </c>
    </row>
    <row r="125" spans="1:23" x14ac:dyDescent="0.3">
      <c r="A125">
        <v>6.8319999999999901</v>
      </c>
      <c r="B125" s="11">
        <v>5.2009766694505103E-14</v>
      </c>
      <c r="D125">
        <v>7.8079999999999998</v>
      </c>
      <c r="E125" s="11">
        <v>1.3278051893699501E-13</v>
      </c>
      <c r="G125">
        <v>8.7840000000000007</v>
      </c>
      <c r="H125" s="11">
        <v>1.5230641829241401E-13</v>
      </c>
      <c r="J125">
        <v>9.7599999999999891</v>
      </c>
      <c r="K125" s="11">
        <v>-1.50019309951361E-12</v>
      </c>
      <c r="V125">
        <v>8.8518515199999896</v>
      </c>
      <c r="W125" s="11">
        <v>-1.20958269660845E-12</v>
      </c>
    </row>
    <row r="126" spans="1:23" x14ac:dyDescent="0.3">
      <c r="A126">
        <v>6.8879999999999901</v>
      </c>
      <c r="B126" s="11">
        <v>5.24360762575748E-14</v>
      </c>
      <c r="D126">
        <v>7.8719999999999999</v>
      </c>
      <c r="E126" s="11">
        <v>1.3386888384631401E-13</v>
      </c>
      <c r="G126">
        <v>8.8559999999999892</v>
      </c>
      <c r="H126" s="11">
        <v>1.53554831557106E-13</v>
      </c>
      <c r="J126">
        <v>9.8399999999999892</v>
      </c>
      <c r="K126" s="11">
        <v>-1.51248976426373E-12</v>
      </c>
      <c r="V126">
        <v>8.9244076799999892</v>
      </c>
      <c r="W126" s="11">
        <v>-1.21949730887573E-12</v>
      </c>
    </row>
    <row r="127" spans="1:23" x14ac:dyDescent="0.3">
      <c r="A127">
        <v>6.9439999999999902</v>
      </c>
      <c r="B127" s="11">
        <v>5.2862385820644497E-14</v>
      </c>
      <c r="D127">
        <v>7.9359999999999999</v>
      </c>
      <c r="E127" s="11">
        <v>1.3495724875563401E-13</v>
      </c>
      <c r="G127">
        <v>8.9279999999999902</v>
      </c>
      <c r="H127" s="11">
        <v>1.5480324482179801E-13</v>
      </c>
      <c r="J127">
        <v>9.9199999999999893</v>
      </c>
      <c r="K127" s="11">
        <v>-1.52478642901384E-12</v>
      </c>
      <c r="V127">
        <v>8.9969638399999905</v>
      </c>
      <c r="W127" s="11">
        <v>-1.2294119211430101E-12</v>
      </c>
    </row>
    <row r="128" spans="1:23" x14ac:dyDescent="0.3">
      <c r="A128">
        <v>6.9999999999999902</v>
      </c>
      <c r="B128" s="11">
        <v>5.3288695383714201E-14</v>
      </c>
      <c r="D128">
        <v>8</v>
      </c>
      <c r="E128" s="11">
        <v>1.3604561366495301E-13</v>
      </c>
      <c r="G128">
        <v>9</v>
      </c>
      <c r="H128" s="11">
        <v>1.5605165808649E-13</v>
      </c>
      <c r="J128">
        <v>9.9999999999999893</v>
      </c>
      <c r="K128" s="11">
        <v>-1.5370830937639499E-12</v>
      </c>
      <c r="V128">
        <v>9.06951999999999</v>
      </c>
      <c r="W128" s="11">
        <v>-1.23932653341029E-12</v>
      </c>
    </row>
    <row r="129" spans="1:23" x14ac:dyDescent="0.3">
      <c r="A129">
        <v>7.0559999999999903</v>
      </c>
      <c r="B129" s="11">
        <v>5.3715004946783797E-14</v>
      </c>
      <c r="D129">
        <v>8.0640000000000001</v>
      </c>
      <c r="E129" s="11">
        <v>1.3713397857427299E-13</v>
      </c>
      <c r="G129">
        <v>9.0719999999999992</v>
      </c>
      <c r="H129" s="11">
        <v>1.5730007135118201E-13</v>
      </c>
      <c r="J129">
        <v>10.079999999999901</v>
      </c>
      <c r="K129" s="11">
        <v>5.7902277382289002E-5</v>
      </c>
      <c r="V129">
        <v>9.1420761599999896</v>
      </c>
      <c r="W129" s="11">
        <v>-1.2492411456775799E-12</v>
      </c>
    </row>
    <row r="130" spans="1:23" x14ac:dyDescent="0.3">
      <c r="A130">
        <v>7.1119999999999903</v>
      </c>
      <c r="B130" s="11">
        <v>5.4141314509853501E-14</v>
      </c>
      <c r="D130">
        <v>8.1280000000000001</v>
      </c>
      <c r="E130" s="11">
        <v>1.3822234348359201E-13</v>
      </c>
      <c r="G130">
        <v>9.1439999999999895</v>
      </c>
      <c r="H130" s="11">
        <v>1.5854848461587399E-13</v>
      </c>
      <c r="J130">
        <v>10.159999999999901</v>
      </c>
      <c r="K130" s="11">
        <v>2.3160911416499801E-4</v>
      </c>
      <c r="V130">
        <v>9.2146323199999909</v>
      </c>
      <c r="W130" s="11">
        <v>-1.25915575794486E-12</v>
      </c>
    </row>
    <row r="131" spans="1:23" x14ac:dyDescent="0.3">
      <c r="A131">
        <v>7.1679999999999904</v>
      </c>
      <c r="B131" s="11">
        <v>5.4567624072923097E-14</v>
      </c>
      <c r="D131">
        <v>8.1920000000000002</v>
      </c>
      <c r="E131" s="11">
        <v>1.3931070839291199E-13</v>
      </c>
      <c r="G131">
        <v>9.2159999999999904</v>
      </c>
      <c r="H131" s="11">
        <v>1.59796897880565E-13</v>
      </c>
      <c r="J131">
        <v>10.239999999999901</v>
      </c>
      <c r="K131" s="11">
        <v>5.2112050881104497E-4</v>
      </c>
      <c r="V131">
        <v>9.2871884799999904</v>
      </c>
      <c r="W131" s="11">
        <v>-1.2690703702121401E-12</v>
      </c>
    </row>
    <row r="132" spans="1:23" x14ac:dyDescent="0.3">
      <c r="A132">
        <v>7.2239999999999904</v>
      </c>
      <c r="B132" s="11">
        <v>5.4993933635992801E-14</v>
      </c>
      <c r="D132">
        <v>8.2560000000000002</v>
      </c>
      <c r="E132" s="11">
        <v>1.4039907330223101E-13</v>
      </c>
      <c r="G132">
        <v>9.2879999999999896</v>
      </c>
      <c r="H132" s="11">
        <v>1.6104531114525701E-13</v>
      </c>
      <c r="J132">
        <v>10.319999999999901</v>
      </c>
      <c r="K132" s="11">
        <v>9.2643646132042901E-4</v>
      </c>
      <c r="V132">
        <v>9.35974463999999</v>
      </c>
      <c r="W132" s="11">
        <v>-1.2789849824794199E-12</v>
      </c>
    </row>
    <row r="133" spans="1:23" x14ac:dyDescent="0.3">
      <c r="A133">
        <v>7.2799999999999896</v>
      </c>
      <c r="B133" s="11">
        <v>5.5420243199062498E-14</v>
      </c>
      <c r="D133">
        <v>8.32</v>
      </c>
      <c r="E133" s="11">
        <v>1.4148743821155099E-13</v>
      </c>
      <c r="G133">
        <v>9.3599999999999905</v>
      </c>
      <c r="H133" s="11">
        <v>1.6229372440994899E-13</v>
      </c>
      <c r="J133">
        <v>10.399999999999901</v>
      </c>
      <c r="K133">
        <v>1.44755697169315E-3</v>
      </c>
      <c r="V133">
        <v>9.4323007999999895</v>
      </c>
      <c r="W133" s="11">
        <v>-1.2888995947467101E-12</v>
      </c>
    </row>
    <row r="134" spans="1:23" x14ac:dyDescent="0.3">
      <c r="A134">
        <v>7.3359999999999896</v>
      </c>
      <c r="B134" s="11">
        <v>5.5846552762132101E-14</v>
      </c>
      <c r="D134">
        <v>8.3840000000000003</v>
      </c>
      <c r="E134" s="11">
        <v>1.4257580312086999E-13</v>
      </c>
      <c r="G134">
        <v>9.4319999999999897</v>
      </c>
      <c r="H134" s="11">
        <v>1.6354213767464101E-13</v>
      </c>
      <c r="J134">
        <v>10.479999999999899</v>
      </c>
      <c r="K134">
        <v>2.0844820399292001E-3</v>
      </c>
      <c r="V134">
        <v>9.5048569599999908</v>
      </c>
      <c r="W134" s="11">
        <v>-1.29881420701399E-12</v>
      </c>
    </row>
    <row r="135" spans="1:23" x14ac:dyDescent="0.3">
      <c r="A135">
        <v>7.3919999999999897</v>
      </c>
      <c r="B135" s="11">
        <v>5.6272862325201798E-14</v>
      </c>
      <c r="D135">
        <v>8.4480000000000004</v>
      </c>
      <c r="E135" s="11">
        <v>1.4366416803018901E-13</v>
      </c>
      <c r="G135">
        <v>9.5039999999999907</v>
      </c>
      <c r="H135" s="11">
        <v>1.6479055093933299E-13</v>
      </c>
      <c r="J135">
        <v>10.559999999999899</v>
      </c>
      <c r="K135">
        <v>2.83721166602859E-3</v>
      </c>
      <c r="V135">
        <v>9.5774131199999903</v>
      </c>
      <c r="W135" s="11">
        <v>-1.30872881928127E-12</v>
      </c>
    </row>
    <row r="136" spans="1:23" x14ac:dyDescent="0.3">
      <c r="A136">
        <v>7.4479999999999897</v>
      </c>
      <c r="B136" s="11">
        <v>5.6699171888271401E-14</v>
      </c>
      <c r="D136">
        <v>8.5120000000000005</v>
      </c>
      <c r="E136" s="11">
        <v>1.4475253293950899E-13</v>
      </c>
      <c r="G136">
        <v>9.5759999999999899</v>
      </c>
      <c r="H136" s="11">
        <v>1.66038964204025E-13</v>
      </c>
      <c r="J136">
        <v>10.639999999999899</v>
      </c>
      <c r="K136">
        <v>3.7057458499913098E-3</v>
      </c>
      <c r="V136">
        <v>9.6499692799999899</v>
      </c>
      <c r="W136" s="11">
        <v>-1.31864343154856E-12</v>
      </c>
    </row>
    <row r="137" spans="1:23" x14ac:dyDescent="0.3">
      <c r="A137">
        <v>7.5039999999999898</v>
      </c>
      <c r="B137" s="11">
        <v>5.7125481451341104E-14</v>
      </c>
      <c r="D137">
        <v>8.5760000000000005</v>
      </c>
      <c r="E137" s="11">
        <v>1.4584089784882801E-13</v>
      </c>
      <c r="G137">
        <v>9.6479999999999908</v>
      </c>
      <c r="H137" s="11">
        <v>1.6728737746871699E-13</v>
      </c>
      <c r="J137">
        <v>10.719999999999899</v>
      </c>
      <c r="K137">
        <v>4.69008459181737E-3</v>
      </c>
      <c r="V137">
        <v>9.7225254399999894</v>
      </c>
      <c r="W137" s="11">
        <v>-1.32855804381584E-12</v>
      </c>
    </row>
    <row r="138" spans="1:23" x14ac:dyDescent="0.3">
      <c r="A138">
        <v>7.5599999999999898</v>
      </c>
      <c r="B138" s="11">
        <v>5.7551791014410802E-14</v>
      </c>
      <c r="D138">
        <v>8.64</v>
      </c>
      <c r="E138" s="11">
        <v>1.4692926275814799E-13</v>
      </c>
      <c r="G138">
        <v>9.71999999999999</v>
      </c>
      <c r="H138" s="11">
        <v>1.68535790733409E-13</v>
      </c>
      <c r="J138">
        <v>10.799999999999899</v>
      </c>
      <c r="K138">
        <v>5.7902278915067697E-3</v>
      </c>
      <c r="V138">
        <v>9.7950815999999907</v>
      </c>
      <c r="W138" s="11">
        <v>-1.3384726560831199E-12</v>
      </c>
    </row>
    <row r="139" spans="1:23" x14ac:dyDescent="0.3">
      <c r="A139">
        <v>7.6159999999999899</v>
      </c>
      <c r="B139" s="11">
        <v>5.7978100577480499E-14</v>
      </c>
      <c r="D139">
        <v>8.7040000000000006</v>
      </c>
      <c r="E139" s="11">
        <v>1.4801762766746699E-13</v>
      </c>
      <c r="G139">
        <v>9.7919999999999892</v>
      </c>
      <c r="H139" s="11">
        <v>-1.6584443107396599E-5</v>
      </c>
      <c r="J139">
        <v>10.8799999999999</v>
      </c>
      <c r="K139">
        <v>7.0061757490595096E-3</v>
      </c>
      <c r="V139">
        <v>9.8676377599999903</v>
      </c>
      <c r="W139" s="11">
        <v>-1.6841645391714501E-5</v>
      </c>
    </row>
    <row r="140" spans="1:23" x14ac:dyDescent="0.3">
      <c r="A140">
        <v>7.6719999999999899</v>
      </c>
      <c r="B140" s="11">
        <v>5.8404410140550095E-14</v>
      </c>
      <c r="D140">
        <v>8.7680000000000007</v>
      </c>
      <c r="E140" s="11">
        <v>1.49105992576787E-13</v>
      </c>
      <c r="G140">
        <v>9.8639999999999901</v>
      </c>
      <c r="H140" s="11">
        <v>-1.7535271071778601E-5</v>
      </c>
      <c r="J140">
        <v>10.9599999999999</v>
      </c>
      <c r="K140">
        <v>8.3379281644755908E-3</v>
      </c>
      <c r="V140">
        <v>9.9401939199999898</v>
      </c>
      <c r="W140" s="11">
        <v>-1.7807219335945101E-5</v>
      </c>
    </row>
    <row r="141" spans="1:23" x14ac:dyDescent="0.3">
      <c r="A141">
        <v>7.72799999999999</v>
      </c>
      <c r="B141" s="11">
        <v>5.8830719703619805E-14</v>
      </c>
      <c r="D141">
        <v>8.8320000000000007</v>
      </c>
      <c r="E141" s="11">
        <v>1.5019435748610599E-13</v>
      </c>
      <c r="G141">
        <v>9.9359999999999893</v>
      </c>
      <c r="H141" s="11">
        <v>-2.8524837246100899E-6</v>
      </c>
      <c r="J141">
        <v>11.0399999999999</v>
      </c>
      <c r="K141">
        <v>9.7854851377550001E-3</v>
      </c>
      <c r="V141">
        <v>10.012750079999901</v>
      </c>
      <c r="W141" s="11">
        <v>-2.8967231711644502E-6</v>
      </c>
    </row>
    <row r="142" spans="1:23" x14ac:dyDescent="0.3">
      <c r="A142">
        <v>7.78399999999999</v>
      </c>
      <c r="B142" s="11">
        <v>5.9257029266689401E-14</v>
      </c>
      <c r="D142">
        <v>8.8960000000000008</v>
      </c>
      <c r="E142" s="11">
        <v>1.51282722395426E-13</v>
      </c>
      <c r="G142">
        <v>10.0079999999999</v>
      </c>
      <c r="H142" s="11">
        <v>2.7463918934108899E-5</v>
      </c>
      <c r="J142">
        <v>11.1199999999999</v>
      </c>
      <c r="K142">
        <v>1.13488466688977E-2</v>
      </c>
      <c r="V142">
        <v>10.0853062399999</v>
      </c>
      <c r="W142" s="11">
        <v>2.7889843102627399E-5</v>
      </c>
    </row>
    <row r="143" spans="1:23" x14ac:dyDescent="0.3">
      <c r="A143">
        <v>7.8399999999999901</v>
      </c>
      <c r="B143" s="11">
        <v>5.9683338829759099E-14</v>
      </c>
      <c r="D143">
        <v>8.9600000000000009</v>
      </c>
      <c r="E143" s="11">
        <v>1.5237108730474499E-13</v>
      </c>
      <c r="G143">
        <v>10.079999999999901</v>
      </c>
      <c r="H143" s="11">
        <v>7.3413936904378295E-5</v>
      </c>
      <c r="J143">
        <v>11.1999999999999</v>
      </c>
      <c r="K143">
        <v>1.3028012757903801E-2</v>
      </c>
      <c r="V143">
        <v>10.1578623999999</v>
      </c>
      <c r="W143" s="11">
        <v>7.4552479485430595E-5</v>
      </c>
    </row>
    <row r="144" spans="1:23" x14ac:dyDescent="0.3">
      <c r="A144">
        <v>7.8959999999999901</v>
      </c>
      <c r="B144" s="11">
        <v>6.0109648392828796E-14</v>
      </c>
      <c r="D144">
        <v>9.0239999999999991</v>
      </c>
      <c r="E144" s="11">
        <v>1.5345945221406399E-13</v>
      </c>
      <c r="G144">
        <v>10.1519999999999</v>
      </c>
      <c r="H144" s="11">
        <v>2.5059491043653203E-4</v>
      </c>
      <c r="J144">
        <v>11.2799999999999</v>
      </c>
      <c r="K144">
        <v>1.4822983404773201E-2</v>
      </c>
      <c r="V144">
        <v>10.230418559999899</v>
      </c>
      <c r="W144" s="11">
        <v>2.5448127404430898E-4</v>
      </c>
    </row>
    <row r="145" spans="1:23" x14ac:dyDescent="0.3">
      <c r="A145">
        <v>7.9519999999999902</v>
      </c>
      <c r="B145" s="11">
        <v>6.0535957955898405E-14</v>
      </c>
      <c r="D145">
        <v>9.0879999999999992</v>
      </c>
      <c r="E145" s="11">
        <v>1.54547817123384E-13</v>
      </c>
      <c r="G145">
        <v>10.223999999999901</v>
      </c>
      <c r="H145" s="11">
        <v>5.2157757583798901E-4</v>
      </c>
      <c r="J145">
        <v>11.3599999999999</v>
      </c>
      <c r="K145">
        <v>1.6733758609505999E-2</v>
      </c>
      <c r="V145">
        <v>10.3029747199999</v>
      </c>
      <c r="W145" s="11">
        <v>5.2966648925725399E-4</v>
      </c>
    </row>
    <row r="146" spans="1:23" x14ac:dyDescent="0.3">
      <c r="A146">
        <v>8.0079999999999902</v>
      </c>
      <c r="B146" s="11">
        <v>6.0962267518968102E-14</v>
      </c>
      <c r="D146">
        <v>9.1519999999999992</v>
      </c>
      <c r="E146" s="11">
        <v>1.5563618203270299E-13</v>
      </c>
      <c r="G146">
        <v>10.2959999999999</v>
      </c>
      <c r="H146" s="11">
        <v>8.8636193310874902E-4</v>
      </c>
      <c r="J146">
        <v>11.4399999999999</v>
      </c>
      <c r="K146">
        <v>1.8760338372102101E-2</v>
      </c>
      <c r="V146">
        <v>10.3755308799999</v>
      </c>
      <c r="W146" s="11">
        <v>9.0010812512426603E-4</v>
      </c>
    </row>
    <row r="147" spans="1:23" x14ac:dyDescent="0.3">
      <c r="A147">
        <v>8.0639999999999894</v>
      </c>
      <c r="B147" s="11">
        <v>6.13885770820378E-14</v>
      </c>
      <c r="D147">
        <v>9.2159999999999993</v>
      </c>
      <c r="E147" s="11">
        <v>1.56724546942023E-13</v>
      </c>
      <c r="G147">
        <v>10.367999999999901</v>
      </c>
      <c r="H147">
        <v>1.34494798224881E-3</v>
      </c>
      <c r="J147">
        <v>11.5199999999999</v>
      </c>
      <c r="K147">
        <v>2.09027226925616E-2</v>
      </c>
      <c r="V147">
        <v>10.4480870399999</v>
      </c>
      <c r="W147">
        <v>1.3658061816453401E-3</v>
      </c>
    </row>
    <row r="148" spans="1:23" x14ac:dyDescent="0.3">
      <c r="A148">
        <v>8.1199999999999903</v>
      </c>
      <c r="B148" s="11">
        <v>6.1814886645107497E-14</v>
      </c>
      <c r="D148">
        <v>9.2799999999999994</v>
      </c>
      <c r="E148" s="11">
        <v>1.5781291185134199E-13</v>
      </c>
      <c r="G148">
        <v>10.4399999999999</v>
      </c>
      <c r="H148">
        <v>1.8973357232581699E-3</v>
      </c>
      <c r="J148">
        <v>11.5999999999999</v>
      </c>
      <c r="K148">
        <v>2.3160911570884301E-2</v>
      </c>
      <c r="V148">
        <v>10.520643199999901</v>
      </c>
      <c r="W148">
        <v>1.92676065882048E-3</v>
      </c>
    </row>
    <row r="149" spans="1:23" x14ac:dyDescent="0.3">
      <c r="A149">
        <v>8.1759999999999895</v>
      </c>
      <c r="B149" s="11">
        <v>6.2241196208177194E-14</v>
      </c>
      <c r="D149">
        <v>9.3439999999999994</v>
      </c>
      <c r="E149" s="11">
        <v>1.5890127676066099E-13</v>
      </c>
      <c r="G149">
        <v>10.511999999999899</v>
      </c>
      <c r="H149">
        <v>2.54352515613685E-3</v>
      </c>
      <c r="J149">
        <v>11.6799999999999</v>
      </c>
      <c r="K149">
        <v>2.5534905007070501E-2</v>
      </c>
      <c r="V149">
        <v>10.5931993599999</v>
      </c>
      <c r="W149">
        <v>2.5829715566497002E-3</v>
      </c>
    </row>
    <row r="150" spans="1:23" x14ac:dyDescent="0.3">
      <c r="A150">
        <v>8.2319999999999904</v>
      </c>
      <c r="B150" s="11">
        <v>6.2667505771246803E-14</v>
      </c>
      <c r="D150">
        <v>9.4079999999999995</v>
      </c>
      <c r="E150" s="11">
        <v>1.59989641669981E-13</v>
      </c>
      <c r="G150">
        <v>10.5839999999999</v>
      </c>
      <c r="H150">
        <v>3.28351628088482E-3</v>
      </c>
      <c r="J150">
        <v>11.7599999999999</v>
      </c>
      <c r="K150">
        <v>2.8024703001119901E-2</v>
      </c>
      <c r="V150">
        <v>10.6657555199999</v>
      </c>
      <c r="W150">
        <v>3.3344388751329898E-3</v>
      </c>
    </row>
    <row r="151" spans="1:23" x14ac:dyDescent="0.3">
      <c r="A151">
        <v>8.2879999999999896</v>
      </c>
      <c r="B151" s="11">
        <v>6.30938153343165E-14</v>
      </c>
      <c r="D151">
        <v>9.4719999999999995</v>
      </c>
      <c r="E151" s="11">
        <v>1.6107800657929999E-13</v>
      </c>
      <c r="G151">
        <v>10.655999999999899</v>
      </c>
      <c r="H151">
        <v>4.1173090975020997E-3</v>
      </c>
      <c r="J151">
        <v>11.8399999999999</v>
      </c>
      <c r="K151">
        <v>3.06303055530327E-2</v>
      </c>
      <c r="V151">
        <v>10.738311679999899</v>
      </c>
      <c r="W151">
        <v>4.1811626142703399E-3</v>
      </c>
    </row>
    <row r="152" spans="1:23" x14ac:dyDescent="0.3">
      <c r="A152">
        <v>8.3439999999999905</v>
      </c>
      <c r="B152" s="11">
        <v>6.3520124897386198E-14</v>
      </c>
      <c r="D152">
        <v>9.5359999999999996</v>
      </c>
      <c r="E152" s="11">
        <v>1.6216637148862E-13</v>
      </c>
      <c r="G152">
        <v>10.7279999999999</v>
      </c>
      <c r="H152">
        <v>5.0449036059886801E-3</v>
      </c>
      <c r="J152">
        <v>11.9199999999999</v>
      </c>
      <c r="K152">
        <v>3.3351712662808897E-2</v>
      </c>
      <c r="V152">
        <v>10.810867839999901</v>
      </c>
      <c r="W152">
        <v>5.1231427740617702E-3</v>
      </c>
    </row>
    <row r="153" spans="1:23" x14ac:dyDescent="0.3">
      <c r="A153">
        <v>8.3999999999999897</v>
      </c>
      <c r="B153" s="11">
        <v>6.3946434460455895E-14</v>
      </c>
      <c r="D153">
        <v>9.6</v>
      </c>
      <c r="E153" s="11">
        <v>1.6325473639793899E-13</v>
      </c>
      <c r="G153">
        <v>10.799999999999899</v>
      </c>
      <c r="H153">
        <v>6.0662998063445699E-3</v>
      </c>
      <c r="J153">
        <v>11.999999999999901</v>
      </c>
      <c r="K153">
        <v>3.6188924330448298E-2</v>
      </c>
      <c r="V153">
        <v>10.8834239999999</v>
      </c>
      <c r="W153">
        <v>6.16037935450726E-3</v>
      </c>
    </row>
    <row r="154" spans="1:23" x14ac:dyDescent="0.3">
      <c r="A154">
        <v>8.4559999999999906</v>
      </c>
      <c r="B154" s="11">
        <v>6.4372744023525504E-14</v>
      </c>
      <c r="D154">
        <v>9.6639999999999997</v>
      </c>
      <c r="E154" s="11">
        <v>1.6434310130725799E-13</v>
      </c>
      <c r="G154">
        <v>10.8719999999999</v>
      </c>
      <c r="H154">
        <v>7.18149769856975E-3</v>
      </c>
      <c r="J154">
        <v>12.079999999999901</v>
      </c>
      <c r="K154">
        <v>3.9141940555951098E-2</v>
      </c>
      <c r="V154">
        <v>10.9559801599999</v>
      </c>
      <c r="W154">
        <v>7.2928723556068102E-3</v>
      </c>
    </row>
    <row r="155" spans="1:23" x14ac:dyDescent="0.3">
      <c r="A155">
        <v>8.5119999999999898</v>
      </c>
      <c r="B155" s="11">
        <v>6.4799053586595201E-14</v>
      </c>
      <c r="D155">
        <v>9.7279999999999998</v>
      </c>
      <c r="E155" s="11">
        <v>1.65431466216578E-13</v>
      </c>
      <c r="G155">
        <v>10.9439999999999</v>
      </c>
      <c r="H155">
        <v>8.3904972826642395E-3</v>
      </c>
      <c r="J155">
        <v>12.159999999999901</v>
      </c>
      <c r="K155">
        <v>4.2210761339317303E-2</v>
      </c>
      <c r="V155">
        <v>11.028536319999899</v>
      </c>
      <c r="W155">
        <v>8.5206217773604303E-3</v>
      </c>
    </row>
    <row r="156" spans="1:23" x14ac:dyDescent="0.3">
      <c r="A156">
        <v>8.5679999999999907</v>
      </c>
      <c r="B156" s="11">
        <v>6.5225363149664899E-14</v>
      </c>
      <c r="D156">
        <v>9.7919999999999998</v>
      </c>
      <c r="E156" s="11">
        <v>1.6651983112589699E-13</v>
      </c>
      <c r="G156">
        <v>11.015999999999901</v>
      </c>
      <c r="H156">
        <v>9.6932985586280305E-3</v>
      </c>
      <c r="J156">
        <v>12.239999999999901</v>
      </c>
      <c r="K156">
        <v>4.5395386680546802E-2</v>
      </c>
      <c r="V156">
        <v>11.101092479999901</v>
      </c>
      <c r="W156">
        <v>9.8436276197681194E-3</v>
      </c>
    </row>
    <row r="157" spans="1:23" x14ac:dyDescent="0.3">
      <c r="A157">
        <v>8.6239999999999899</v>
      </c>
      <c r="B157" s="11">
        <v>6.5651672712734596E-14</v>
      </c>
      <c r="D157">
        <v>9.8559999999999999</v>
      </c>
      <c r="E157" s="11">
        <v>1.67608196035217E-13</v>
      </c>
      <c r="G157">
        <v>11.0879999999999</v>
      </c>
      <c r="H157">
        <v>1.10899015264611E-2</v>
      </c>
      <c r="J157">
        <v>12.319999999999901</v>
      </c>
      <c r="K157">
        <v>4.8695816579639603E-2</v>
      </c>
      <c r="V157">
        <v>11.1736486399999</v>
      </c>
      <c r="W157">
        <v>1.1261889882829799E-2</v>
      </c>
    </row>
    <row r="158" spans="1:23" x14ac:dyDescent="0.3">
      <c r="A158">
        <v>8.6799999999999908</v>
      </c>
      <c r="B158" s="11">
        <v>6.6077982275804205E-14</v>
      </c>
      <c r="D158">
        <v>9.92</v>
      </c>
      <c r="E158" s="11">
        <v>1.68696560944536E-13</v>
      </c>
      <c r="G158">
        <v>11.159999999999901</v>
      </c>
      <c r="H158">
        <v>1.2580306186163501E-2</v>
      </c>
      <c r="J158">
        <v>12.399999999999901</v>
      </c>
      <c r="K158">
        <v>5.2112051036595802E-2</v>
      </c>
      <c r="V158">
        <v>11.2462047999999</v>
      </c>
      <c r="W158">
        <v>1.2775408566545699E-2</v>
      </c>
    </row>
    <row r="159" spans="1:23" x14ac:dyDescent="0.3">
      <c r="A159">
        <v>8.73599999999999</v>
      </c>
      <c r="B159" s="11">
        <v>6.6504291838873902E-14</v>
      </c>
      <c r="D159">
        <v>9.984</v>
      </c>
      <c r="E159" s="11">
        <v>-2.9573739044106799E-5</v>
      </c>
      <c r="G159">
        <v>11.2319999999999</v>
      </c>
      <c r="H159">
        <v>1.4164512537735201E-2</v>
      </c>
      <c r="J159">
        <v>12.479999999999899</v>
      </c>
      <c r="K159">
        <v>5.5644090051415303E-2</v>
      </c>
      <c r="V159">
        <v>11.318760959999899</v>
      </c>
      <c r="W159">
        <v>1.4384183670915599E-2</v>
      </c>
    </row>
    <row r="160" spans="1:23" x14ac:dyDescent="0.3">
      <c r="A160">
        <v>8.7919999999999892</v>
      </c>
      <c r="B160" s="11">
        <v>6.6930601401943599E-14</v>
      </c>
      <c r="D160">
        <v>10.048</v>
      </c>
      <c r="E160" s="11">
        <v>2.6149526035365501E-6</v>
      </c>
      <c r="G160">
        <v>11.303999999999901</v>
      </c>
      <c r="H160">
        <v>1.58425205811762E-2</v>
      </c>
      <c r="J160">
        <v>12.559999999999899</v>
      </c>
      <c r="K160">
        <v>5.9291933624098098E-2</v>
      </c>
      <c r="V160">
        <v>11.391317119999901</v>
      </c>
      <c r="W160">
        <v>1.60882151959395E-2</v>
      </c>
    </row>
    <row r="161" spans="1:23" x14ac:dyDescent="0.3">
      <c r="A161">
        <v>8.8479999999999901</v>
      </c>
      <c r="B161" s="11">
        <v>6.7356910965013196E-14</v>
      </c>
      <c r="D161">
        <v>10.112</v>
      </c>
      <c r="E161" s="11">
        <v>9.6566075111626605E-5</v>
      </c>
      <c r="G161">
        <v>11.3759999999999</v>
      </c>
      <c r="H161">
        <v>1.7614330316486501E-2</v>
      </c>
      <c r="J161">
        <v>12.639999999999899</v>
      </c>
      <c r="K161">
        <v>6.3055581754644305E-2</v>
      </c>
      <c r="V161">
        <v>11.4638732799999</v>
      </c>
      <c r="W161">
        <v>1.7887503141617599E-2</v>
      </c>
    </row>
    <row r="162" spans="1:23" x14ac:dyDescent="0.3">
      <c r="A162">
        <v>8.9039999999999893</v>
      </c>
      <c r="B162" s="11">
        <v>6.7783220528082906E-14</v>
      </c>
      <c r="D162">
        <v>10.176</v>
      </c>
      <c r="E162" s="11">
        <v>2.5227962848016299E-4</v>
      </c>
      <c r="G162">
        <v>11.447999999999899</v>
      </c>
      <c r="H162">
        <v>1.9479941743666102E-2</v>
      </c>
      <c r="J162">
        <v>12.719999999999899</v>
      </c>
      <c r="K162">
        <v>6.6935034443053903E-2</v>
      </c>
      <c r="V162">
        <v>11.5364294399999</v>
      </c>
      <c r="W162">
        <v>1.97820475079497E-2</v>
      </c>
    </row>
    <row r="163" spans="1:23" x14ac:dyDescent="0.3">
      <c r="A163">
        <v>8.9599999999999902</v>
      </c>
      <c r="B163" s="11">
        <v>6.8209530091152603E-14</v>
      </c>
      <c r="D163">
        <v>10.24</v>
      </c>
      <c r="E163" s="11">
        <v>4.6975561270914701E-4</v>
      </c>
      <c r="G163">
        <v>11.5199999999999</v>
      </c>
      <c r="H163">
        <v>2.1439354862715001E-2</v>
      </c>
      <c r="J163">
        <v>12.799999999999899</v>
      </c>
      <c r="K163">
        <v>7.0930291689326699E-2</v>
      </c>
      <c r="V163">
        <v>11.608985599999899</v>
      </c>
      <c r="W163">
        <v>2.1771848294935801E-2</v>
      </c>
    </row>
    <row r="164" spans="1:23" x14ac:dyDescent="0.3">
      <c r="A164">
        <v>9.0159999999999894</v>
      </c>
      <c r="B164" s="11">
        <v>6.8635839654222199E-14</v>
      </c>
      <c r="D164">
        <v>10.304</v>
      </c>
      <c r="E164" s="11">
        <v>7.7445027162177096E-4</v>
      </c>
      <c r="G164">
        <v>11.591999999999899</v>
      </c>
      <c r="H164">
        <v>2.3492569673633199E-2</v>
      </c>
      <c r="J164">
        <v>12.8799999999999</v>
      </c>
      <c r="K164">
        <v>7.5041353493462901E-2</v>
      </c>
      <c r="V164">
        <v>11.681541759999901</v>
      </c>
      <c r="W164">
        <v>2.38569055025761E-2</v>
      </c>
    </row>
    <row r="165" spans="1:23" x14ac:dyDescent="0.3">
      <c r="A165">
        <v>9.0719999999999903</v>
      </c>
      <c r="B165" s="11">
        <v>6.9062149217291897E-14</v>
      </c>
      <c r="D165">
        <v>10.368</v>
      </c>
      <c r="E165">
        <v>1.1532598475669201E-3</v>
      </c>
      <c r="G165">
        <v>11.6639999999999</v>
      </c>
      <c r="H165">
        <v>2.5639586176420801E-2</v>
      </c>
      <c r="J165">
        <v>12.9599999999999</v>
      </c>
      <c r="K165">
        <v>7.9268219855462396E-2</v>
      </c>
      <c r="V165">
        <v>11.7540979199999</v>
      </c>
      <c r="W165">
        <v>2.6037219130870301E-2</v>
      </c>
    </row>
    <row r="166" spans="1:23" x14ac:dyDescent="0.3">
      <c r="A166">
        <v>9.1279999999999895</v>
      </c>
      <c r="B166" s="11">
        <v>6.9488458780361594E-14</v>
      </c>
      <c r="D166">
        <v>10.432</v>
      </c>
      <c r="E166">
        <v>1.6061843405446199E-3</v>
      </c>
      <c r="G166">
        <v>11.735999999999899</v>
      </c>
      <c r="H166">
        <v>2.78804043710776E-2</v>
      </c>
      <c r="J166">
        <v>13.0399999999999</v>
      </c>
      <c r="K166">
        <v>8.36108907753252E-2</v>
      </c>
      <c r="V166">
        <v>11.8266540799999</v>
      </c>
      <c r="W166">
        <v>2.83127891798187E-2</v>
      </c>
    </row>
    <row r="167" spans="1:23" x14ac:dyDescent="0.3">
      <c r="A167">
        <v>9.1839999999999904</v>
      </c>
      <c r="B167" s="11">
        <v>6.9914768343431304E-14</v>
      </c>
      <c r="D167">
        <v>10.496</v>
      </c>
      <c r="E167">
        <v>2.1332237505548501E-3</v>
      </c>
      <c r="G167">
        <v>11.8079999999999</v>
      </c>
      <c r="H167">
        <v>3.0215024257603799E-2</v>
      </c>
      <c r="J167">
        <v>13.1199999999999</v>
      </c>
      <c r="K167">
        <v>8.8069366253051298E-2</v>
      </c>
      <c r="V167">
        <v>11.899210239999899</v>
      </c>
      <c r="W167">
        <v>3.0683615649421101E-2</v>
      </c>
    </row>
    <row r="168" spans="1:23" x14ac:dyDescent="0.3">
      <c r="A168">
        <v>9.2399999999999896</v>
      </c>
      <c r="B168" s="11">
        <v>7.03410779065009E-14</v>
      </c>
      <c r="D168">
        <v>10.56</v>
      </c>
      <c r="E168">
        <v>2.7343780775976102E-3</v>
      </c>
      <c r="G168">
        <v>11.8799999999999</v>
      </c>
      <c r="H168">
        <v>3.2643445835999201E-2</v>
      </c>
      <c r="J168">
        <v>13.1999999999999</v>
      </c>
      <c r="K168">
        <v>9.2643646288640802E-2</v>
      </c>
      <c r="V168">
        <v>11.9717663999999</v>
      </c>
      <c r="W168">
        <v>3.3149698539677599E-2</v>
      </c>
    </row>
    <row r="169" spans="1:23" x14ac:dyDescent="0.3">
      <c r="A169">
        <v>9.2959999999999905</v>
      </c>
      <c r="B169" s="11">
        <v>7.0767387469570597E-14</v>
      </c>
      <c r="D169">
        <v>10.624000000000001</v>
      </c>
      <c r="E169">
        <v>3.4096473216729201E-3</v>
      </c>
      <c r="G169">
        <v>11.9519999999999</v>
      </c>
      <c r="H169">
        <v>3.5165669106263897E-2</v>
      </c>
      <c r="J169">
        <v>13.2799999999999</v>
      </c>
      <c r="K169">
        <v>9.7333730882093697E-2</v>
      </c>
      <c r="V169">
        <v>12.0443225599999</v>
      </c>
      <c r="W169">
        <v>3.5711037850588198E-2</v>
      </c>
    </row>
    <row r="170" spans="1:23" x14ac:dyDescent="0.3">
      <c r="A170">
        <v>9.3519999999999897</v>
      </c>
      <c r="B170" s="11">
        <v>7.1193697032640295E-14</v>
      </c>
      <c r="D170">
        <v>10.688000000000001</v>
      </c>
      <c r="E170">
        <v>4.1590314827807499E-3</v>
      </c>
      <c r="G170">
        <v>12.0239999999999</v>
      </c>
      <c r="H170">
        <v>3.7781694068398E-2</v>
      </c>
      <c r="J170">
        <v>13.3599999999999</v>
      </c>
      <c r="K170">
        <v>0.102139620033409</v>
      </c>
      <c r="V170">
        <v>12.1168787199999</v>
      </c>
      <c r="W170">
        <v>3.83676335821529E-2</v>
      </c>
    </row>
    <row r="171" spans="1:23" x14ac:dyDescent="0.3">
      <c r="A171">
        <v>9.4079999999999906</v>
      </c>
      <c r="B171" s="11">
        <v>7.1620006595709904E-14</v>
      </c>
      <c r="D171">
        <v>10.752000000000001</v>
      </c>
      <c r="E171">
        <v>4.9825305609211296E-3</v>
      </c>
      <c r="G171">
        <v>12.095999999999901</v>
      </c>
      <c r="H171">
        <v>4.0491520722401302E-2</v>
      </c>
      <c r="J171">
        <v>13.4399999999999</v>
      </c>
      <c r="K171">
        <v>0.107061313742589</v>
      </c>
      <c r="V171">
        <v>12.189434879999901</v>
      </c>
      <c r="W171">
        <v>4.1119485734371602E-2</v>
      </c>
    </row>
    <row r="172" spans="1:23" x14ac:dyDescent="0.3">
      <c r="A172">
        <v>9.4639999999999898</v>
      </c>
      <c r="B172" s="11">
        <v>7.2046316158779601E-14</v>
      </c>
      <c r="D172">
        <v>10.816000000000001</v>
      </c>
      <c r="E172">
        <v>5.8801445560940401E-3</v>
      </c>
      <c r="G172">
        <v>12.1679999999999</v>
      </c>
      <c r="H172">
        <v>4.3295149068274003E-2</v>
      </c>
      <c r="J172">
        <v>13.5199999999999</v>
      </c>
      <c r="K172">
        <v>0.112098812009632</v>
      </c>
      <c r="V172">
        <v>12.2619910399999</v>
      </c>
      <c r="W172">
        <v>4.3966594307244401E-2</v>
      </c>
    </row>
    <row r="173" spans="1:23" x14ac:dyDescent="0.3">
      <c r="A173">
        <v>9.5199999999999907</v>
      </c>
      <c r="B173" s="11">
        <v>7.2472625721849197E-14</v>
      </c>
      <c r="D173">
        <v>10.88</v>
      </c>
      <c r="E173">
        <v>6.85187346829949E-3</v>
      </c>
      <c r="G173">
        <v>12.239999999999901</v>
      </c>
      <c r="H173">
        <v>4.6192579106015902E-2</v>
      </c>
      <c r="J173">
        <v>13.5999999999999</v>
      </c>
      <c r="K173">
        <v>0.117252114834538</v>
      </c>
      <c r="V173">
        <v>12.3345471999999</v>
      </c>
      <c r="W173">
        <v>4.6908959300771297E-2</v>
      </c>
    </row>
    <row r="174" spans="1:23" x14ac:dyDescent="0.3">
      <c r="A174">
        <v>9.5759999999999899</v>
      </c>
      <c r="B174" s="11">
        <v>7.2898935284918895E-14</v>
      </c>
      <c r="D174">
        <v>10.944000000000001</v>
      </c>
      <c r="E174">
        <v>7.8977172975374793E-3</v>
      </c>
      <c r="G174">
        <v>12.3119999999999</v>
      </c>
      <c r="H174">
        <v>4.9183810835627201E-2</v>
      </c>
      <c r="J174">
        <v>13.6799999999999</v>
      </c>
      <c r="K174">
        <v>0.122521222217308</v>
      </c>
      <c r="V174">
        <v>12.407103359999899</v>
      </c>
      <c r="W174">
        <v>4.9946580714952303E-2</v>
      </c>
    </row>
    <row r="175" spans="1:23" x14ac:dyDescent="0.3">
      <c r="A175">
        <v>9.6319999999999908</v>
      </c>
      <c r="B175" s="11">
        <v>7.3325244847988503E-14</v>
      </c>
      <c r="D175">
        <v>11.007999999999999</v>
      </c>
      <c r="E175">
        <v>9.0176760438079994E-3</v>
      </c>
      <c r="G175">
        <v>12.383999999999901</v>
      </c>
      <c r="H175">
        <v>5.2268844257107698E-2</v>
      </c>
      <c r="J175">
        <v>13.7599999999999</v>
      </c>
      <c r="K175">
        <v>0.127906134157941</v>
      </c>
      <c r="V175">
        <v>12.479659519999901</v>
      </c>
      <c r="W175">
        <v>5.3079458549787198E-2</v>
      </c>
    </row>
    <row r="176" spans="1:23" x14ac:dyDescent="0.3">
      <c r="A176">
        <v>9.68799999999999</v>
      </c>
      <c r="B176" s="11">
        <v>7.37515544110581E-14</v>
      </c>
      <c r="D176">
        <v>11.071999999999999</v>
      </c>
      <c r="E176">
        <v>1.0211749707111001E-2</v>
      </c>
      <c r="G176">
        <v>12.4559999999999</v>
      </c>
      <c r="H176">
        <v>5.5447679370457602E-2</v>
      </c>
      <c r="J176">
        <v>13.8399999999999</v>
      </c>
      <c r="K176">
        <v>0.13340685065643701</v>
      </c>
      <c r="V176">
        <v>12.5522156799999</v>
      </c>
      <c r="W176">
        <v>5.6307592805276301E-2</v>
      </c>
    </row>
    <row r="177" spans="1:23" x14ac:dyDescent="0.3">
      <c r="A177">
        <v>9.7439999999999891</v>
      </c>
      <c r="B177" s="11">
        <v>7.4177863974127797E-14</v>
      </c>
      <c r="D177">
        <v>11.135999999999999</v>
      </c>
      <c r="E177">
        <v>1.14799382874466E-2</v>
      </c>
      <c r="G177">
        <v>12.527999999999899</v>
      </c>
      <c r="H177">
        <v>5.8720316175676697E-2</v>
      </c>
      <c r="J177">
        <v>13.9199999999999</v>
      </c>
      <c r="K177">
        <v>0.13902337171279699</v>
      </c>
      <c r="V177">
        <v>12.6247718399999</v>
      </c>
      <c r="W177">
        <v>5.9630983481419403E-2</v>
      </c>
    </row>
    <row r="178" spans="1:23" x14ac:dyDescent="0.3">
      <c r="A178">
        <v>9.7999999999999901</v>
      </c>
      <c r="B178" s="11">
        <v>7.4604173537197406E-14</v>
      </c>
      <c r="D178">
        <v>11.2</v>
      </c>
      <c r="E178">
        <v>1.28222417848148E-2</v>
      </c>
      <c r="G178">
        <v>12.5999999999999</v>
      </c>
      <c r="H178">
        <v>6.2086754672765199E-2</v>
      </c>
      <c r="J178">
        <v>13.999999999999901</v>
      </c>
      <c r="K178">
        <v>0.14475569732702001</v>
      </c>
      <c r="V178">
        <v>12.697327999999899</v>
      </c>
      <c r="W178">
        <v>6.3049630578216595E-2</v>
      </c>
    </row>
    <row r="179" spans="1:23" x14ac:dyDescent="0.3">
      <c r="A179">
        <v>9.8559999999999892</v>
      </c>
      <c r="B179" s="11">
        <v>-1.00325643765973E-5</v>
      </c>
      <c r="D179">
        <v>11.263999999999999</v>
      </c>
      <c r="E179">
        <v>1.42386601992154E-2</v>
      </c>
      <c r="G179">
        <v>12.671999999999899</v>
      </c>
      <c r="H179">
        <v>6.5546994861722996E-2</v>
      </c>
      <c r="J179">
        <v>14.079999999999901</v>
      </c>
      <c r="K179">
        <v>0.150603827499106</v>
      </c>
      <c r="V179">
        <v>12.769884159999901</v>
      </c>
      <c r="W179">
        <v>6.6563534095667801E-2</v>
      </c>
    </row>
    <row r="180" spans="1:23" x14ac:dyDescent="0.3">
      <c r="A180">
        <v>9.9119999999999902</v>
      </c>
      <c r="B180" s="11">
        <v>-1.0607756602293101E-5</v>
      </c>
      <c r="D180">
        <v>11.327999999999999</v>
      </c>
      <c r="E180">
        <v>1.57291935306486E-2</v>
      </c>
      <c r="G180">
        <v>12.7439999999999</v>
      </c>
      <c r="H180">
        <v>6.9101036742550095E-2</v>
      </c>
      <c r="J180">
        <v>14.159999999999901</v>
      </c>
      <c r="K180">
        <v>0.156567762229056</v>
      </c>
      <c r="V180">
        <v>12.8424403199999</v>
      </c>
      <c r="W180">
        <v>7.01726940337732E-2</v>
      </c>
    </row>
    <row r="181" spans="1:23" x14ac:dyDescent="0.3">
      <c r="A181">
        <v>9.9679999999999893</v>
      </c>
      <c r="B181" s="11">
        <v>-1.7255766024831199E-6</v>
      </c>
      <c r="D181">
        <v>11.391999999999999</v>
      </c>
      <c r="E181">
        <v>1.7293841779114302E-2</v>
      </c>
      <c r="G181">
        <v>12.815999999999899</v>
      </c>
      <c r="H181">
        <v>7.2748880315246497E-2</v>
      </c>
      <c r="J181">
        <v>14.239999999999901</v>
      </c>
      <c r="K181">
        <v>0.16264750151686899</v>
      </c>
      <c r="V181">
        <v>12.9149964799999</v>
      </c>
      <c r="W181">
        <v>7.3877110392532599E-2</v>
      </c>
    </row>
    <row r="182" spans="1:23" x14ac:dyDescent="0.3">
      <c r="A182">
        <v>10.0239999999999</v>
      </c>
      <c r="B182" s="11">
        <v>1.6613975622832602E-5</v>
      </c>
      <c r="D182">
        <v>11.456</v>
      </c>
      <c r="E182">
        <v>1.8932604944612599E-2</v>
      </c>
      <c r="G182">
        <v>12.8879999999999</v>
      </c>
      <c r="H182">
        <v>7.6490525579812202E-2</v>
      </c>
      <c r="J182">
        <v>14.319999999999901</v>
      </c>
      <c r="K182">
        <v>0.16884304536254499</v>
      </c>
      <c r="V182">
        <v>12.987552639999899</v>
      </c>
      <c r="W182">
        <v>7.7676783171946095E-2</v>
      </c>
    </row>
    <row r="183" spans="1:23" x14ac:dyDescent="0.3">
      <c r="A183">
        <v>10.079999999999901</v>
      </c>
      <c r="B183" s="11">
        <v>4.4410900073653999E-5</v>
      </c>
      <c r="D183">
        <v>11.52</v>
      </c>
      <c r="E183">
        <v>2.0645483027143401E-2</v>
      </c>
      <c r="G183">
        <v>12.9599999999999</v>
      </c>
      <c r="H183">
        <v>8.0325972536247098E-2</v>
      </c>
      <c r="J183">
        <v>14.399999999999901</v>
      </c>
      <c r="K183">
        <v>0.17515439376608499</v>
      </c>
      <c r="V183">
        <v>13.060108799999901</v>
      </c>
      <c r="W183">
        <v>8.1571712372013605E-2</v>
      </c>
    </row>
    <row r="184" spans="1:23" x14ac:dyDescent="0.3">
      <c r="A184">
        <v>10.1359999999999</v>
      </c>
      <c r="B184" s="11">
        <v>1.5159445196314699E-4</v>
      </c>
      <c r="D184">
        <v>11.584</v>
      </c>
      <c r="E184">
        <v>2.2432476026706699E-2</v>
      </c>
      <c r="G184">
        <v>13.031999999999901</v>
      </c>
      <c r="H184">
        <v>8.4255221184551504E-2</v>
      </c>
      <c r="J184">
        <v>14.479999999999899</v>
      </c>
      <c r="K184">
        <v>0.181581546727488</v>
      </c>
      <c r="V184">
        <v>13.1326649599999</v>
      </c>
      <c r="W184">
        <v>8.5561897992735197E-2</v>
      </c>
    </row>
    <row r="185" spans="1:23" x14ac:dyDescent="0.3">
      <c r="A185">
        <v>10.191999999999901</v>
      </c>
      <c r="B185" s="11">
        <v>3.1552223720567599E-4</v>
      </c>
      <c r="D185">
        <v>11.648</v>
      </c>
      <c r="E185">
        <v>2.42935839433026E-2</v>
      </c>
      <c r="G185">
        <v>13.1039999999999</v>
      </c>
      <c r="H185">
        <v>8.8278271524725102E-2</v>
      </c>
      <c r="J185">
        <v>14.559999999999899</v>
      </c>
      <c r="K185">
        <v>0.188124504246754</v>
      </c>
      <c r="V185">
        <v>13.2052211199999</v>
      </c>
      <c r="W185">
        <v>8.9647340034110803E-2</v>
      </c>
    </row>
    <row r="186" spans="1:23" x14ac:dyDescent="0.3">
      <c r="A186">
        <v>10.2479999999999</v>
      </c>
      <c r="B186" s="11">
        <v>5.3619425580124004E-4</v>
      </c>
      <c r="D186">
        <v>11.712</v>
      </c>
      <c r="E186">
        <v>2.6228806776930999E-2</v>
      </c>
      <c r="G186">
        <v>13.176</v>
      </c>
      <c r="H186">
        <v>9.23951235567681E-2</v>
      </c>
      <c r="J186">
        <v>14.639999999999899</v>
      </c>
      <c r="K186">
        <v>0.19478326632388401</v>
      </c>
      <c r="V186">
        <v>13.277777279999899</v>
      </c>
      <c r="W186">
        <v>9.3828038496140506E-2</v>
      </c>
    </row>
    <row r="187" spans="1:23" x14ac:dyDescent="0.3">
      <c r="A187">
        <v>10.303999999999901</v>
      </c>
      <c r="B187" s="11">
        <v>8.1361050774984096E-4</v>
      </c>
      <c r="D187">
        <v>11.776</v>
      </c>
      <c r="E187">
        <v>2.8238144527592001E-2</v>
      </c>
      <c r="G187">
        <v>13.247999999999999</v>
      </c>
      <c r="H187">
        <v>9.6605777280680399E-2</v>
      </c>
      <c r="J187">
        <v>14.719999999999899</v>
      </c>
      <c r="K187">
        <v>0.201557832958877</v>
      </c>
      <c r="V187">
        <v>13.350333439999901</v>
      </c>
      <c r="W187">
        <v>9.8103993378824306E-2</v>
      </c>
    </row>
    <row r="188" spans="1:23" x14ac:dyDescent="0.3">
      <c r="A188">
        <v>10.3599999999999</v>
      </c>
      <c r="B188">
        <v>1.14777099305147E-3</v>
      </c>
      <c r="D188">
        <v>11.84</v>
      </c>
      <c r="E188">
        <v>3.0321597195285498E-2</v>
      </c>
      <c r="G188">
        <v>13.32</v>
      </c>
      <c r="H188">
        <v>0.100910232696461</v>
      </c>
      <c r="J188">
        <v>14.799999999999899</v>
      </c>
      <c r="K188">
        <v>0.20844820415173301</v>
      </c>
      <c r="V188">
        <v>13.4228895999999</v>
      </c>
      <c r="W188">
        <v>0.10247520468216199</v>
      </c>
    </row>
    <row r="189" spans="1:23" x14ac:dyDescent="0.3">
      <c r="A189">
        <v>10.415999999999899</v>
      </c>
      <c r="B189">
        <v>1.53867571170614E-3</v>
      </c>
      <c r="D189">
        <v>11.904</v>
      </c>
      <c r="E189">
        <v>3.2479164780011498E-2</v>
      </c>
      <c r="G189">
        <v>13.391999999999999</v>
      </c>
      <c r="H189">
        <v>0.105308489804112</v>
      </c>
      <c r="J189">
        <v>14.8799999999999</v>
      </c>
      <c r="K189">
        <v>0.215454379902453</v>
      </c>
      <c r="V189">
        <v>13.4954457599999</v>
      </c>
      <c r="W189">
        <v>0.106941672406154</v>
      </c>
    </row>
    <row r="190" spans="1:23" x14ac:dyDescent="0.3">
      <c r="A190">
        <v>10.4719999999999</v>
      </c>
      <c r="B190">
        <v>1.9863246637138502E-3</v>
      </c>
      <c r="D190">
        <v>11.968</v>
      </c>
      <c r="E190">
        <v>3.4710847281769999E-2</v>
      </c>
      <c r="G190">
        <v>13.464</v>
      </c>
      <c r="H190">
        <v>0.109800548603632</v>
      </c>
      <c r="J190">
        <v>14.9599999999999</v>
      </c>
      <c r="K190">
        <v>0.222576360211036</v>
      </c>
      <c r="V190">
        <v>13.568001919999899</v>
      </c>
      <c r="W190">
        <v>0.11150339655079999</v>
      </c>
    </row>
    <row r="191" spans="1:23" x14ac:dyDescent="0.3">
      <c r="A191">
        <v>10.527999999999899</v>
      </c>
      <c r="B191">
        <v>2.4907178490745901E-3</v>
      </c>
      <c r="D191">
        <v>12.032</v>
      </c>
      <c r="E191">
        <v>3.7016644700561097E-2</v>
      </c>
      <c r="G191">
        <v>13.536</v>
      </c>
      <c r="H191">
        <v>0.114386409095022</v>
      </c>
      <c r="J191">
        <v>15.0399999999999</v>
      </c>
      <c r="K191">
        <v>0.22981414507748199</v>
      </c>
      <c r="V191">
        <v>13.6405580799999</v>
      </c>
      <c r="W191">
        <v>0.1161603771161</v>
      </c>
    </row>
    <row r="192" spans="1:23" x14ac:dyDescent="0.3">
      <c r="A192">
        <v>10.5839999999999</v>
      </c>
      <c r="B192">
        <v>3.0518552677883601E-3</v>
      </c>
      <c r="D192">
        <v>12.096</v>
      </c>
      <c r="E192">
        <v>3.93965570363847E-2</v>
      </c>
      <c r="G192">
        <v>13.608000000000001</v>
      </c>
      <c r="H192">
        <v>0.11906607127828001</v>
      </c>
      <c r="J192">
        <v>15.1199999999999</v>
      </c>
      <c r="K192">
        <v>0.23716773450179199</v>
      </c>
      <c r="V192">
        <v>13.7131142399999</v>
      </c>
      <c r="W192">
        <v>0.12091261410205401</v>
      </c>
    </row>
    <row r="193" spans="1:23" x14ac:dyDescent="0.3">
      <c r="A193">
        <v>10.639999999999899</v>
      </c>
      <c r="B193">
        <v>3.6697369198551702E-3</v>
      </c>
      <c r="D193">
        <v>12.16</v>
      </c>
      <c r="E193">
        <v>4.1850584289240898E-2</v>
      </c>
      <c r="G193">
        <v>13.68</v>
      </c>
      <c r="H193">
        <v>0.123839535153408</v>
      </c>
      <c r="J193">
        <v>15.1999999999999</v>
      </c>
      <c r="K193">
        <v>0.24463712848396499</v>
      </c>
      <c r="V193">
        <v>13.7856703999999</v>
      </c>
      <c r="W193">
        <v>0.12576010750866201</v>
      </c>
    </row>
    <row r="194" spans="1:23" x14ac:dyDescent="0.3">
      <c r="A194">
        <v>10.6959999999999</v>
      </c>
      <c r="B194">
        <v>4.3443628052750203E-3</v>
      </c>
      <c r="D194">
        <v>12.224</v>
      </c>
      <c r="E194">
        <v>4.4378726459129603E-2</v>
      </c>
      <c r="G194">
        <v>13.752000000000001</v>
      </c>
      <c r="H194">
        <v>0.12870680072040599</v>
      </c>
      <c r="J194">
        <v>15.2799999999999</v>
      </c>
      <c r="K194">
        <v>0.25222232702400199</v>
      </c>
      <c r="V194">
        <v>13.858226559999901</v>
      </c>
      <c r="W194">
        <v>0.13070285733592399</v>
      </c>
    </row>
    <row r="195" spans="1:23" x14ac:dyDescent="0.3">
      <c r="A195">
        <v>10.751999999999899</v>
      </c>
      <c r="B195">
        <v>5.0757329240479002E-3</v>
      </c>
      <c r="D195">
        <v>12.288</v>
      </c>
      <c r="E195">
        <v>4.6980983546050799E-2</v>
      </c>
      <c r="G195">
        <v>13.8239999999999</v>
      </c>
      <c r="H195">
        <v>0.13366786797927199</v>
      </c>
      <c r="J195">
        <v>15.3599999999999</v>
      </c>
      <c r="K195">
        <v>0.259923330121901</v>
      </c>
      <c r="V195">
        <v>13.9307827199999</v>
      </c>
      <c r="W195">
        <v>0.13574086358383999</v>
      </c>
    </row>
    <row r="196" spans="1:23" x14ac:dyDescent="0.3">
      <c r="A196">
        <v>10.8079999999999</v>
      </c>
      <c r="B196">
        <v>5.8638472761738296E-3</v>
      </c>
      <c r="D196">
        <v>12.352</v>
      </c>
      <c r="E196">
        <v>4.9657355550004598E-2</v>
      </c>
      <c r="G196">
        <v>13.8959999999999</v>
      </c>
      <c r="H196">
        <v>0.138722736930008</v>
      </c>
      <c r="J196">
        <v>15.4399999999999</v>
      </c>
      <c r="K196">
        <v>0.26774013777766398</v>
      </c>
      <c r="V196">
        <v>14.0033388799999</v>
      </c>
      <c r="W196">
        <v>0.140874126252411</v>
      </c>
    </row>
    <row r="197" spans="1:23" x14ac:dyDescent="0.3">
      <c r="A197">
        <v>10.8639999999999</v>
      </c>
      <c r="B197">
        <v>6.7087058616527801E-3</v>
      </c>
      <c r="D197">
        <v>12.416</v>
      </c>
      <c r="E197">
        <v>5.2407842470990902E-2</v>
      </c>
      <c r="G197">
        <v>13.9679999999999</v>
      </c>
      <c r="H197">
        <v>0.14387140757261399</v>
      </c>
      <c r="J197">
        <v>15.5199999999999</v>
      </c>
      <c r="K197">
        <v>0.27567274999129099</v>
      </c>
      <c r="V197">
        <v>14.075895039999899</v>
      </c>
      <c r="W197">
        <v>0.146102645341635</v>
      </c>
    </row>
    <row r="198" spans="1:23" x14ac:dyDescent="0.3">
      <c r="A198">
        <v>10.9199999999999</v>
      </c>
      <c r="B198">
        <v>7.6103086804847698E-3</v>
      </c>
      <c r="D198">
        <v>12.48</v>
      </c>
      <c r="E198">
        <v>5.5232444309009698E-2</v>
      </c>
      <c r="G198">
        <v>14.04</v>
      </c>
      <c r="H198">
        <v>0.14911387990708799</v>
      </c>
      <c r="J198">
        <v>15.5999999999999</v>
      </c>
      <c r="K198">
        <v>0.28372116676278097</v>
      </c>
      <c r="V198">
        <v>14.148451199999901</v>
      </c>
      <c r="W198">
        <v>0.15142642085151301</v>
      </c>
    </row>
    <row r="199" spans="1:23" x14ac:dyDescent="0.3">
      <c r="A199">
        <v>10.9759999999999</v>
      </c>
      <c r="B199">
        <v>8.5686557326697908E-3</v>
      </c>
      <c r="D199">
        <v>12.544</v>
      </c>
      <c r="E199">
        <v>5.8131161064061097E-2</v>
      </c>
      <c r="G199">
        <v>14.112</v>
      </c>
      <c r="H199">
        <v>0.15445015393343201</v>
      </c>
      <c r="J199">
        <v>15.6799999999999</v>
      </c>
      <c r="K199">
        <v>0.29188538809213399</v>
      </c>
      <c r="V199">
        <v>14.2210073599999</v>
      </c>
      <c r="W199">
        <v>0.15684545278204601</v>
      </c>
    </row>
    <row r="200" spans="1:23" x14ac:dyDescent="0.3">
      <c r="A200">
        <v>11.031999999999901</v>
      </c>
      <c r="B200">
        <v>9.5837470182078398E-3</v>
      </c>
      <c r="D200">
        <v>12.608000000000001</v>
      </c>
      <c r="E200">
        <v>6.1103992736145002E-2</v>
      </c>
      <c r="G200">
        <v>14.1839999999999</v>
      </c>
      <c r="H200">
        <v>0.159880229651645</v>
      </c>
      <c r="J200">
        <v>15.7599999999999</v>
      </c>
      <c r="K200">
        <v>0.30016541397934998</v>
      </c>
      <c r="V200">
        <v>14.2935635199999</v>
      </c>
      <c r="W200">
        <v>0.16235974113323301</v>
      </c>
    </row>
    <row r="201" spans="1:23" x14ac:dyDescent="0.3">
      <c r="A201">
        <v>11.0879999999999</v>
      </c>
      <c r="B201">
        <v>1.06555825370989E-2</v>
      </c>
      <c r="D201">
        <v>12.672000000000001</v>
      </c>
      <c r="E201">
        <v>6.4150939325261502E-2</v>
      </c>
      <c r="G201">
        <v>14.255999999999901</v>
      </c>
      <c r="H201">
        <v>0.16540410706172801</v>
      </c>
      <c r="J201">
        <v>15.8399999999999</v>
      </c>
      <c r="K201">
        <v>0.30856124442443</v>
      </c>
      <c r="V201">
        <v>14.366119679999899</v>
      </c>
      <c r="W201">
        <v>0.16796928590507401</v>
      </c>
    </row>
    <row r="202" spans="1:23" x14ac:dyDescent="0.3">
      <c r="A202">
        <v>11.143999999999901</v>
      </c>
      <c r="B202">
        <v>1.1784162289343E-2</v>
      </c>
      <c r="D202">
        <v>12.736000000000001</v>
      </c>
      <c r="E202">
        <v>6.7272000831410494E-2</v>
      </c>
      <c r="G202">
        <v>14.3279999999999</v>
      </c>
      <c r="H202">
        <v>0.171021786163679</v>
      </c>
      <c r="J202">
        <v>15.9199999999999</v>
      </c>
      <c r="K202">
        <v>0.317072879427373</v>
      </c>
      <c r="V202">
        <v>14.438675839999901</v>
      </c>
      <c r="W202">
        <v>0.17367408709756799</v>
      </c>
    </row>
    <row r="203" spans="1:23" x14ac:dyDescent="0.3">
      <c r="A203">
        <v>11.1999999999999</v>
      </c>
      <c r="B203">
        <v>1.29694862749402E-2</v>
      </c>
      <c r="D203">
        <v>12.8</v>
      </c>
      <c r="E203">
        <v>7.0467177254592103E-2</v>
      </c>
      <c r="G203">
        <v>14.399999999999901</v>
      </c>
      <c r="H203">
        <v>0.176733266957501</v>
      </c>
      <c r="J203">
        <v>15.999999999999901</v>
      </c>
      <c r="K203">
        <v>0.32570031898818003</v>
      </c>
      <c r="V203">
        <v>14.5112319999999</v>
      </c>
      <c r="W203">
        <v>0.17947414471071699</v>
      </c>
    </row>
    <row r="204" spans="1:23" x14ac:dyDescent="0.3">
      <c r="A204">
        <v>11.255999999999901</v>
      </c>
      <c r="B204">
        <v>1.42115544938904E-2</v>
      </c>
      <c r="D204">
        <v>12.864000000000001</v>
      </c>
      <c r="E204">
        <v>7.3736468594806107E-2</v>
      </c>
      <c r="G204">
        <v>14.472</v>
      </c>
      <c r="H204">
        <v>0.18253854944319101</v>
      </c>
      <c r="J204">
        <v>16.079999999999899</v>
      </c>
      <c r="K204">
        <v>0.33444356310684997</v>
      </c>
      <c r="V204">
        <v>14.5837881599999</v>
      </c>
      <c r="W204">
        <v>0.18536945874451999</v>
      </c>
    </row>
    <row r="205" spans="1:23" x14ac:dyDescent="0.3">
      <c r="A205">
        <v>11.3119999999999</v>
      </c>
      <c r="B205">
        <v>1.55103669461936E-2</v>
      </c>
      <c r="D205">
        <v>12.928000000000001</v>
      </c>
      <c r="E205">
        <v>7.7079874852052699E-2</v>
      </c>
      <c r="G205">
        <v>14.543999999999899</v>
      </c>
      <c r="H205">
        <v>0.188437633620751</v>
      </c>
      <c r="J205">
        <v>16.159999999999901</v>
      </c>
      <c r="K205">
        <v>0.343302611783383</v>
      </c>
      <c r="V205">
        <v>14.656344319999899</v>
      </c>
      <c r="W205">
        <v>0.19136002919897699</v>
      </c>
    </row>
    <row r="206" spans="1:23" x14ac:dyDescent="0.3">
      <c r="A206">
        <v>11.367999999999901</v>
      </c>
      <c r="B206">
        <v>1.68659236318499E-2</v>
      </c>
      <c r="D206">
        <v>12.992000000000001</v>
      </c>
      <c r="E206">
        <v>8.0497396026331797E-2</v>
      </c>
      <c r="G206">
        <v>14.6159999999999</v>
      </c>
      <c r="H206">
        <v>0.19443051949018</v>
      </c>
      <c r="J206">
        <v>16.239999999999899</v>
      </c>
      <c r="K206">
        <v>0.35227746501778001</v>
      </c>
      <c r="V206">
        <v>14.728900479999901</v>
      </c>
      <c r="W206">
        <v>0.19744585607408799</v>
      </c>
    </row>
    <row r="207" spans="1:23" x14ac:dyDescent="0.3">
      <c r="A207">
        <v>11.4239999999999</v>
      </c>
      <c r="B207">
        <v>1.8278224550859201E-2</v>
      </c>
      <c r="D207">
        <v>13.055999999999999</v>
      </c>
      <c r="E207">
        <v>8.3989032117643497E-2</v>
      </c>
      <c r="G207">
        <v>14.688000000000001</v>
      </c>
      <c r="H207">
        <v>0.20051720705147799</v>
      </c>
      <c r="J207">
        <v>16.319999999999901</v>
      </c>
      <c r="K207">
        <v>0.36136812281003999</v>
      </c>
      <c r="V207">
        <v>14.8014566399999</v>
      </c>
      <c r="W207">
        <v>0.20362693936985399</v>
      </c>
    </row>
    <row r="208" spans="1:23" x14ac:dyDescent="0.3">
      <c r="A208">
        <v>11.479999999999899</v>
      </c>
      <c r="B208">
        <v>1.97472697032215E-2</v>
      </c>
      <c r="D208">
        <v>13.12</v>
      </c>
      <c r="E208">
        <v>8.7554783125987704E-2</v>
      </c>
      <c r="G208">
        <v>14.76</v>
      </c>
      <c r="H208">
        <v>0.20669769630464599</v>
      </c>
      <c r="J208">
        <v>16.399999999999899</v>
      </c>
      <c r="K208">
        <v>0.37057458516016301</v>
      </c>
      <c r="V208">
        <v>14.8740127999999</v>
      </c>
      <c r="W208">
        <v>0.20990327908627299</v>
      </c>
    </row>
    <row r="209" spans="1:23" x14ac:dyDescent="0.3">
      <c r="A209">
        <v>11.5359999999999</v>
      </c>
      <c r="B209">
        <v>2.12730590889369E-2</v>
      </c>
      <c r="D209">
        <v>13.183999999999999</v>
      </c>
      <c r="E209">
        <v>9.1194649051364401E-2</v>
      </c>
      <c r="G209">
        <v>14.832000000000001</v>
      </c>
      <c r="H209">
        <v>0.212971987249683</v>
      </c>
      <c r="J209">
        <v>16.479999999999901</v>
      </c>
      <c r="K209">
        <v>0.37989685206814899</v>
      </c>
      <c r="V209">
        <v>14.946568959999899</v>
      </c>
      <c r="W209">
        <v>0.21627487522334601</v>
      </c>
    </row>
    <row r="210" spans="1:23" x14ac:dyDescent="0.3">
      <c r="A210">
        <v>11.591999999999899</v>
      </c>
      <c r="B210">
        <v>2.2855592708005301E-2</v>
      </c>
      <c r="D210">
        <v>13.247999999999999</v>
      </c>
      <c r="E210">
        <v>9.4908629893773702E-2</v>
      </c>
      <c r="G210">
        <v>14.9039999999999</v>
      </c>
      <c r="H210">
        <v>0.21934007988658899</v>
      </c>
      <c r="J210">
        <v>16.559999999999899</v>
      </c>
      <c r="K210">
        <v>0.38933492353399901</v>
      </c>
      <c r="V210">
        <v>15.019125119999901</v>
      </c>
      <c r="W210">
        <v>0.22274172778107401</v>
      </c>
    </row>
    <row r="211" spans="1:23" x14ac:dyDescent="0.3">
      <c r="A211">
        <v>11.6479999999999</v>
      </c>
      <c r="B211">
        <v>2.44948705604267E-2</v>
      </c>
      <c r="D211">
        <v>13.311999999999999</v>
      </c>
      <c r="E211">
        <v>9.8696725653215495E-2</v>
      </c>
      <c r="G211">
        <v>14.9759999999999</v>
      </c>
      <c r="H211">
        <v>0.22580197421536399</v>
      </c>
      <c r="J211">
        <v>16.639999999999901</v>
      </c>
      <c r="K211">
        <v>0.398888799557713</v>
      </c>
      <c r="V211">
        <v>15.0916812799999</v>
      </c>
      <c r="W211">
        <v>0.22930383675945501</v>
      </c>
    </row>
    <row r="212" spans="1:23" x14ac:dyDescent="0.3">
      <c r="A212">
        <v>11.703999999999899</v>
      </c>
      <c r="B212">
        <v>2.6190892646201201E-2</v>
      </c>
      <c r="D212">
        <v>13.375999999999999</v>
      </c>
      <c r="E212">
        <v>0.102558936329689</v>
      </c>
      <c r="G212">
        <v>15.047999999999901</v>
      </c>
      <c r="H212">
        <v>0.23235767023600901</v>
      </c>
      <c r="J212">
        <v>16.719999999999899</v>
      </c>
      <c r="K212">
        <v>0.40855848013928903</v>
      </c>
      <c r="V212">
        <v>15.1642374399999</v>
      </c>
      <c r="W212">
        <v>0.23596120215849101</v>
      </c>
    </row>
    <row r="213" spans="1:23" x14ac:dyDescent="0.3">
      <c r="A213">
        <v>11.7599999999999</v>
      </c>
      <c r="B213">
        <v>2.7943658965328699E-2</v>
      </c>
      <c r="D213">
        <v>13.44</v>
      </c>
      <c r="E213">
        <v>0.106495261923196</v>
      </c>
      <c r="G213">
        <v>15.1199999999999</v>
      </c>
      <c r="H213">
        <v>0.239007167948523</v>
      </c>
      <c r="J213">
        <v>16.799999999999901</v>
      </c>
      <c r="K213">
        <v>0.41834396527872902</v>
      </c>
      <c r="V213">
        <v>15.236793599999899</v>
      </c>
      <c r="W213">
        <v>0.242713823978181</v>
      </c>
    </row>
    <row r="214" spans="1:23" x14ac:dyDescent="0.3">
      <c r="A214">
        <v>11.815999999999899</v>
      </c>
      <c r="B214">
        <v>2.9753169517809298E-2</v>
      </c>
      <c r="D214">
        <v>13.504</v>
      </c>
      <c r="E214">
        <v>0.110505702433736</v>
      </c>
      <c r="G214">
        <v>15.191999999999901</v>
      </c>
      <c r="H214">
        <v>0.24575046735290601</v>
      </c>
      <c r="J214">
        <v>16.8799999999999</v>
      </c>
      <c r="K214">
        <v>0.428245254976033</v>
      </c>
      <c r="V214">
        <v>15.3093497599999</v>
      </c>
      <c r="W214">
        <v>0.249561702218524</v>
      </c>
    </row>
    <row r="215" spans="1:23" x14ac:dyDescent="0.3">
      <c r="A215">
        <v>11.8719999999999</v>
      </c>
      <c r="B215">
        <v>3.1619424303642903E-2</v>
      </c>
      <c r="D215">
        <v>13.568</v>
      </c>
      <c r="E215">
        <v>0.114590257861308</v>
      </c>
      <c r="G215">
        <v>15.2639999999999</v>
      </c>
      <c r="H215">
        <v>0.25258756844915897</v>
      </c>
      <c r="J215">
        <v>16.959999999999901</v>
      </c>
      <c r="K215">
        <v>0.438262349231199</v>
      </c>
      <c r="V215">
        <v>15.3819059199999</v>
      </c>
      <c r="W215">
        <v>0.25650483687952202</v>
      </c>
    </row>
    <row r="216" spans="1:23" x14ac:dyDescent="0.3">
      <c r="A216">
        <v>11.9279999999999</v>
      </c>
      <c r="B216">
        <v>3.3542423322829501E-2</v>
      </c>
      <c r="D216">
        <v>13.632</v>
      </c>
      <c r="E216">
        <v>0.118748928205912</v>
      </c>
      <c r="G216">
        <v>15.335999999999901</v>
      </c>
      <c r="H216">
        <v>0.259518471237281</v>
      </c>
      <c r="J216">
        <v>17.0399999999999</v>
      </c>
      <c r="K216">
        <v>0.44839524804422998</v>
      </c>
      <c r="V216">
        <v>15.4544620799999</v>
      </c>
      <c r="W216">
        <v>0.26354322796117402</v>
      </c>
    </row>
    <row r="217" spans="1:23" x14ac:dyDescent="0.3">
      <c r="A217">
        <v>11.983999999999901</v>
      </c>
      <c r="B217">
        <v>3.55221665753691E-2</v>
      </c>
      <c r="D217">
        <v>13.696</v>
      </c>
      <c r="E217">
        <v>0.12298171346754901</v>
      </c>
      <c r="G217">
        <v>15.4079999999999</v>
      </c>
      <c r="H217">
        <v>0.26654317571727298</v>
      </c>
      <c r="J217">
        <v>17.119999999999902</v>
      </c>
      <c r="K217">
        <v>0.45864395141512299</v>
      </c>
      <c r="V217">
        <v>15.527018239999901</v>
      </c>
      <c r="W217">
        <v>0.27067687546347902</v>
      </c>
    </row>
    <row r="218" spans="1:23" x14ac:dyDescent="0.3">
      <c r="A218">
        <v>12.0399999999999</v>
      </c>
      <c r="B218">
        <v>3.7558654061261798E-2</v>
      </c>
      <c r="D218">
        <v>13.76</v>
      </c>
      <c r="E218">
        <v>0.12728861364621899</v>
      </c>
      <c r="G218">
        <v>15.479999999999899</v>
      </c>
      <c r="H218">
        <v>0.27366168188913398</v>
      </c>
      <c r="J218">
        <v>17.1999999999999</v>
      </c>
      <c r="K218">
        <v>0.46900845934388002</v>
      </c>
      <c r="V218">
        <v>15.5995743999999</v>
      </c>
      <c r="W218">
        <v>0.27790577938643901</v>
      </c>
    </row>
    <row r="219" spans="1:23" x14ac:dyDescent="0.3">
      <c r="A219">
        <v>12.095999999999901</v>
      </c>
      <c r="B219">
        <v>3.9651885780507601E-2</v>
      </c>
      <c r="D219">
        <v>13.824</v>
      </c>
      <c r="E219">
        <v>0.13166962874192101</v>
      </c>
      <c r="G219">
        <v>15.5519999999999</v>
      </c>
      <c r="H219">
        <v>0.28087398975286398</v>
      </c>
      <c r="J219">
        <v>17.279999999999902</v>
      </c>
      <c r="K219">
        <v>0.47948877183049998</v>
      </c>
      <c r="V219">
        <v>15.6721305599999</v>
      </c>
      <c r="W219">
        <v>0.28522993973005301</v>
      </c>
    </row>
    <row r="220" spans="1:23" x14ac:dyDescent="0.3">
      <c r="A220">
        <v>12.1519999999999</v>
      </c>
      <c r="B220">
        <v>4.1801861733106398E-2</v>
      </c>
      <c r="D220">
        <v>13.888</v>
      </c>
      <c r="E220">
        <v>0.13612475875465499</v>
      </c>
      <c r="G220">
        <v>15.623999999999899</v>
      </c>
      <c r="H220">
        <v>0.288180099308463</v>
      </c>
      <c r="J220">
        <v>17.3599999999999</v>
      </c>
      <c r="K220">
        <v>0.49008488887498303</v>
      </c>
      <c r="V220">
        <v>15.744686719999899</v>
      </c>
      <c r="W220">
        <v>0.292649356494321</v>
      </c>
    </row>
    <row r="221" spans="1:23" x14ac:dyDescent="0.3">
      <c r="A221">
        <v>12.207999999999901</v>
      </c>
      <c r="B221">
        <v>4.4008581919058203E-2</v>
      </c>
      <c r="D221">
        <v>13.952</v>
      </c>
      <c r="E221">
        <v>0.14065400368442299</v>
      </c>
      <c r="G221">
        <v>15.6959999999999</v>
      </c>
      <c r="H221">
        <v>0.29558001055593103</v>
      </c>
      <c r="J221">
        <v>17.439999999999898</v>
      </c>
      <c r="K221">
        <v>0.50079681047733005</v>
      </c>
      <c r="V221">
        <v>15.817242879999901</v>
      </c>
      <c r="W221">
        <v>0.30016402967924299</v>
      </c>
    </row>
    <row r="222" spans="1:23" x14ac:dyDescent="0.3">
      <c r="A222">
        <v>12.2639999999999</v>
      </c>
      <c r="B222">
        <v>4.6272046338363002E-2</v>
      </c>
      <c r="D222">
        <v>14.016</v>
      </c>
      <c r="E222">
        <v>0.14525736353122201</v>
      </c>
      <c r="G222">
        <v>15.767999999999899</v>
      </c>
      <c r="H222">
        <v>0.30307372349526901</v>
      </c>
      <c r="J222">
        <v>17.5199999999999</v>
      </c>
      <c r="K222">
        <v>0.51162453663754004</v>
      </c>
      <c r="V222">
        <v>15.8897990399999</v>
      </c>
      <c r="W222">
        <v>0.30777395928481999</v>
      </c>
    </row>
    <row r="223" spans="1:23" x14ac:dyDescent="0.3">
      <c r="A223">
        <v>12.319999999999901</v>
      </c>
      <c r="B223">
        <v>4.8592254991020899E-2</v>
      </c>
      <c r="D223">
        <v>14.08</v>
      </c>
      <c r="E223">
        <v>0.149934838295055</v>
      </c>
      <c r="G223">
        <v>15.8399999999999</v>
      </c>
      <c r="H223">
        <v>0.310661238126476</v>
      </c>
      <c r="J223">
        <v>17.599999999999898</v>
      </c>
      <c r="K223">
        <v>0.52256806735561401</v>
      </c>
      <c r="V223">
        <v>15.9623551999999</v>
      </c>
      <c r="W223">
        <v>0.31547914531104998</v>
      </c>
    </row>
    <row r="224" spans="1:23" x14ac:dyDescent="0.3">
      <c r="A224">
        <v>12.3759999999999</v>
      </c>
      <c r="B224">
        <v>5.0969207877031797E-2</v>
      </c>
      <c r="D224">
        <v>14.144</v>
      </c>
      <c r="E224">
        <v>0.154686427975919</v>
      </c>
      <c r="G224">
        <v>15.9119999999999</v>
      </c>
      <c r="H224">
        <v>0.31834255444955201</v>
      </c>
      <c r="J224">
        <v>17.6799999999999</v>
      </c>
      <c r="K224">
        <v>0.53362740263154995</v>
      </c>
      <c r="V224">
        <v>16.034911359999899</v>
      </c>
      <c r="W224">
        <v>0.32327958775793397</v>
      </c>
    </row>
    <row r="225" spans="1:23" x14ac:dyDescent="0.3">
      <c r="A225">
        <v>12.431999999999899</v>
      </c>
      <c r="B225">
        <v>5.3402904996395703E-2</v>
      </c>
      <c r="D225">
        <v>14.208</v>
      </c>
      <c r="E225">
        <v>0.15951213257381699</v>
      </c>
      <c r="G225">
        <v>15.983999999999901</v>
      </c>
      <c r="H225">
        <v>0.32611767246449802</v>
      </c>
      <c r="J225">
        <v>17.759999999999899</v>
      </c>
      <c r="K225">
        <v>0.54480254246534998</v>
      </c>
      <c r="V225">
        <v>16.107467519999901</v>
      </c>
      <c r="W225">
        <v>0.33117528662547302</v>
      </c>
    </row>
    <row r="226" spans="1:23" x14ac:dyDescent="0.3">
      <c r="A226">
        <v>12.4879999999999</v>
      </c>
      <c r="B226">
        <v>5.5893346349112701E-2</v>
      </c>
      <c r="D226">
        <v>14.272</v>
      </c>
      <c r="E226">
        <v>0.16441195208874701</v>
      </c>
      <c r="G226">
        <v>16.055999999999901</v>
      </c>
      <c r="H226">
        <v>0.33398659217131299</v>
      </c>
      <c r="J226">
        <v>17.8399999999999</v>
      </c>
      <c r="K226">
        <v>0.55609348685701399</v>
      </c>
      <c r="V226">
        <v>16.180023679999898</v>
      </c>
      <c r="W226">
        <v>0.33916624191366501</v>
      </c>
    </row>
    <row r="227" spans="1:23" x14ac:dyDescent="0.3">
      <c r="A227">
        <v>12.543999999999899</v>
      </c>
      <c r="B227">
        <v>5.8440531935182699E-2</v>
      </c>
      <c r="D227">
        <v>14.336</v>
      </c>
      <c r="E227">
        <v>0.16938588652070899</v>
      </c>
      <c r="G227">
        <v>16.127999999999901</v>
      </c>
      <c r="H227">
        <v>0.34194931356999803</v>
      </c>
      <c r="J227">
        <v>17.919999999999899</v>
      </c>
      <c r="K227">
        <v>0.56750023580654096</v>
      </c>
      <c r="V227">
        <v>16.2525798399999</v>
      </c>
      <c r="W227">
        <v>0.347252453622512</v>
      </c>
    </row>
    <row r="228" spans="1:23" x14ac:dyDescent="0.3">
      <c r="A228">
        <v>12.5999999999999</v>
      </c>
      <c r="B228">
        <v>6.1044461754605699E-2</v>
      </c>
      <c r="D228">
        <v>14.4</v>
      </c>
      <c r="E228">
        <v>0.17443393586970399</v>
      </c>
      <c r="G228">
        <v>16.2</v>
      </c>
      <c r="H228">
        <v>0.35000583666055102</v>
      </c>
      <c r="J228">
        <v>17.999999999999901</v>
      </c>
      <c r="K228">
        <v>0.57902278931393103</v>
      </c>
      <c r="V228">
        <v>16.325135999999901</v>
      </c>
      <c r="W228">
        <v>0.35543392175201299</v>
      </c>
    </row>
    <row r="229" spans="1:23" x14ac:dyDescent="0.3">
      <c r="A229">
        <v>12.655999999999899</v>
      </c>
      <c r="B229">
        <v>6.3705135807381894E-2</v>
      </c>
      <c r="D229">
        <v>14.464</v>
      </c>
      <c r="E229">
        <v>0.17955610013573101</v>
      </c>
      <c r="G229">
        <v>16.271999999999998</v>
      </c>
      <c r="H229">
        <v>0.35815616144297402</v>
      </c>
      <c r="J229">
        <v>18.079999999999899</v>
      </c>
      <c r="K229">
        <v>0.59066114737918496</v>
      </c>
      <c r="V229">
        <v>16.397692159999998</v>
      </c>
      <c r="W229">
        <v>0.36371064630216798</v>
      </c>
    </row>
    <row r="230" spans="1:23" x14ac:dyDescent="0.3">
      <c r="A230">
        <v>12.7119999999999</v>
      </c>
      <c r="B230">
        <v>6.6422554093510999E-2</v>
      </c>
      <c r="D230">
        <v>14.528</v>
      </c>
      <c r="E230">
        <v>0.18475237931879099</v>
      </c>
      <c r="G230">
        <v>16.343999999999902</v>
      </c>
      <c r="H230">
        <v>0.36640028791726598</v>
      </c>
      <c r="J230">
        <v>18.159999999999901</v>
      </c>
      <c r="K230">
        <v>0.60241531000230197</v>
      </c>
      <c r="V230">
        <v>16.4702483199999</v>
      </c>
      <c r="W230">
        <v>0.37208262727297697</v>
      </c>
    </row>
    <row r="231" spans="1:23" x14ac:dyDescent="0.3">
      <c r="A231">
        <v>12.767999999999899</v>
      </c>
      <c r="B231">
        <v>6.9196716612993203E-2</v>
      </c>
      <c r="D231">
        <v>14.592000000000001</v>
      </c>
      <c r="E231">
        <v>0.19002277341888399</v>
      </c>
      <c r="G231">
        <v>16.415999999999901</v>
      </c>
      <c r="H231">
        <v>0.374738216083428</v>
      </c>
      <c r="J231">
        <v>18.239999999999899</v>
      </c>
      <c r="K231">
        <v>0.61428527718328196</v>
      </c>
      <c r="V231">
        <v>16.542804479999901</v>
      </c>
      <c r="W231">
        <v>0.38054986466443902</v>
      </c>
    </row>
    <row r="232" spans="1:23" x14ac:dyDescent="0.3">
      <c r="A232">
        <v>12.8239999999999</v>
      </c>
      <c r="B232">
        <v>7.2027623365828394E-2</v>
      </c>
      <c r="D232">
        <v>14.656000000000001</v>
      </c>
      <c r="E232">
        <v>0.19536728243600901</v>
      </c>
      <c r="G232">
        <v>16.4879999999999</v>
      </c>
      <c r="H232">
        <v>0.38316994594145898</v>
      </c>
      <c r="J232">
        <v>18.319999999999901</v>
      </c>
      <c r="K232">
        <v>0.62627104892212604</v>
      </c>
      <c r="V232">
        <v>16.615360639999899</v>
      </c>
      <c r="W232">
        <v>0.38911235847655701</v>
      </c>
    </row>
    <row r="233" spans="1:23" x14ac:dyDescent="0.3">
      <c r="A233">
        <v>12.8799999999999</v>
      </c>
      <c r="B233">
        <v>7.49152743520166E-2</v>
      </c>
      <c r="D233">
        <v>14.72</v>
      </c>
      <c r="E233">
        <v>0.200785906370166</v>
      </c>
      <c r="G233">
        <v>16.559999999999999</v>
      </c>
      <c r="H233">
        <v>0.39169547749135902</v>
      </c>
      <c r="J233">
        <v>18.399999999999899</v>
      </c>
      <c r="K233">
        <v>0.63837262521883298</v>
      </c>
      <c r="V233">
        <v>16.687916799999901</v>
      </c>
      <c r="W233">
        <v>0.397770108709328</v>
      </c>
    </row>
    <row r="234" spans="1:23" x14ac:dyDescent="0.3">
      <c r="A234">
        <v>12.936</v>
      </c>
      <c r="B234">
        <v>7.7859669571557794E-2</v>
      </c>
      <c r="D234">
        <v>14.784000000000001</v>
      </c>
      <c r="E234">
        <v>0.206278645221357</v>
      </c>
      <c r="G234">
        <v>16.631999999999898</v>
      </c>
      <c r="H234">
        <v>0.40031481073312802</v>
      </c>
      <c r="J234">
        <v>18.479999999999901</v>
      </c>
      <c r="K234">
        <v>0.650590006073403</v>
      </c>
      <c r="V234">
        <v>16.760472959999898</v>
      </c>
      <c r="W234">
        <v>0.40652311536275298</v>
      </c>
    </row>
    <row r="235" spans="1:23" x14ac:dyDescent="0.3">
      <c r="A235">
        <v>12.9919999999999</v>
      </c>
      <c r="B235">
        <v>8.0860809024452099E-2</v>
      </c>
      <c r="D235">
        <v>14.848000000000001</v>
      </c>
      <c r="E235">
        <v>0.211845498989579</v>
      </c>
      <c r="G235">
        <v>16.704000000000001</v>
      </c>
      <c r="H235">
        <v>0.40902794566676698</v>
      </c>
      <c r="J235">
        <v>18.559999999999899</v>
      </c>
      <c r="K235">
        <v>0.66292319148583601</v>
      </c>
      <c r="V235">
        <v>16.833029119999999</v>
      </c>
      <c r="W235">
        <v>0.41537137843683197</v>
      </c>
    </row>
    <row r="236" spans="1:23" x14ac:dyDescent="0.3">
      <c r="A236">
        <v>13.047999999999901</v>
      </c>
      <c r="B236">
        <v>8.3918692710699405E-2</v>
      </c>
      <c r="D236">
        <v>14.9119999999999</v>
      </c>
      <c r="E236">
        <v>0.21748646767483501</v>
      </c>
      <c r="G236">
        <v>16.7759999999999</v>
      </c>
      <c r="H236">
        <v>0.417834882292275</v>
      </c>
      <c r="J236">
        <v>18.639999999999901</v>
      </c>
      <c r="K236">
        <v>0.67537218145613398</v>
      </c>
      <c r="V236">
        <v>16.905585279999901</v>
      </c>
      <c r="W236">
        <v>0.42431489793156502</v>
      </c>
    </row>
    <row r="237" spans="1:23" x14ac:dyDescent="0.3">
      <c r="A237">
        <v>13.1039999999999</v>
      </c>
      <c r="B237">
        <v>8.7033320630299699E-2</v>
      </c>
      <c r="D237">
        <v>14.976000000000001</v>
      </c>
      <c r="E237">
        <v>0.22320155127712299</v>
      </c>
      <c r="G237">
        <v>16.847999999999999</v>
      </c>
      <c r="H237">
        <v>0.42673562060965198</v>
      </c>
      <c r="J237">
        <v>18.719999999999899</v>
      </c>
      <c r="K237">
        <v>0.68793697598429404</v>
      </c>
      <c r="V237">
        <v>16.978141439999899</v>
      </c>
      <c r="W237">
        <v>0.433353673846952</v>
      </c>
    </row>
    <row r="238" spans="1:23" x14ac:dyDescent="0.3">
      <c r="A238">
        <v>13.159999999999901</v>
      </c>
      <c r="B238">
        <v>9.0204692783252993E-2</v>
      </c>
      <c r="D238">
        <v>15.04</v>
      </c>
      <c r="E238">
        <v>0.22899074979644299</v>
      </c>
      <c r="G238">
        <v>16.919999999999899</v>
      </c>
      <c r="H238">
        <v>0.43573016061889802</v>
      </c>
      <c r="J238">
        <v>18.799999999999901</v>
      </c>
      <c r="K238">
        <v>0.70061757507031797</v>
      </c>
      <c r="V238">
        <v>17.0506975999999</v>
      </c>
      <c r="W238">
        <v>0.44248770618299399</v>
      </c>
    </row>
    <row r="239" spans="1:23" x14ac:dyDescent="0.3">
      <c r="A239">
        <v>13.2159999999999</v>
      </c>
      <c r="B239">
        <v>9.34328091695594E-2</v>
      </c>
      <c r="D239">
        <v>15.103999999999999</v>
      </c>
      <c r="E239">
        <v>0.23485406323279601</v>
      </c>
      <c r="G239">
        <v>16.991999999999901</v>
      </c>
      <c r="H239">
        <v>0.44481850232001402</v>
      </c>
      <c r="J239">
        <v>18.8799999999999</v>
      </c>
      <c r="K239">
        <v>0.71341397871420498</v>
      </c>
      <c r="V239">
        <v>17.123253759999901</v>
      </c>
      <c r="W239">
        <v>0.45171699493968898</v>
      </c>
    </row>
    <row r="240" spans="1:23" x14ac:dyDescent="0.3">
      <c r="A240">
        <v>13.271999999999901</v>
      </c>
      <c r="B240">
        <v>9.6717669789218905E-2</v>
      </c>
      <c r="D240">
        <v>15.167999999999999</v>
      </c>
      <c r="E240">
        <v>0.24079149158618099</v>
      </c>
      <c r="G240">
        <v>17.063999999999901</v>
      </c>
      <c r="H240">
        <v>0.45400064571299897</v>
      </c>
      <c r="J240">
        <v>18.959999999999901</v>
      </c>
      <c r="K240">
        <v>0.72632618691595596</v>
      </c>
      <c r="V240">
        <v>17.195809919999899</v>
      </c>
      <c r="W240">
        <v>0.46104154011703802</v>
      </c>
    </row>
    <row r="241" spans="1:23" x14ac:dyDescent="0.3">
      <c r="A241">
        <v>13.3279999999999</v>
      </c>
      <c r="B241">
        <v>0.10005927464223099</v>
      </c>
      <c r="D241">
        <v>15.231999999999999</v>
      </c>
      <c r="E241">
        <v>0.24680303485659899</v>
      </c>
      <c r="G241">
        <v>17.1359999999999</v>
      </c>
      <c r="H241">
        <v>0.46327659079785399</v>
      </c>
      <c r="J241">
        <v>19.0399999999999</v>
      </c>
      <c r="K241">
        <v>0.73935419967557003</v>
      </c>
      <c r="V241">
        <v>17.2683660799999</v>
      </c>
      <c r="W241">
        <v>0.470461341715041</v>
      </c>
    </row>
    <row r="242" spans="1:23" x14ac:dyDescent="0.3">
      <c r="A242">
        <v>13.383999999999901</v>
      </c>
      <c r="B242">
        <v>0.103457623728596</v>
      </c>
      <c r="D242">
        <v>15.295999999999999</v>
      </c>
      <c r="E242">
        <v>0.25288869304404898</v>
      </c>
      <c r="G242">
        <v>17.207999999999899</v>
      </c>
      <c r="H242">
        <v>0.47264633757457802</v>
      </c>
      <c r="J242">
        <v>19.119999999999902</v>
      </c>
      <c r="K242">
        <v>0.75249801699304697</v>
      </c>
      <c r="V242">
        <v>17.340922239999902</v>
      </c>
      <c r="W242">
        <v>0.47997639973369899</v>
      </c>
    </row>
    <row r="243" spans="1:23" x14ac:dyDescent="0.3">
      <c r="A243">
        <v>13.4399999999999</v>
      </c>
      <c r="B243">
        <v>0.106912717048315</v>
      </c>
      <c r="D243">
        <v>15.36</v>
      </c>
      <c r="E243">
        <v>0.259048466148532</v>
      </c>
      <c r="G243">
        <v>17.279999999999902</v>
      </c>
      <c r="H243">
        <v>0.48210988604317101</v>
      </c>
      <c r="J243">
        <v>19.1999999999999</v>
      </c>
      <c r="K243">
        <v>0.76575763886838799</v>
      </c>
      <c r="V243">
        <v>17.413478399999899</v>
      </c>
      <c r="W243">
        <v>0.48958671417300997</v>
      </c>
    </row>
    <row r="244" spans="1:23" x14ac:dyDescent="0.3">
      <c r="A244">
        <v>13.495999999999899</v>
      </c>
      <c r="B244">
        <v>0.110424554601387</v>
      </c>
      <c r="D244">
        <v>15.423999999999999</v>
      </c>
      <c r="E244">
        <v>0.26528235417004797</v>
      </c>
      <c r="G244">
        <v>17.351999999999901</v>
      </c>
      <c r="H244">
        <v>0.49166723620363301</v>
      </c>
      <c r="J244">
        <v>19.279999999999902</v>
      </c>
      <c r="K244">
        <v>0.77913306530159099</v>
      </c>
      <c r="V244">
        <v>17.486034559999901</v>
      </c>
      <c r="W244">
        <v>0.49929228503297601</v>
      </c>
    </row>
    <row r="245" spans="1:23" x14ac:dyDescent="0.3">
      <c r="A245">
        <v>13.5519999999999</v>
      </c>
      <c r="B245">
        <v>0.113993136387811</v>
      </c>
      <c r="D245">
        <v>15.488</v>
      </c>
      <c r="E245">
        <v>0.27159035710859603</v>
      </c>
      <c r="G245">
        <v>17.4239999999999</v>
      </c>
      <c r="H245">
        <v>0.50131838805596496</v>
      </c>
      <c r="J245">
        <v>19.3599999999999</v>
      </c>
      <c r="K245">
        <v>0.79262429629265796</v>
      </c>
      <c r="V245">
        <v>17.558590719999899</v>
      </c>
      <c r="W245">
        <v>0.509093112313595</v>
      </c>
    </row>
    <row r="246" spans="1:23" x14ac:dyDescent="0.3">
      <c r="A246">
        <v>13.607999999999899</v>
      </c>
      <c r="B246">
        <v>0.117618462407589</v>
      </c>
      <c r="D246">
        <v>15.552</v>
      </c>
      <c r="E246">
        <v>0.27797247496417599</v>
      </c>
      <c r="G246">
        <v>17.495999999999999</v>
      </c>
      <c r="H246">
        <v>0.51106334160016598</v>
      </c>
      <c r="J246">
        <v>19.439999999999898</v>
      </c>
      <c r="K246">
        <v>0.80623133184158902</v>
      </c>
      <c r="V246">
        <v>17.6311468799999</v>
      </c>
      <c r="W246">
        <v>0.51898919601486904</v>
      </c>
    </row>
    <row r="247" spans="1:23" x14ac:dyDescent="0.3">
      <c r="A247">
        <v>13.6639999999999</v>
      </c>
      <c r="B247">
        <v>0.121300532660719</v>
      </c>
      <c r="D247">
        <v>15.616</v>
      </c>
      <c r="E247">
        <v>0.28442870773679002</v>
      </c>
      <c r="G247">
        <v>17.567999999999898</v>
      </c>
      <c r="H247">
        <v>0.52090209683623601</v>
      </c>
      <c r="J247">
        <v>19.5199999999999</v>
      </c>
      <c r="K247">
        <v>0.81995417194838205</v>
      </c>
      <c r="V247">
        <v>17.703703039999901</v>
      </c>
      <c r="W247">
        <v>0.52898053613679696</v>
      </c>
    </row>
    <row r="248" spans="1:23" x14ac:dyDescent="0.3">
      <c r="A248">
        <v>13.719999999999899</v>
      </c>
      <c r="B248">
        <v>0.12503934714720299</v>
      </c>
      <c r="D248">
        <v>15.68</v>
      </c>
      <c r="E248">
        <v>0.29095905542643502</v>
      </c>
      <c r="G248">
        <v>17.639999999999901</v>
      </c>
      <c r="H248">
        <v>0.53083465376417605</v>
      </c>
      <c r="J248">
        <v>19.599999999999898</v>
      </c>
      <c r="K248">
        <v>0.83379281661303895</v>
      </c>
      <c r="V248">
        <v>17.776259199999899</v>
      </c>
      <c r="W248">
        <v>0.539067132679378</v>
      </c>
    </row>
    <row r="249" spans="1:23" x14ac:dyDescent="0.3">
      <c r="A249">
        <v>13.7759999999999</v>
      </c>
      <c r="B249">
        <v>0.12883490586703999</v>
      </c>
      <c r="D249">
        <v>15.744</v>
      </c>
      <c r="E249">
        <v>0.29756351803311398</v>
      </c>
      <c r="G249">
        <v>17.7119999999999</v>
      </c>
      <c r="H249">
        <v>0.54086101238398498</v>
      </c>
      <c r="J249">
        <v>19.6799999999999</v>
      </c>
      <c r="K249">
        <v>0.84774726583556004</v>
      </c>
      <c r="V249">
        <v>17.8488153599999</v>
      </c>
      <c r="W249">
        <v>0.54924898564261404</v>
      </c>
    </row>
    <row r="250" spans="1:23" x14ac:dyDescent="0.3">
      <c r="A250">
        <v>13.831999999999899</v>
      </c>
      <c r="B250">
        <v>0.13268720882023</v>
      </c>
      <c r="D250">
        <v>15.808</v>
      </c>
      <c r="E250">
        <v>0.30424209555682402</v>
      </c>
      <c r="G250">
        <v>17.783999999999999</v>
      </c>
      <c r="H250">
        <v>0.55098117269566305</v>
      </c>
      <c r="J250">
        <v>19.759999999999899</v>
      </c>
      <c r="K250">
        <v>0.86181751961594399</v>
      </c>
      <c r="V250">
        <v>17.921371519999902</v>
      </c>
      <c r="W250">
        <v>0.55952609502650397</v>
      </c>
    </row>
    <row r="251" spans="1:23" x14ac:dyDescent="0.3">
      <c r="A251">
        <v>13.8879999999999</v>
      </c>
      <c r="B251">
        <v>0.136596256006772</v>
      </c>
      <c r="D251">
        <v>15.872</v>
      </c>
      <c r="E251">
        <v>0.31099478799756802</v>
      </c>
      <c r="G251">
        <v>17.855999999999899</v>
      </c>
      <c r="H251">
        <v>0.56119513469921001</v>
      </c>
      <c r="J251">
        <v>19.8399999999999</v>
      </c>
      <c r="K251">
        <v>0.87600357795419104</v>
      </c>
      <c r="V251">
        <v>17.993927679999899</v>
      </c>
      <c r="W251">
        <v>0.569898460831048</v>
      </c>
    </row>
    <row r="252" spans="1:23" x14ac:dyDescent="0.3">
      <c r="A252">
        <v>13.9439999999999</v>
      </c>
      <c r="B252">
        <v>0.140562047426668</v>
      </c>
      <c r="D252">
        <v>15.936</v>
      </c>
      <c r="E252">
        <v>0.31782159535534399</v>
      </c>
      <c r="G252">
        <v>17.928000000000001</v>
      </c>
      <c r="H252">
        <v>0.57150289839462698</v>
      </c>
      <c r="J252">
        <v>19.919999999999899</v>
      </c>
      <c r="K252">
        <v>0.89030544085030205</v>
      </c>
      <c r="V252">
        <v>18.066483839999901</v>
      </c>
      <c r="W252">
        <v>0.58036608305624504</v>
      </c>
    </row>
    <row r="253" spans="1:23" x14ac:dyDescent="0.3">
      <c r="A253">
        <v>13.999999999999901</v>
      </c>
      <c r="B253">
        <v>0.14458458307991701</v>
      </c>
      <c r="D253">
        <v>16</v>
      </c>
      <c r="E253">
        <v>0.32472251763015197</v>
      </c>
      <c r="G253">
        <v>18</v>
      </c>
      <c r="H253">
        <v>0.58190446378191296</v>
      </c>
      <c r="J253">
        <v>19.999999999999901</v>
      </c>
      <c r="K253">
        <v>0.90472310830427605</v>
      </c>
      <c r="V253">
        <v>18.139039999999898</v>
      </c>
      <c r="W253">
        <v>0.59092896170209697</v>
      </c>
    </row>
    <row r="254" spans="1:23" x14ac:dyDescent="0.3">
      <c r="A254">
        <v>14.0559999999999</v>
      </c>
      <c r="B254">
        <v>0.14860711873316601</v>
      </c>
      <c r="D254">
        <v>16.064</v>
      </c>
      <c r="E254">
        <v>0.33162343990496002</v>
      </c>
      <c r="G254">
        <v>18.071999999999999</v>
      </c>
      <c r="H254">
        <v>0.59230602916919906</v>
      </c>
      <c r="J254">
        <v>20.079999999999899</v>
      </c>
      <c r="K254">
        <v>0.91914077575825004</v>
      </c>
      <c r="V254">
        <v>18.2115961599999</v>
      </c>
      <c r="W254">
        <v>0.601491840347949</v>
      </c>
    </row>
    <row r="255" spans="1:23" x14ac:dyDescent="0.3">
      <c r="A255">
        <v>14.111999999999901</v>
      </c>
      <c r="B255">
        <v>0.15257291015306201</v>
      </c>
      <c r="D255">
        <v>16.128</v>
      </c>
      <c r="E255">
        <v>0.33845024726273598</v>
      </c>
      <c r="G255">
        <v>18.143999999999998</v>
      </c>
      <c r="H255">
        <v>0.60261379286461603</v>
      </c>
      <c r="J255">
        <v>20.159999999999901</v>
      </c>
      <c r="K255">
        <v>0.93344263865436095</v>
      </c>
      <c r="V255">
        <v>18.284152319999901</v>
      </c>
      <c r="W255">
        <v>0.61195946257314704</v>
      </c>
    </row>
    <row r="256" spans="1:23" x14ac:dyDescent="0.3">
      <c r="A256">
        <v>14.1679999999999</v>
      </c>
      <c r="B256">
        <v>0.15648195733960499</v>
      </c>
      <c r="D256">
        <v>16.192</v>
      </c>
      <c r="E256">
        <v>0.34520293970347898</v>
      </c>
      <c r="G256">
        <v>18.215999999999902</v>
      </c>
      <c r="H256">
        <v>0.61282775486816299</v>
      </c>
      <c r="J256">
        <v>20.239999999999899</v>
      </c>
      <c r="K256">
        <v>0.94762869699260899</v>
      </c>
      <c r="V256">
        <v>18.356708479999899</v>
      </c>
      <c r="W256">
        <v>0.62233182837768997</v>
      </c>
    </row>
    <row r="257" spans="1:23" x14ac:dyDescent="0.3">
      <c r="A257">
        <v>14.223999999999901</v>
      </c>
      <c r="B257">
        <v>0.16033426029279399</v>
      </c>
      <c r="D257">
        <v>16.256</v>
      </c>
      <c r="E257">
        <v>0.35188151722719002</v>
      </c>
      <c r="G257">
        <v>18.287999999999901</v>
      </c>
      <c r="H257">
        <v>0.62294791517984105</v>
      </c>
      <c r="J257">
        <v>20.319999999999901</v>
      </c>
      <c r="K257">
        <v>0.96169895077299306</v>
      </c>
      <c r="V257">
        <v>18.4292646399999</v>
      </c>
      <c r="W257">
        <v>0.63260893776158</v>
      </c>
    </row>
    <row r="258" spans="1:23" x14ac:dyDescent="0.3">
      <c r="A258">
        <v>14.2799999999999</v>
      </c>
      <c r="B258">
        <v>0.16412981901263099</v>
      </c>
      <c r="D258">
        <v>16.32</v>
      </c>
      <c r="E258">
        <v>0.35848597983386798</v>
      </c>
      <c r="G258">
        <v>18.3599999999999</v>
      </c>
      <c r="H258">
        <v>0.63297427379964999</v>
      </c>
      <c r="J258">
        <v>20.399999999999899</v>
      </c>
      <c r="K258">
        <v>0.97565339999551404</v>
      </c>
      <c r="V258">
        <v>18.501820799999901</v>
      </c>
      <c r="W258">
        <v>0.64279079072481504</v>
      </c>
    </row>
    <row r="259" spans="1:23" x14ac:dyDescent="0.3">
      <c r="A259">
        <v>14.335999999999901</v>
      </c>
      <c r="B259">
        <v>0.16786863349911499</v>
      </c>
      <c r="D259">
        <v>16.384</v>
      </c>
      <c r="E259">
        <v>0.36501632752351298</v>
      </c>
      <c r="G259">
        <v>18.431999999999999</v>
      </c>
      <c r="H259">
        <v>0.64290683072758903</v>
      </c>
      <c r="J259">
        <v>20.479999999999901</v>
      </c>
      <c r="K259">
        <v>0.98949204466017204</v>
      </c>
      <c r="V259">
        <v>18.574376959999899</v>
      </c>
      <c r="W259">
        <v>0.65287738726739697</v>
      </c>
    </row>
    <row r="260" spans="1:23" x14ac:dyDescent="0.3">
      <c r="A260">
        <v>14.3919999999999</v>
      </c>
      <c r="B260">
        <v>0.17155070375224599</v>
      </c>
      <c r="D260">
        <v>16.448</v>
      </c>
      <c r="E260">
        <v>0.37147256029612602</v>
      </c>
      <c r="G260">
        <v>18.503999999999898</v>
      </c>
      <c r="H260">
        <v>0.65274558596365895</v>
      </c>
      <c r="J260">
        <v>20.559999999999899</v>
      </c>
      <c r="K260">
        <v>1.00321488476696</v>
      </c>
      <c r="V260">
        <v>18.6469331199999</v>
      </c>
      <c r="W260">
        <v>0.66286872738932401</v>
      </c>
    </row>
    <row r="261" spans="1:23" x14ac:dyDescent="0.3">
      <c r="A261">
        <v>14.447999999999899</v>
      </c>
      <c r="B261">
        <v>0.17517602977202301</v>
      </c>
      <c r="D261">
        <v>16.512</v>
      </c>
      <c r="E261">
        <v>0.37785467815170698</v>
      </c>
      <c r="G261">
        <v>18.575999999999901</v>
      </c>
      <c r="H261">
        <v>0.66249053950785997</v>
      </c>
      <c r="J261">
        <v>20.639999999999901</v>
      </c>
      <c r="K261">
        <v>1.0168219203158899</v>
      </c>
      <c r="V261">
        <v>18.719489279999902</v>
      </c>
      <c r="W261">
        <v>0.67276481109059705</v>
      </c>
    </row>
    <row r="262" spans="1:23" x14ac:dyDescent="0.3">
      <c r="A262">
        <v>14.5039999999999</v>
      </c>
      <c r="B262">
        <v>0.17874461155844801</v>
      </c>
      <c r="D262">
        <v>16.576000000000001</v>
      </c>
      <c r="E262">
        <v>0.38416268109025498</v>
      </c>
      <c r="G262">
        <v>18.6479999999999</v>
      </c>
      <c r="H262">
        <v>0.67214169136019197</v>
      </c>
      <c r="J262">
        <v>20.719999999999899</v>
      </c>
      <c r="K262">
        <v>1.0303131513069601</v>
      </c>
      <c r="V262">
        <v>18.7920454399999</v>
      </c>
      <c r="W262">
        <v>0.68256563837121598</v>
      </c>
    </row>
    <row r="263" spans="1:23" x14ac:dyDescent="0.3">
      <c r="A263">
        <v>14.559999999999899</v>
      </c>
      <c r="B263">
        <v>0.182256449111519</v>
      </c>
      <c r="D263">
        <v>16.64</v>
      </c>
      <c r="E263">
        <v>0.39039656911177001</v>
      </c>
      <c r="G263">
        <v>18.719999999999899</v>
      </c>
      <c r="H263">
        <v>0.68169904152065397</v>
      </c>
      <c r="J263">
        <v>20.799999999999901</v>
      </c>
      <c r="K263">
        <v>1.0436885777401601</v>
      </c>
      <c r="V263">
        <v>18.864601599999901</v>
      </c>
      <c r="W263">
        <v>0.69227120923118202</v>
      </c>
    </row>
    <row r="264" spans="1:23" x14ac:dyDescent="0.3">
      <c r="A264">
        <v>14.6159999999999</v>
      </c>
      <c r="B264">
        <v>0.185711542431238</v>
      </c>
      <c r="D264">
        <v>16.704000000000001</v>
      </c>
      <c r="E264">
        <v>0.39655634221625302</v>
      </c>
      <c r="G264">
        <v>18.791999999999899</v>
      </c>
      <c r="H264">
        <v>0.69116258998924796</v>
      </c>
      <c r="J264">
        <v>20.8799999999999</v>
      </c>
      <c r="K264">
        <v>1.0569481996154999</v>
      </c>
      <c r="V264">
        <v>18.937157759999899</v>
      </c>
      <c r="W264">
        <v>0.70188152367049295</v>
      </c>
    </row>
    <row r="265" spans="1:23" x14ac:dyDescent="0.3">
      <c r="A265">
        <v>14.671999999999899</v>
      </c>
      <c r="B265">
        <v>0.18910989151760399</v>
      </c>
      <c r="D265">
        <v>16.768000000000001</v>
      </c>
      <c r="E265">
        <v>0.40264200040370302</v>
      </c>
      <c r="G265">
        <v>18.863999999999901</v>
      </c>
      <c r="H265">
        <v>0.70053233676597104</v>
      </c>
      <c r="J265">
        <v>20.959999999999901</v>
      </c>
      <c r="K265">
        <v>1.07009201693298</v>
      </c>
      <c r="V265">
        <v>19.0097139199999</v>
      </c>
      <c r="W265">
        <v>0.71139658168914899</v>
      </c>
    </row>
    <row r="266" spans="1:23" x14ac:dyDescent="0.3">
      <c r="A266">
        <v>14.7279999999999</v>
      </c>
      <c r="B266">
        <v>0.19245149637061601</v>
      </c>
      <c r="D266">
        <v>16.832000000000001</v>
      </c>
      <c r="E266">
        <v>0.40865354367412099</v>
      </c>
      <c r="G266">
        <v>18.9359999999999</v>
      </c>
      <c r="H266">
        <v>0.70980828185082601</v>
      </c>
      <c r="J266">
        <v>21.0399999999999</v>
      </c>
      <c r="K266">
        <v>1.0831200296926</v>
      </c>
      <c r="V266">
        <v>19.082270079999901</v>
      </c>
      <c r="W266">
        <v>0.72081638328715203</v>
      </c>
    </row>
    <row r="267" spans="1:23" x14ac:dyDescent="0.3">
      <c r="A267">
        <v>14.783999999999899</v>
      </c>
      <c r="B267">
        <v>0.195736356990275</v>
      </c>
      <c r="D267">
        <v>16.896000000000001</v>
      </c>
      <c r="E267">
        <v>0.414590972027506</v>
      </c>
      <c r="G267">
        <v>19.0079999999999</v>
      </c>
      <c r="H267">
        <v>0.71899042524381096</v>
      </c>
      <c r="J267">
        <v>21.119999999999902</v>
      </c>
      <c r="K267">
        <v>1.0960322378943499</v>
      </c>
      <c r="V267">
        <v>19.154826239999899</v>
      </c>
      <c r="W267">
        <v>0.73014092846450096</v>
      </c>
    </row>
    <row r="268" spans="1:23" x14ac:dyDescent="0.3">
      <c r="A268">
        <v>14.8399999999999</v>
      </c>
      <c r="B268">
        <v>0.19896447337658199</v>
      </c>
      <c r="D268">
        <v>16.96</v>
      </c>
      <c r="E268">
        <v>0.42045428546385899</v>
      </c>
      <c r="G268">
        <v>19.079999999999998</v>
      </c>
      <c r="H268">
        <v>0.72807876694492701</v>
      </c>
      <c r="J268">
        <v>21.1999999999999</v>
      </c>
      <c r="K268">
        <v>1.10882864153824</v>
      </c>
      <c r="V268">
        <v>19.2273823999999</v>
      </c>
      <c r="W268">
        <v>0.739370217221196</v>
      </c>
    </row>
    <row r="269" spans="1:23" x14ac:dyDescent="0.3">
      <c r="A269">
        <v>14.8959999999999</v>
      </c>
      <c r="B269">
        <v>0.20213584552953501</v>
      </c>
      <c r="D269">
        <v>17.024000000000001</v>
      </c>
      <c r="E269">
        <v>0.42624348398317902</v>
      </c>
      <c r="G269">
        <v>19.152000000000001</v>
      </c>
      <c r="H269">
        <v>0.73707330695417395</v>
      </c>
      <c r="J269">
        <v>21.279999999999902</v>
      </c>
      <c r="K269">
        <v>1.1215092406242599</v>
      </c>
      <c r="V269">
        <v>19.299938559999902</v>
      </c>
      <c r="W269">
        <v>0.74850424955723605</v>
      </c>
    </row>
    <row r="270" spans="1:23" x14ac:dyDescent="0.3">
      <c r="A270">
        <v>14.9519999999999</v>
      </c>
      <c r="B270">
        <v>0.205250473449136</v>
      </c>
      <c r="D270">
        <v>17.088000000000001</v>
      </c>
      <c r="E270">
        <v>0.43195856758546702</v>
      </c>
      <c r="G270">
        <v>19.223999999999901</v>
      </c>
      <c r="H270">
        <v>0.74597404527154998</v>
      </c>
      <c r="J270">
        <v>21.3599999999999</v>
      </c>
      <c r="K270">
        <v>1.1340740351524199</v>
      </c>
      <c r="V270">
        <v>19.372494719999899</v>
      </c>
      <c r="W270">
        <v>0.75754302547262298</v>
      </c>
    </row>
    <row r="271" spans="1:23" x14ac:dyDescent="0.3">
      <c r="A271">
        <v>15.0079999999999</v>
      </c>
      <c r="B271">
        <v>0.20830835713538301</v>
      </c>
      <c r="D271">
        <v>17.152000000000001</v>
      </c>
      <c r="E271">
        <v>0.43759953627072201</v>
      </c>
      <c r="G271">
        <v>19.295999999999999</v>
      </c>
      <c r="H271">
        <v>0.754780981897058</v>
      </c>
      <c r="J271">
        <v>21.439999999999898</v>
      </c>
      <c r="K271">
        <v>1.1465230251227201</v>
      </c>
      <c r="V271">
        <v>19.445050879999901</v>
      </c>
      <c r="W271">
        <v>0.76648654496735502</v>
      </c>
    </row>
    <row r="272" spans="1:23" x14ac:dyDescent="0.3">
      <c r="A272">
        <v>15.063999999999901</v>
      </c>
      <c r="B272">
        <v>0.211309496588277</v>
      </c>
      <c r="D272">
        <v>17.216000000000001</v>
      </c>
      <c r="E272">
        <v>0.44316639003894498</v>
      </c>
      <c r="G272">
        <v>19.367999999999999</v>
      </c>
      <c r="H272">
        <v>0.76349411683069701</v>
      </c>
      <c r="J272">
        <v>21.5199999999999</v>
      </c>
      <c r="K272">
        <v>1.1588562105351501</v>
      </c>
      <c r="V272">
        <v>19.517607039999898</v>
      </c>
      <c r="W272">
        <v>0.77533480804143295</v>
      </c>
    </row>
    <row r="273" spans="1:23" x14ac:dyDescent="0.3">
      <c r="A273">
        <v>15.1199999999999</v>
      </c>
      <c r="B273">
        <v>0.21425389180781801</v>
      </c>
      <c r="D273">
        <v>17.28</v>
      </c>
      <c r="E273">
        <v>0.44865912889013498</v>
      </c>
      <c r="G273">
        <v>19.440000000000001</v>
      </c>
      <c r="H273">
        <v>0.77211345007246601</v>
      </c>
      <c r="J273">
        <v>21.599999999999898</v>
      </c>
      <c r="K273">
        <v>1.1710735913897199</v>
      </c>
      <c r="V273">
        <v>19.5901631999999</v>
      </c>
      <c r="W273">
        <v>0.784087814694858</v>
      </c>
    </row>
    <row r="274" spans="1:23" x14ac:dyDescent="0.3">
      <c r="A274">
        <v>15.175999999999901</v>
      </c>
      <c r="B274">
        <v>0.21714154279400599</v>
      </c>
      <c r="D274">
        <v>17.344000000000001</v>
      </c>
      <c r="E274">
        <v>0.45407775282429202</v>
      </c>
      <c r="G274">
        <v>19.512</v>
      </c>
      <c r="H274">
        <v>0.780638981622366</v>
      </c>
      <c r="J274">
        <v>21.6799999999999</v>
      </c>
      <c r="K274">
        <v>1.1831751676864299</v>
      </c>
      <c r="V274">
        <v>19.662719359999901</v>
      </c>
      <c r="W274">
        <v>0.79274556492762804</v>
      </c>
    </row>
    <row r="275" spans="1:23" x14ac:dyDescent="0.3">
      <c r="A275">
        <v>15.231999999999999</v>
      </c>
      <c r="B275">
        <v>0.219972449546841</v>
      </c>
      <c r="D275">
        <v>17.408000000000001</v>
      </c>
      <c r="E275">
        <v>0.45942226184141699</v>
      </c>
      <c r="G275">
        <v>19.584</v>
      </c>
      <c r="H275">
        <v>0.78907071148039598</v>
      </c>
      <c r="J275">
        <v>21.759999999999899</v>
      </c>
      <c r="K275">
        <v>1.19516093942527</v>
      </c>
      <c r="V275">
        <v>19.735275519999899</v>
      </c>
      <c r="W275">
        <v>0.80130805873974298</v>
      </c>
    </row>
    <row r="276" spans="1:23" x14ac:dyDescent="0.3">
      <c r="A276">
        <v>15.287999999999901</v>
      </c>
      <c r="B276">
        <v>0.22274661206632401</v>
      </c>
      <c r="D276">
        <v>17.472000000000001</v>
      </c>
      <c r="E276">
        <v>0.46469265594150999</v>
      </c>
      <c r="G276">
        <v>19.655999999999999</v>
      </c>
      <c r="H276">
        <v>0.79740863964655695</v>
      </c>
      <c r="J276">
        <v>21.8399999999999</v>
      </c>
      <c r="K276">
        <v>1.2070309066062599</v>
      </c>
      <c r="V276">
        <v>19.8078316799999</v>
      </c>
      <c r="W276">
        <v>0.80977529613120502</v>
      </c>
    </row>
    <row r="277" spans="1:23" x14ac:dyDescent="0.3">
      <c r="A277">
        <v>15.3439999999999</v>
      </c>
      <c r="B277">
        <v>0.22546403035245299</v>
      </c>
      <c r="D277">
        <v>17.536000000000001</v>
      </c>
      <c r="E277">
        <v>0.46988893512456997</v>
      </c>
      <c r="G277">
        <v>19.728000000000002</v>
      </c>
      <c r="H277">
        <v>0.80565276612084902</v>
      </c>
      <c r="J277">
        <v>21.919999999999899</v>
      </c>
      <c r="K277">
        <v>1.21878506922937</v>
      </c>
      <c r="V277">
        <v>19.880387839999901</v>
      </c>
      <c r="W277">
        <v>0.81814727710201296</v>
      </c>
    </row>
    <row r="278" spans="1:23" x14ac:dyDescent="0.3">
      <c r="A278">
        <v>15.399999999999901</v>
      </c>
      <c r="B278">
        <v>0.228124704405229</v>
      </c>
      <c r="D278">
        <v>17.600000000000001</v>
      </c>
      <c r="E278">
        <v>0.47501109939059699</v>
      </c>
      <c r="G278">
        <v>19.8</v>
      </c>
      <c r="H278">
        <v>0.81380309090327096</v>
      </c>
      <c r="J278">
        <v>21.999999999999901</v>
      </c>
      <c r="K278">
        <v>1.2304234272946299</v>
      </c>
      <c r="V278">
        <v>19.952943999999899</v>
      </c>
      <c r="W278">
        <v>0.82642400165216601</v>
      </c>
    </row>
    <row r="279" spans="1:23" x14ac:dyDescent="0.3">
      <c r="A279">
        <v>15.4559999999999</v>
      </c>
      <c r="B279">
        <v>0.23072863422465201</v>
      </c>
      <c r="D279">
        <v>17.664000000000001</v>
      </c>
      <c r="E279">
        <v>0.48005914873959199</v>
      </c>
      <c r="G279">
        <v>19.872</v>
      </c>
      <c r="H279">
        <v>0.82185961399382501</v>
      </c>
      <c r="J279">
        <v>22.079999999999899</v>
      </c>
      <c r="K279">
        <v>1.2419459808020199</v>
      </c>
      <c r="V279">
        <v>20.025500159999901</v>
      </c>
      <c r="W279">
        <v>0.83460546978166505</v>
      </c>
    </row>
    <row r="280" spans="1:23" x14ac:dyDescent="0.3">
      <c r="A280">
        <v>15.511999999999899</v>
      </c>
      <c r="B280">
        <v>0.23327581981072201</v>
      </c>
      <c r="D280">
        <v>17.728000000000002</v>
      </c>
      <c r="E280">
        <v>0.48503308317155402</v>
      </c>
      <c r="G280">
        <v>19.943999999999999</v>
      </c>
      <c r="H280">
        <v>0.82982233539250805</v>
      </c>
      <c r="J280">
        <v>22.159999999999901</v>
      </c>
      <c r="K280">
        <v>1.2533527297515501</v>
      </c>
      <c r="V280">
        <v>20.098056319999898</v>
      </c>
      <c r="W280">
        <v>0.84269168149050999</v>
      </c>
    </row>
    <row r="281" spans="1:23" x14ac:dyDescent="0.3">
      <c r="A281">
        <v>15.5679999999999</v>
      </c>
      <c r="B281">
        <v>0.23576626116343899</v>
      </c>
      <c r="D281">
        <v>17.792000000000002</v>
      </c>
      <c r="E281">
        <v>0.48993290268648398</v>
      </c>
      <c r="G281">
        <v>20.015999999999998</v>
      </c>
      <c r="H281">
        <v>0.83769125509932296</v>
      </c>
      <c r="J281">
        <v>22.239999999999899</v>
      </c>
      <c r="K281">
        <v>1.2646436741432101</v>
      </c>
      <c r="V281">
        <v>20.1706124799999</v>
      </c>
      <c r="W281">
        <v>0.85068263677870104</v>
      </c>
    </row>
    <row r="282" spans="1:23" x14ac:dyDescent="0.3">
      <c r="A282">
        <v>15.623999999999899</v>
      </c>
      <c r="B282">
        <v>0.23819995828280299</v>
      </c>
      <c r="D282">
        <v>17.856000000000002</v>
      </c>
      <c r="E282">
        <v>0.49475860728438198</v>
      </c>
      <c r="G282">
        <v>20.088000000000001</v>
      </c>
      <c r="H282">
        <v>0.84546637311426798</v>
      </c>
      <c r="J282">
        <v>22.319999999999901</v>
      </c>
      <c r="K282">
        <v>1.2758188139770099</v>
      </c>
      <c r="V282">
        <v>20.243168639999901</v>
      </c>
      <c r="W282">
        <v>0.85857833564623898</v>
      </c>
    </row>
    <row r="283" spans="1:23" x14ac:dyDescent="0.3">
      <c r="A283">
        <v>15.6799999999999</v>
      </c>
      <c r="B283">
        <v>0.24057691116881399</v>
      </c>
      <c r="D283">
        <v>17.920000000000002</v>
      </c>
      <c r="E283">
        <v>0.49951019696524601</v>
      </c>
      <c r="G283">
        <v>20.16</v>
      </c>
      <c r="H283">
        <v>0.85314768943734398</v>
      </c>
      <c r="J283">
        <v>22.399999999999899</v>
      </c>
      <c r="K283">
        <v>1.28687814925295</v>
      </c>
      <c r="V283">
        <v>20.315724799999899</v>
      </c>
      <c r="W283">
        <v>0.86637877809312103</v>
      </c>
    </row>
    <row r="284" spans="1:23" x14ac:dyDescent="0.3">
      <c r="A284">
        <v>15.735999999999899</v>
      </c>
      <c r="B284">
        <v>0.242897119821472</v>
      </c>
      <c r="D284">
        <v>17.984000000000002</v>
      </c>
      <c r="E284">
        <v>0.50418767172907897</v>
      </c>
      <c r="G284">
        <v>20.231999999999999</v>
      </c>
      <c r="H284">
        <v>0.86073520406855097</v>
      </c>
      <c r="J284">
        <v>22.479999999999901</v>
      </c>
      <c r="K284">
        <v>1.29782167997103</v>
      </c>
      <c r="V284">
        <v>20.3882809599999</v>
      </c>
      <c r="W284">
        <v>0.87408396411934997</v>
      </c>
    </row>
    <row r="285" spans="1:23" x14ac:dyDescent="0.3">
      <c r="A285">
        <v>15.7919999999999</v>
      </c>
      <c r="B285">
        <v>0.245160584240776</v>
      </c>
      <c r="D285">
        <v>18.047999999999998</v>
      </c>
      <c r="E285">
        <v>0.50879103157587802</v>
      </c>
      <c r="G285">
        <v>20.303999999999998</v>
      </c>
      <c r="H285">
        <v>0.86822891700788796</v>
      </c>
      <c r="J285">
        <v>22.559999999999899</v>
      </c>
      <c r="K285">
        <v>1.3086494061312399</v>
      </c>
      <c r="V285">
        <v>20.460837119999901</v>
      </c>
      <c r="W285">
        <v>0.88169389372492502</v>
      </c>
    </row>
    <row r="286" spans="1:23" x14ac:dyDescent="0.3">
      <c r="A286">
        <v>15.8479999999999</v>
      </c>
      <c r="B286">
        <v>0.247367304426728</v>
      </c>
      <c r="D286">
        <v>18.111999999999998</v>
      </c>
      <c r="E286">
        <v>0.51332027650564505</v>
      </c>
      <c r="G286">
        <v>20.376000000000001</v>
      </c>
      <c r="H286">
        <v>0.87562882825535504</v>
      </c>
      <c r="J286">
        <v>22.639999999999901</v>
      </c>
      <c r="K286">
        <v>1.3193613277335901</v>
      </c>
      <c r="V286">
        <v>20.533393279999899</v>
      </c>
      <c r="W286">
        <v>0.88920856690984496</v>
      </c>
    </row>
    <row r="287" spans="1:23" x14ac:dyDescent="0.3">
      <c r="A287">
        <v>15.9039999999999</v>
      </c>
      <c r="B287">
        <v>0.24951728037932699</v>
      </c>
      <c r="D287">
        <v>18.175999999999998</v>
      </c>
      <c r="E287">
        <v>0.51777540651838005</v>
      </c>
      <c r="G287">
        <v>20.448</v>
      </c>
      <c r="H287">
        <v>0.882934937810954</v>
      </c>
      <c r="J287">
        <v>22.719999999999899</v>
      </c>
      <c r="K287">
        <v>1.32995744477807</v>
      </c>
      <c r="V287">
        <v>20.6059494399999</v>
      </c>
      <c r="W287">
        <v>0.89662798367411201</v>
      </c>
    </row>
    <row r="288" spans="1:23" x14ac:dyDescent="0.3">
      <c r="A288">
        <v>15.9599999999999</v>
      </c>
      <c r="B288">
        <v>0.25161051209857299</v>
      </c>
      <c r="D288">
        <v>18.239999999999998</v>
      </c>
      <c r="E288">
        <v>0.52215642161408204</v>
      </c>
      <c r="G288">
        <v>20.52</v>
      </c>
      <c r="H288">
        <v>0.89014724567468295</v>
      </c>
      <c r="J288">
        <v>22.799999999999901</v>
      </c>
      <c r="K288">
        <v>1.3404377572646899</v>
      </c>
      <c r="V288">
        <v>20.678505599999902</v>
      </c>
      <c r="W288">
        <v>0.90395214401772395</v>
      </c>
    </row>
    <row r="289" spans="1:23" x14ac:dyDescent="0.3">
      <c r="A289">
        <v>16.015999999999998</v>
      </c>
      <c r="B289">
        <v>0.25364699958446502</v>
      </c>
      <c r="D289">
        <v>18.303999999999998</v>
      </c>
      <c r="E289">
        <v>0.52646332179275201</v>
      </c>
      <c r="G289">
        <v>20.591999999999999</v>
      </c>
      <c r="H289">
        <v>0.897265751846543</v>
      </c>
      <c r="J289">
        <v>22.8799999999999</v>
      </c>
      <c r="K289">
        <v>1.3508022651934499</v>
      </c>
      <c r="V289">
        <v>20.751061759999899</v>
      </c>
      <c r="W289">
        <v>0.911181047940682</v>
      </c>
    </row>
    <row r="290" spans="1:23" x14ac:dyDescent="0.3">
      <c r="A290">
        <v>16.0719999999999</v>
      </c>
      <c r="B290">
        <v>0.25562674283700498</v>
      </c>
      <c r="D290">
        <v>18.367999999999999</v>
      </c>
      <c r="E290">
        <v>0.53069610705438897</v>
      </c>
      <c r="G290">
        <v>20.663999999999898</v>
      </c>
      <c r="H290">
        <v>0.90429045632653404</v>
      </c>
      <c r="J290">
        <v>22.959999999999901</v>
      </c>
      <c r="K290">
        <v>1.3610509685643399</v>
      </c>
      <c r="V290">
        <v>20.823617919999901</v>
      </c>
      <c r="W290">
        <v>0.91831469544298605</v>
      </c>
    </row>
    <row r="291" spans="1:23" x14ac:dyDescent="0.3">
      <c r="A291">
        <v>16.127999999999901</v>
      </c>
      <c r="B291">
        <v>0.257549741856192</v>
      </c>
      <c r="D291">
        <v>18.431999999999999</v>
      </c>
      <c r="E291">
        <v>0.53485477739899401</v>
      </c>
      <c r="G291">
        <v>20.735999999999901</v>
      </c>
      <c r="H291">
        <v>0.91122135911465496</v>
      </c>
      <c r="J291">
        <v>23.0399999999999</v>
      </c>
      <c r="K291">
        <v>1.37118386737738</v>
      </c>
      <c r="V291">
        <v>20.896174079999899</v>
      </c>
      <c r="W291">
        <v>0.92535308652463599</v>
      </c>
    </row>
    <row r="292" spans="1:23" x14ac:dyDescent="0.3">
      <c r="A292">
        <v>16.183999999999902</v>
      </c>
      <c r="B292">
        <v>0.25941599664202503</v>
      </c>
      <c r="D292">
        <v>18.495999999999999</v>
      </c>
      <c r="E292">
        <v>0.53893933282656603</v>
      </c>
      <c r="G292">
        <v>20.8079999999999</v>
      </c>
      <c r="H292">
        <v>0.91805846021090698</v>
      </c>
      <c r="J292">
        <v>23.119999999999902</v>
      </c>
      <c r="K292">
        <v>1.38120096163254</v>
      </c>
      <c r="V292">
        <v>20.9687302399999</v>
      </c>
      <c r="W292">
        <v>0.93229622118563205</v>
      </c>
    </row>
    <row r="293" spans="1:23" x14ac:dyDescent="0.3">
      <c r="A293">
        <v>16.239999999999899</v>
      </c>
      <c r="B293">
        <v>0.26122550719450599</v>
      </c>
      <c r="D293">
        <v>18.559999999999999</v>
      </c>
      <c r="E293">
        <v>0.54294977333710503</v>
      </c>
      <c r="G293">
        <v>20.8799999999999</v>
      </c>
      <c r="H293">
        <v>0.92480175961528999</v>
      </c>
      <c r="J293">
        <v>23.1999999999999</v>
      </c>
      <c r="K293">
        <v>1.3911022513298501</v>
      </c>
      <c r="V293">
        <v>21.041286399999901</v>
      </c>
      <c r="W293">
        <v>0.93914409942597399</v>
      </c>
    </row>
    <row r="294" spans="1:23" x14ac:dyDescent="0.3">
      <c r="A294">
        <v>16.2959999999999</v>
      </c>
      <c r="B294">
        <v>0.26297827351363301</v>
      </c>
      <c r="D294">
        <v>18.623999999999999</v>
      </c>
      <c r="E294">
        <v>0.54688609893061202</v>
      </c>
      <c r="G294">
        <v>20.951999999999899</v>
      </c>
      <c r="H294">
        <v>0.93145125732780398</v>
      </c>
      <c r="J294">
        <v>23.279999999999902</v>
      </c>
      <c r="K294">
        <v>1.40088773646929</v>
      </c>
      <c r="V294">
        <v>21.113842559999899</v>
      </c>
      <c r="W294">
        <v>0.94589672124566204</v>
      </c>
    </row>
    <row r="295" spans="1:23" x14ac:dyDescent="0.3">
      <c r="A295">
        <v>16.351999999999901</v>
      </c>
      <c r="B295">
        <v>0.26467429559940803</v>
      </c>
      <c r="D295">
        <v>18.687999999999999</v>
      </c>
      <c r="E295">
        <v>0.55074830960708698</v>
      </c>
      <c r="G295">
        <v>21.023999999999901</v>
      </c>
      <c r="H295">
        <v>0.93800695334844797</v>
      </c>
      <c r="J295">
        <v>23.3599999999999</v>
      </c>
      <c r="K295">
        <v>1.4105574170508699</v>
      </c>
      <c r="V295">
        <v>21.1863987199999</v>
      </c>
      <c r="W295">
        <v>0.95255408664469599</v>
      </c>
    </row>
    <row r="296" spans="1:23" x14ac:dyDescent="0.3">
      <c r="A296">
        <v>16.407999999999902</v>
      </c>
      <c r="B296">
        <v>0.26631357345182899</v>
      </c>
      <c r="D296">
        <v>18.751999999999999</v>
      </c>
      <c r="E296">
        <v>0.55453640536652804</v>
      </c>
      <c r="G296">
        <v>21.095999999999901</v>
      </c>
      <c r="H296">
        <v>0.94446884767722195</v>
      </c>
      <c r="J296">
        <v>23.439999999999898</v>
      </c>
      <c r="K296">
        <v>1.4201112930745801</v>
      </c>
      <c r="V296">
        <v>21.258954879999902</v>
      </c>
      <c r="W296">
        <v>0.95911619562307604</v>
      </c>
    </row>
    <row r="297" spans="1:23" x14ac:dyDescent="0.3">
      <c r="A297">
        <v>16.463999999999899</v>
      </c>
      <c r="B297">
        <v>0.267896107070897</v>
      </c>
      <c r="D297">
        <v>18.815999999999999</v>
      </c>
      <c r="E297">
        <v>0.55825038620893797</v>
      </c>
      <c r="G297">
        <v>21.167999999999999</v>
      </c>
      <c r="H297">
        <v>0.95083694031412802</v>
      </c>
      <c r="J297">
        <v>23.5199999999999</v>
      </c>
      <c r="K297">
        <v>1.42954936454044</v>
      </c>
      <c r="V297">
        <v>21.331511039999899</v>
      </c>
      <c r="W297">
        <v>0.96558304818080298</v>
      </c>
    </row>
    <row r="298" spans="1:23" x14ac:dyDescent="0.3">
      <c r="A298">
        <v>16.5199999999999</v>
      </c>
      <c r="B298">
        <v>0.26942189645661302</v>
      </c>
      <c r="D298">
        <v>18.88</v>
      </c>
      <c r="E298">
        <v>0.56189025213431498</v>
      </c>
      <c r="G298">
        <v>21.24</v>
      </c>
      <c r="H298">
        <v>0.95711123125916397</v>
      </c>
      <c r="J298">
        <v>23.599999999999898</v>
      </c>
      <c r="K298">
        <v>1.43887163144842</v>
      </c>
      <c r="V298">
        <v>21.404067199999901</v>
      </c>
      <c r="W298">
        <v>0.97195464431787504</v>
      </c>
    </row>
    <row r="299" spans="1:23" x14ac:dyDescent="0.3">
      <c r="A299">
        <v>16.575999999999901</v>
      </c>
      <c r="B299">
        <v>0.27089094160897498</v>
      </c>
      <c r="D299">
        <v>18.943999999999999</v>
      </c>
      <c r="E299">
        <v>0.56545600314265898</v>
      </c>
      <c r="G299">
        <v>21.311999999999902</v>
      </c>
      <c r="H299">
        <v>0.96329172051233103</v>
      </c>
      <c r="J299">
        <v>23.6799999999999</v>
      </c>
      <c r="K299">
        <v>1.44807809379855</v>
      </c>
      <c r="V299">
        <v>21.476623359999898</v>
      </c>
      <c r="W299">
        <v>0.97823098403429398</v>
      </c>
    </row>
    <row r="300" spans="1:23" x14ac:dyDescent="0.3">
      <c r="A300">
        <v>16.631999999999898</v>
      </c>
      <c r="B300">
        <v>0.27230324252798399</v>
      </c>
      <c r="D300">
        <v>19.007999999999999</v>
      </c>
      <c r="E300">
        <v>0.56894763923397096</v>
      </c>
      <c r="G300">
        <v>21.384</v>
      </c>
      <c r="H300">
        <v>0.96937840807362896</v>
      </c>
      <c r="J300">
        <v>23.759999999999899</v>
      </c>
      <c r="K300">
        <v>1.4571687515908101</v>
      </c>
      <c r="V300">
        <v>21.5491795199999</v>
      </c>
      <c r="W300">
        <v>0.98441206733005704</v>
      </c>
    </row>
    <row r="301" spans="1:23" x14ac:dyDescent="0.3">
      <c r="A301">
        <v>16.687999999999899</v>
      </c>
      <c r="B301">
        <v>0.27365879921364</v>
      </c>
      <c r="D301">
        <v>19.071999999999999</v>
      </c>
      <c r="E301">
        <v>0.57236516040825003</v>
      </c>
      <c r="G301">
        <v>21.4559999999999</v>
      </c>
      <c r="H301">
        <v>0.97537129394305699</v>
      </c>
      <c r="J301">
        <v>23.8399999999999</v>
      </c>
      <c r="K301">
        <v>1.4661436048252099</v>
      </c>
      <c r="V301">
        <v>21.621735679999901</v>
      </c>
      <c r="W301">
        <v>0.99049789420516698</v>
      </c>
    </row>
    <row r="302" spans="1:23" x14ac:dyDescent="0.3">
      <c r="A302">
        <v>16.7439999999999</v>
      </c>
      <c r="B302">
        <v>0.27495761166594401</v>
      </c>
      <c r="D302">
        <v>19.135999999999999</v>
      </c>
      <c r="E302">
        <v>0.57570856666549597</v>
      </c>
      <c r="G302">
        <v>21.527999999999899</v>
      </c>
      <c r="H302">
        <v>0.98127037812061602</v>
      </c>
      <c r="J302">
        <v>23.919999999999899</v>
      </c>
      <c r="K302">
        <v>1.47500265350175</v>
      </c>
      <c r="V302">
        <v>21.694291839999899</v>
      </c>
      <c r="W302">
        <v>0.99648846465962404</v>
      </c>
    </row>
    <row r="303" spans="1:23" x14ac:dyDescent="0.3">
      <c r="A303">
        <v>16.799999999999901</v>
      </c>
      <c r="B303">
        <v>0.27619967988489402</v>
      </c>
      <c r="D303">
        <v>19.2</v>
      </c>
      <c r="E303">
        <v>0.57897785800571</v>
      </c>
      <c r="G303">
        <v>21.599999999999898</v>
      </c>
      <c r="H303">
        <v>0.98707566060630603</v>
      </c>
      <c r="J303">
        <v>23.999999999999901</v>
      </c>
      <c r="K303">
        <v>1.4837458976204201</v>
      </c>
      <c r="V303">
        <v>21.7668479999999</v>
      </c>
      <c r="W303">
        <v>1.00238377869342</v>
      </c>
    </row>
    <row r="304" spans="1:23" x14ac:dyDescent="0.3">
      <c r="A304">
        <v>16.855999999999899</v>
      </c>
      <c r="B304">
        <v>0.27738500387049098</v>
      </c>
      <c r="D304">
        <v>19.263999999999999</v>
      </c>
      <c r="E304">
        <v>0.58217303442889101</v>
      </c>
      <c r="G304">
        <v>21.671999999999901</v>
      </c>
      <c r="H304">
        <v>0.99278714140012703</v>
      </c>
      <c r="J304">
        <v>24.079999999999899</v>
      </c>
      <c r="K304">
        <v>1.49237333718123</v>
      </c>
      <c r="V304">
        <v>21.839404159999901</v>
      </c>
      <c r="W304">
        <v>1.00818383630657</v>
      </c>
    </row>
    <row r="305" spans="1:23" x14ac:dyDescent="0.3">
      <c r="A305">
        <v>16.911999999999999</v>
      </c>
      <c r="B305">
        <v>0.27851358362273498</v>
      </c>
      <c r="D305">
        <v>19.327999999999999</v>
      </c>
      <c r="E305">
        <v>0.58529409593504</v>
      </c>
      <c r="G305">
        <v>21.7439999999999</v>
      </c>
      <c r="H305">
        <v>0.99840482050207702</v>
      </c>
      <c r="J305">
        <v>24.159999999999901</v>
      </c>
      <c r="K305">
        <v>1.5008849721841699</v>
      </c>
      <c r="V305">
        <v>21.911960319999899</v>
      </c>
      <c r="W305">
        <v>1.0138886374990601</v>
      </c>
    </row>
    <row r="306" spans="1:23" x14ac:dyDescent="0.3">
      <c r="A306">
        <v>16.9679999999999</v>
      </c>
      <c r="B306">
        <v>0.27958541914162599</v>
      </c>
      <c r="D306">
        <v>19.391999999999999</v>
      </c>
      <c r="E306">
        <v>0.58834104252415598</v>
      </c>
      <c r="G306">
        <v>21.815999999999999</v>
      </c>
      <c r="H306">
        <v>1.00392869791215</v>
      </c>
      <c r="J306">
        <v>24.239999999999899</v>
      </c>
      <c r="K306">
        <v>1.5092808026292499</v>
      </c>
      <c r="V306">
        <v>21.9845164799999</v>
      </c>
      <c r="W306">
        <v>1.0194981822708999</v>
      </c>
    </row>
    <row r="307" spans="1:23" x14ac:dyDescent="0.3">
      <c r="A307">
        <v>17.023999999999901</v>
      </c>
      <c r="B307">
        <v>0.280600510427164</v>
      </c>
      <c r="D307">
        <v>19.456</v>
      </c>
      <c r="E307">
        <v>0.59131387419624004</v>
      </c>
      <c r="G307">
        <v>21.887999999999899</v>
      </c>
      <c r="H307">
        <v>1.00935877363037</v>
      </c>
      <c r="J307">
        <v>24.319999999999901</v>
      </c>
      <c r="K307">
        <v>1.5175608285164699</v>
      </c>
      <c r="V307">
        <v>22.057072639999902</v>
      </c>
      <c r="W307">
        <v>1.02501247062209</v>
      </c>
    </row>
    <row r="308" spans="1:23" x14ac:dyDescent="0.3">
      <c r="A308">
        <v>17.079999999999899</v>
      </c>
      <c r="B308">
        <v>0.281558857479349</v>
      </c>
      <c r="D308">
        <v>19.52</v>
      </c>
      <c r="E308">
        <v>0.59421259095129098</v>
      </c>
      <c r="G308">
        <v>21.96</v>
      </c>
      <c r="H308">
        <v>1.01469504765671</v>
      </c>
      <c r="J308">
        <v>24.399999999999899</v>
      </c>
      <c r="K308">
        <v>1.5257250498458299</v>
      </c>
      <c r="V308">
        <v>22.1296287999999</v>
      </c>
      <c r="W308">
        <v>1.0304315025526201</v>
      </c>
    </row>
    <row r="309" spans="1:23" x14ac:dyDescent="0.3">
      <c r="A309">
        <v>17.1359999999999</v>
      </c>
      <c r="B309">
        <v>0.282460460298181</v>
      </c>
      <c r="D309">
        <v>19.584</v>
      </c>
      <c r="E309">
        <v>0.59703719278931</v>
      </c>
      <c r="G309">
        <v>22.032</v>
      </c>
      <c r="H309">
        <v>1.01993751999118</v>
      </c>
      <c r="J309">
        <v>24.479999999999901</v>
      </c>
      <c r="K309">
        <v>1.5337734666173199</v>
      </c>
      <c r="V309">
        <v>22.202184959999901</v>
      </c>
      <c r="W309">
        <v>1.0357552780624999</v>
      </c>
    </row>
    <row r="310" spans="1:23" x14ac:dyDescent="0.3">
      <c r="A310">
        <v>17.191999999999901</v>
      </c>
      <c r="B310">
        <v>0.28330531888366001</v>
      </c>
      <c r="D310">
        <v>19.648</v>
      </c>
      <c r="E310">
        <v>0.59978767971029601</v>
      </c>
      <c r="G310">
        <v>22.103999999999999</v>
      </c>
      <c r="H310">
        <v>1.02508619063379</v>
      </c>
      <c r="J310">
        <v>24.559999999999899</v>
      </c>
      <c r="K310">
        <v>1.54170607883095</v>
      </c>
      <c r="V310">
        <v>22.274741119999899</v>
      </c>
      <c r="W310">
        <v>1.04098379715173</v>
      </c>
    </row>
    <row r="311" spans="1:23" x14ac:dyDescent="0.3">
      <c r="A311">
        <v>17.247999999999902</v>
      </c>
      <c r="B311">
        <v>0.28409343323578601</v>
      </c>
      <c r="D311">
        <v>19.712</v>
      </c>
      <c r="E311">
        <v>0.60246405171424899</v>
      </c>
      <c r="G311">
        <v>22.175999999999998</v>
      </c>
      <c r="H311">
        <v>1.03014105958452</v>
      </c>
      <c r="J311">
        <v>24.639999999999901</v>
      </c>
      <c r="K311">
        <v>1.5495228864867101</v>
      </c>
      <c r="V311">
        <v>22.3472972799999</v>
      </c>
      <c r="W311">
        <v>1.0461170598203</v>
      </c>
    </row>
    <row r="312" spans="1:23" x14ac:dyDescent="0.3">
      <c r="A312">
        <v>17.303999999999899</v>
      </c>
      <c r="B312">
        <v>0.28482480335455901</v>
      </c>
      <c r="D312">
        <v>19.776</v>
      </c>
      <c r="E312">
        <v>0.60506630880116996</v>
      </c>
      <c r="G312">
        <v>22.247999999999902</v>
      </c>
      <c r="H312">
        <v>1.03510212684339</v>
      </c>
      <c r="J312">
        <v>24.719999999999899</v>
      </c>
      <c r="K312">
        <v>1.55722388958462</v>
      </c>
      <c r="V312">
        <v>22.419853439999901</v>
      </c>
      <c r="W312">
        <v>1.0511550660682101</v>
      </c>
    </row>
    <row r="313" spans="1:23" x14ac:dyDescent="0.3">
      <c r="A313">
        <v>17.3599999999999</v>
      </c>
      <c r="B313">
        <v>0.28549942923997801</v>
      </c>
      <c r="D313">
        <v>19.84</v>
      </c>
      <c r="E313">
        <v>0.60759445097105902</v>
      </c>
      <c r="G313">
        <v>22.319999999999901</v>
      </c>
      <c r="H313">
        <v>1.0399693924103901</v>
      </c>
      <c r="J313">
        <v>24.799999999999901</v>
      </c>
      <c r="K313">
        <v>1.5648090881246499</v>
      </c>
      <c r="V313">
        <v>22.492409599999899</v>
      </c>
      <c r="W313">
        <v>1.0560978158954699</v>
      </c>
    </row>
    <row r="314" spans="1:23" x14ac:dyDescent="0.3">
      <c r="A314">
        <v>17.415999999999901</v>
      </c>
      <c r="B314">
        <v>0.28611731089204501</v>
      </c>
      <c r="D314">
        <v>19.904</v>
      </c>
      <c r="E314">
        <v>0.61004847822391495</v>
      </c>
      <c r="G314">
        <v>22.3919999999999</v>
      </c>
      <c r="H314">
        <v>1.0447428562855099</v>
      </c>
      <c r="J314">
        <v>24.8799999999999</v>
      </c>
      <c r="K314">
        <v>1.5722784821068301</v>
      </c>
      <c r="V314">
        <v>22.5649657599999</v>
      </c>
      <c r="W314">
        <v>1.06094530930208</v>
      </c>
    </row>
    <row r="315" spans="1:23" x14ac:dyDescent="0.3">
      <c r="A315">
        <v>17.471999999999898</v>
      </c>
      <c r="B315">
        <v>0.286678448310759</v>
      </c>
      <c r="D315">
        <v>19.968</v>
      </c>
      <c r="E315">
        <v>0.61242839055973797</v>
      </c>
      <c r="G315">
        <v>22.463999999999899</v>
      </c>
      <c r="H315">
        <v>1.04942251846877</v>
      </c>
      <c r="J315">
        <v>24.959999999999901</v>
      </c>
      <c r="K315">
        <v>1.57963207153114</v>
      </c>
      <c r="V315">
        <v>22.637521919999902</v>
      </c>
      <c r="W315">
        <v>1.06569754628804</v>
      </c>
    </row>
    <row r="316" spans="1:23" x14ac:dyDescent="0.3">
      <c r="A316">
        <v>17.527999999999899</v>
      </c>
      <c r="B316">
        <v>0.28718284149612</v>
      </c>
      <c r="D316">
        <v>20.032</v>
      </c>
      <c r="E316">
        <v>0.61473418797852897</v>
      </c>
      <c r="G316">
        <v>22.535999999999898</v>
      </c>
      <c r="H316">
        <v>1.05400837896016</v>
      </c>
      <c r="J316">
        <v>25.0399999999999</v>
      </c>
      <c r="K316">
        <v>1.58686985639759</v>
      </c>
      <c r="V316">
        <v>22.710078079999899</v>
      </c>
      <c r="W316">
        <v>1.0703545268533401</v>
      </c>
    </row>
    <row r="317" spans="1:23" x14ac:dyDescent="0.3">
      <c r="A317">
        <v>17.5839999999999</v>
      </c>
      <c r="B317">
        <v>0.287630490448128</v>
      </c>
      <c r="D317">
        <v>20.096</v>
      </c>
      <c r="E317">
        <v>0.61696587048028795</v>
      </c>
      <c r="G317">
        <v>22.607999999999901</v>
      </c>
      <c r="H317">
        <v>1.0585004377596801</v>
      </c>
      <c r="J317">
        <v>25.119999999999902</v>
      </c>
      <c r="K317">
        <v>1.5939918367061801</v>
      </c>
      <c r="V317">
        <v>22.782634239999901</v>
      </c>
      <c r="W317">
        <v>1.0749162509979799</v>
      </c>
    </row>
    <row r="318" spans="1:23" x14ac:dyDescent="0.3">
      <c r="A318">
        <v>17.639999999999901</v>
      </c>
      <c r="B318">
        <v>0.28802139516678199</v>
      </c>
      <c r="D318">
        <v>20.16</v>
      </c>
      <c r="E318">
        <v>0.61912343806501402</v>
      </c>
      <c r="G318">
        <v>22.6799999999999</v>
      </c>
      <c r="H318">
        <v>1.06289869486733</v>
      </c>
      <c r="J318">
        <v>25.1999999999999</v>
      </c>
      <c r="K318">
        <v>1.6009980124569001</v>
      </c>
      <c r="V318">
        <v>22.855190399999898</v>
      </c>
      <c r="W318">
        <v>1.07938271872197</v>
      </c>
    </row>
    <row r="319" spans="1:23" x14ac:dyDescent="0.3">
      <c r="A319">
        <v>17.695999999999898</v>
      </c>
      <c r="B319">
        <v>0.28835555565208398</v>
      </c>
      <c r="D319">
        <v>20.224</v>
      </c>
      <c r="E319">
        <v>0.62120689073270696</v>
      </c>
      <c r="G319">
        <v>22.751999999999999</v>
      </c>
      <c r="H319">
        <v>1.0672031502831101</v>
      </c>
      <c r="J319">
        <v>25.279999999999902</v>
      </c>
      <c r="K319">
        <v>1.6078883836497599</v>
      </c>
      <c r="V319">
        <v>22.9277465599999</v>
      </c>
      <c r="W319">
        <v>1.0837539300253101</v>
      </c>
    </row>
    <row r="320" spans="1:23" x14ac:dyDescent="0.3">
      <c r="A320">
        <v>17.751999999999899</v>
      </c>
      <c r="B320">
        <v>0.28863297190403198</v>
      </c>
      <c r="D320">
        <v>20.288</v>
      </c>
      <c r="E320">
        <v>0.623216228483368</v>
      </c>
      <c r="G320">
        <v>22.823999999999899</v>
      </c>
      <c r="H320">
        <v>1.07141380400702</v>
      </c>
      <c r="J320">
        <v>25.3599999999999</v>
      </c>
      <c r="K320">
        <v>1.61466295028476</v>
      </c>
      <c r="V320">
        <v>23.000302719999901</v>
      </c>
      <c r="W320">
        <v>1.0880298849079899</v>
      </c>
    </row>
    <row r="321" spans="1:23" x14ac:dyDescent="0.3">
      <c r="A321">
        <v>17.8079999999999</v>
      </c>
      <c r="B321">
        <v>0.28885364392262802</v>
      </c>
      <c r="D321">
        <v>20.352</v>
      </c>
      <c r="E321">
        <v>0.62515145131699601</v>
      </c>
      <c r="G321">
        <v>22.896000000000001</v>
      </c>
      <c r="H321">
        <v>1.0755306560390601</v>
      </c>
      <c r="J321">
        <v>25.439999999999898</v>
      </c>
      <c r="K321">
        <v>1.6213217123618899</v>
      </c>
      <c r="V321">
        <v>23.072858879999899</v>
      </c>
      <c r="W321">
        <v>1.09221058337002</v>
      </c>
    </row>
    <row r="322" spans="1:23" x14ac:dyDescent="0.3">
      <c r="A322">
        <v>17.863999999999901</v>
      </c>
      <c r="B322">
        <v>0.28901757170787001</v>
      </c>
      <c r="D322">
        <v>20.416</v>
      </c>
      <c r="E322">
        <v>0.627012559233592</v>
      </c>
      <c r="G322">
        <v>22.9679999999999</v>
      </c>
      <c r="H322">
        <v>1.07955370637924</v>
      </c>
      <c r="J322">
        <v>25.5199999999999</v>
      </c>
      <c r="K322">
        <v>1.6278646698811601</v>
      </c>
      <c r="V322">
        <v>23.1454150399999</v>
      </c>
      <c r="W322">
        <v>1.0962960254114</v>
      </c>
    </row>
    <row r="323" spans="1:23" x14ac:dyDescent="0.3">
      <c r="A323">
        <v>17.919999999999899</v>
      </c>
      <c r="B323">
        <v>0.28912475525976</v>
      </c>
      <c r="D323">
        <v>20.48</v>
      </c>
      <c r="E323">
        <v>0.62879955223315498</v>
      </c>
      <c r="G323">
        <v>23.04</v>
      </c>
      <c r="H323">
        <v>1.08348295502754</v>
      </c>
      <c r="J323">
        <v>25.599999999999898</v>
      </c>
      <c r="K323">
        <v>1.63429182284256</v>
      </c>
      <c r="V323">
        <v>23.217971199999901</v>
      </c>
      <c r="W323">
        <v>1.1002862110321201</v>
      </c>
    </row>
    <row r="324" spans="1:23" x14ac:dyDescent="0.3">
      <c r="A324">
        <v>17.9759999999999</v>
      </c>
      <c r="B324">
        <v>0.28915255218420999</v>
      </c>
      <c r="D324">
        <v>20.544</v>
      </c>
      <c r="E324">
        <v>0.63051243031568605</v>
      </c>
      <c r="G324">
        <v>23.111999999999998</v>
      </c>
      <c r="H324">
        <v>1.0873184019839699</v>
      </c>
      <c r="J324">
        <v>25.6799999999999</v>
      </c>
      <c r="K324">
        <v>1.64060317124611</v>
      </c>
      <c r="V324">
        <v>23.290527359999899</v>
      </c>
      <c r="W324">
        <v>1.1041811402321799</v>
      </c>
    </row>
    <row r="325" spans="1:23" x14ac:dyDescent="0.3">
      <c r="A325">
        <v>18.031999999999901</v>
      </c>
      <c r="B325">
        <v>0.28917089173643601</v>
      </c>
      <c r="D325">
        <v>20.608000000000001</v>
      </c>
      <c r="E325">
        <v>0.63215119348118398</v>
      </c>
      <c r="G325">
        <v>23.184000000000001</v>
      </c>
      <c r="H325">
        <v>1.0910600472485401</v>
      </c>
      <c r="J325">
        <v>25.759999999999899</v>
      </c>
      <c r="K325">
        <v>1.64679871509179</v>
      </c>
      <c r="V325">
        <v>23.363083519999901</v>
      </c>
      <c r="W325">
        <v>1.1079808130116</v>
      </c>
    </row>
    <row r="326" spans="1:23" x14ac:dyDescent="0.3">
      <c r="A326">
        <v>18.087999999999901</v>
      </c>
      <c r="B326">
        <v>0.28917977391643501</v>
      </c>
      <c r="D326">
        <v>20.672000000000001</v>
      </c>
      <c r="E326">
        <v>0.63371584172965001</v>
      </c>
      <c r="G326">
        <v>23.255999999999901</v>
      </c>
      <c r="H326">
        <v>1.09470789082123</v>
      </c>
      <c r="J326">
        <v>25.8399999999999</v>
      </c>
      <c r="K326">
        <v>1.6528784543796</v>
      </c>
      <c r="V326">
        <v>23.435639679999898</v>
      </c>
      <c r="W326">
        <v>1.1116852293703601</v>
      </c>
    </row>
    <row r="327" spans="1:23" x14ac:dyDescent="0.3">
      <c r="A327">
        <v>18.143999999999899</v>
      </c>
      <c r="B327">
        <v>0.289179198724209</v>
      </c>
      <c r="D327">
        <v>20.736000000000001</v>
      </c>
      <c r="E327">
        <v>0.63520637506108302</v>
      </c>
      <c r="G327">
        <v>23.327999999999999</v>
      </c>
      <c r="H327">
        <v>1.09826193270206</v>
      </c>
      <c r="J327">
        <v>25.919999999999899</v>
      </c>
      <c r="K327">
        <v>1.6588423891095601</v>
      </c>
      <c r="V327">
        <v>23.5081958399999</v>
      </c>
      <c r="W327">
        <v>1.1152943893084599</v>
      </c>
    </row>
    <row r="328" spans="1:23" x14ac:dyDescent="0.3">
      <c r="A328">
        <v>18.1999999999999</v>
      </c>
      <c r="B328">
        <v>0.28916916615975802</v>
      </c>
      <c r="D328">
        <v>20.8</v>
      </c>
      <c r="E328">
        <v>0.63662279347548401</v>
      </c>
      <c r="G328">
        <v>23.4</v>
      </c>
      <c r="H328">
        <v>1.10172217289102</v>
      </c>
      <c r="J328">
        <v>25.999999999999901</v>
      </c>
      <c r="K328">
        <v>1.6646905192816499</v>
      </c>
      <c r="V328">
        <v>23.580751999999901</v>
      </c>
      <c r="W328">
        <v>1.11880829282591</v>
      </c>
    </row>
    <row r="329" spans="1:23" x14ac:dyDescent="0.3">
      <c r="A329">
        <v>18.255999999999901</v>
      </c>
      <c r="B329">
        <v>0.28916916615975902</v>
      </c>
      <c r="D329">
        <v>20.864000000000001</v>
      </c>
      <c r="E329">
        <v>0.63796509697285098</v>
      </c>
      <c r="G329">
        <v>23.471999999999898</v>
      </c>
      <c r="H329">
        <v>1.10508861138811</v>
      </c>
      <c r="J329">
        <v>26.079999999999899</v>
      </c>
      <c r="K329">
        <v>1.67042284489587</v>
      </c>
      <c r="V329">
        <v>23.653308159999899</v>
      </c>
      <c r="W329">
        <v>1.1222269399227101</v>
      </c>
    </row>
    <row r="330" spans="1:23" x14ac:dyDescent="0.3">
      <c r="A330">
        <v>18.311999999999902</v>
      </c>
      <c r="B330">
        <v>0.28916916615975902</v>
      </c>
      <c r="D330">
        <v>20.928000000000001</v>
      </c>
      <c r="E330">
        <v>0.63923328555318704</v>
      </c>
      <c r="G330">
        <v>23.544</v>
      </c>
      <c r="H330">
        <v>1.10836124819332</v>
      </c>
      <c r="J330">
        <v>26.159999999999901</v>
      </c>
      <c r="K330">
        <v>1.6760393659522399</v>
      </c>
      <c r="V330">
        <v>23.7258643199999</v>
      </c>
      <c r="W330">
        <v>1.1255503305988499</v>
      </c>
    </row>
    <row r="331" spans="1:23" x14ac:dyDescent="0.3">
      <c r="A331">
        <v>18.367999999999899</v>
      </c>
      <c r="B331">
        <v>0.28916916615975902</v>
      </c>
      <c r="D331">
        <v>20.992000000000001</v>
      </c>
      <c r="E331">
        <v>0.64042735921648997</v>
      </c>
      <c r="G331">
        <v>23.6159999999999</v>
      </c>
      <c r="H331">
        <v>1.11154008330667</v>
      </c>
      <c r="J331">
        <v>26.239999999999899</v>
      </c>
      <c r="K331">
        <v>1.68154008245074</v>
      </c>
      <c r="V331">
        <v>23.798420479999901</v>
      </c>
      <c r="W331">
        <v>1.12877846485434</v>
      </c>
    </row>
    <row r="332" spans="1:23" x14ac:dyDescent="0.3">
      <c r="A332">
        <v>18.4239999999999</v>
      </c>
      <c r="B332">
        <v>0.28916916615975902</v>
      </c>
      <c r="D332">
        <v>21.056000000000001</v>
      </c>
      <c r="E332">
        <v>0.64154731796275999</v>
      </c>
      <c r="G332">
        <v>23.687999999999999</v>
      </c>
      <c r="H332">
        <v>1.11462511672815</v>
      </c>
      <c r="J332">
        <v>26.319999999999901</v>
      </c>
      <c r="K332">
        <v>1.68692499439137</v>
      </c>
      <c r="V332">
        <v>23.870976639999899</v>
      </c>
      <c r="W332">
        <v>1.13191134268918</v>
      </c>
    </row>
    <row r="333" spans="1:23" x14ac:dyDescent="0.3">
      <c r="A333">
        <v>18.479999999999901</v>
      </c>
      <c r="B333">
        <v>0.28916916615976002</v>
      </c>
      <c r="D333">
        <v>21.12</v>
      </c>
      <c r="E333">
        <v>0.64259316179199899</v>
      </c>
      <c r="G333">
        <v>23.759999999999899</v>
      </c>
      <c r="H333">
        <v>1.1176163484577599</v>
      </c>
      <c r="J333">
        <v>26.399999999999899</v>
      </c>
      <c r="K333">
        <v>1.69219410177415</v>
      </c>
      <c r="V333">
        <v>23.9435327999999</v>
      </c>
      <c r="W333">
        <v>1.1349489641033601</v>
      </c>
    </row>
    <row r="334" spans="1:23" x14ac:dyDescent="0.3">
      <c r="A334">
        <v>18.535999999999898</v>
      </c>
      <c r="B334">
        <v>0.28916916615976002</v>
      </c>
      <c r="D334">
        <v>21.184000000000001</v>
      </c>
      <c r="E334">
        <v>0.64356489070420397</v>
      </c>
      <c r="G334">
        <v>23.831999999999901</v>
      </c>
      <c r="H334">
        <v>1.1205137784955099</v>
      </c>
      <c r="J334">
        <v>26.479999999999901</v>
      </c>
      <c r="K334">
        <v>1.69734740459906</v>
      </c>
      <c r="V334">
        <v>24.016088959999902</v>
      </c>
      <c r="W334">
        <v>1.1378913290968899</v>
      </c>
    </row>
    <row r="335" spans="1:23" x14ac:dyDescent="0.3">
      <c r="A335">
        <v>18.591999999999899</v>
      </c>
      <c r="B335">
        <v>0.28916916615976002</v>
      </c>
      <c r="D335">
        <v>21.248000000000001</v>
      </c>
      <c r="E335">
        <v>0.64446250469937605</v>
      </c>
      <c r="G335">
        <v>23.9039999999999</v>
      </c>
      <c r="H335">
        <v>1.12331740684138</v>
      </c>
      <c r="J335">
        <v>26.559999999999899</v>
      </c>
      <c r="K335">
        <v>1.7023849028661</v>
      </c>
      <c r="V335">
        <v>24.088645119999899</v>
      </c>
      <c r="W335">
        <v>1.14073843766976</v>
      </c>
    </row>
    <row r="336" spans="1:23" x14ac:dyDescent="0.3">
      <c r="A336">
        <v>18.6479999999999</v>
      </c>
      <c r="B336">
        <v>0.28916916615976102</v>
      </c>
      <c r="D336">
        <v>21.312000000000001</v>
      </c>
      <c r="E336">
        <v>0.64528600377751599</v>
      </c>
      <c r="G336">
        <v>23.9759999999999</v>
      </c>
      <c r="H336">
        <v>1.12602723349538</v>
      </c>
      <c r="J336">
        <v>26.639999999999901</v>
      </c>
      <c r="K336">
        <v>1.70730659657529</v>
      </c>
      <c r="V336">
        <v>24.161201279999901</v>
      </c>
      <c r="W336">
        <v>1.1434902898219801</v>
      </c>
    </row>
    <row r="337" spans="1:23" x14ac:dyDescent="0.3">
      <c r="A337">
        <v>18.703999999999901</v>
      </c>
      <c r="B337">
        <v>0.28916916615976102</v>
      </c>
      <c r="D337">
        <v>21.376000000000001</v>
      </c>
      <c r="E337">
        <v>0.64603538793862403</v>
      </c>
      <c r="G337">
        <v>24.047999999999998</v>
      </c>
      <c r="H337">
        <v>1.1286432584575099</v>
      </c>
      <c r="J337">
        <v>26.719999999999899</v>
      </c>
      <c r="K337">
        <v>1.7121124857266099</v>
      </c>
      <c r="V337">
        <v>24.233757439999899</v>
      </c>
      <c r="W337">
        <v>1.1461468855535399</v>
      </c>
    </row>
    <row r="338" spans="1:23" x14ac:dyDescent="0.3">
      <c r="A338">
        <v>18.759999999999899</v>
      </c>
      <c r="B338">
        <v>0.28916916615976102</v>
      </c>
      <c r="D338">
        <v>21.44</v>
      </c>
      <c r="E338">
        <v>0.64671065718269904</v>
      </c>
      <c r="G338">
        <v>24.119999999999902</v>
      </c>
      <c r="H338">
        <v>1.1311654817277801</v>
      </c>
      <c r="J338">
        <v>26.799999999999901</v>
      </c>
      <c r="K338">
        <v>1.71680257032006</v>
      </c>
      <c r="V338">
        <v>24.3063135999999</v>
      </c>
      <c r="W338">
        <v>1.14870822486445</v>
      </c>
    </row>
    <row r="339" spans="1:23" x14ac:dyDescent="0.3">
      <c r="A339">
        <v>18.815999999999999</v>
      </c>
      <c r="B339">
        <v>0.28916916615976102</v>
      </c>
      <c r="D339">
        <v>21.504000000000001</v>
      </c>
      <c r="E339">
        <v>0.64731181150974104</v>
      </c>
      <c r="G339">
        <v>24.192</v>
      </c>
      <c r="H339">
        <v>1.1335939033061699</v>
      </c>
      <c r="J339">
        <v>26.8799999999999</v>
      </c>
      <c r="K339">
        <v>1.7213768503556599</v>
      </c>
      <c r="V339">
        <v>24.378869759999901</v>
      </c>
      <c r="W339">
        <v>1.1511743077547101</v>
      </c>
    </row>
    <row r="340" spans="1:23" x14ac:dyDescent="0.3">
      <c r="A340">
        <v>18.8719999999999</v>
      </c>
      <c r="B340">
        <v>0.28916916615976201</v>
      </c>
      <c r="D340">
        <v>21.567999999999898</v>
      </c>
      <c r="E340">
        <v>0.64783885091975102</v>
      </c>
      <c r="G340">
        <v>24.2639999999999</v>
      </c>
      <c r="H340">
        <v>1.1359285231927001</v>
      </c>
      <c r="J340">
        <v>26.959999999999901</v>
      </c>
      <c r="K340">
        <v>1.7258353258333901</v>
      </c>
      <c r="V340">
        <v>24.451425919999899</v>
      </c>
      <c r="W340">
        <v>1.1535451342243199</v>
      </c>
    </row>
    <row r="341" spans="1:23" x14ac:dyDescent="0.3">
      <c r="A341">
        <v>18.928000000000001</v>
      </c>
      <c r="B341">
        <v>0.28916916615976201</v>
      </c>
      <c r="D341">
        <v>21.632000000000001</v>
      </c>
      <c r="E341">
        <v>0.64829177541272798</v>
      </c>
      <c r="G341">
        <v>24.335999999999999</v>
      </c>
      <c r="H341">
        <v>1.1381693413873499</v>
      </c>
      <c r="J341">
        <v>27.0399999999999</v>
      </c>
      <c r="K341">
        <v>1.73017799675325</v>
      </c>
      <c r="V341">
        <v>24.5239820799999</v>
      </c>
      <c r="W341">
        <v>1.15582070427327</v>
      </c>
    </row>
    <row r="342" spans="1:23" x14ac:dyDescent="0.3">
      <c r="A342">
        <v>18.983999999999899</v>
      </c>
      <c r="B342">
        <v>0.28916916615976201</v>
      </c>
      <c r="D342">
        <v>21.695999999999898</v>
      </c>
      <c r="E342">
        <v>0.64867058498867303</v>
      </c>
      <c r="G342">
        <v>24.407999999999902</v>
      </c>
      <c r="H342">
        <v>1.1403163578901401</v>
      </c>
      <c r="J342">
        <v>27.119999999999902</v>
      </c>
      <c r="K342">
        <v>1.73440486311526</v>
      </c>
      <c r="V342">
        <v>24.596538239999902</v>
      </c>
      <c r="W342">
        <v>1.1580010179015601</v>
      </c>
    </row>
    <row r="343" spans="1:23" x14ac:dyDescent="0.3">
      <c r="A343">
        <v>19.04</v>
      </c>
      <c r="B343">
        <v>0.28916916615976301</v>
      </c>
      <c r="D343">
        <v>21.76</v>
      </c>
      <c r="E343">
        <v>0.64897527964758495</v>
      </c>
      <c r="G343">
        <v>24.479999999999901</v>
      </c>
      <c r="H343">
        <v>1.1423695727010601</v>
      </c>
      <c r="J343">
        <v>27.1999999999999</v>
      </c>
      <c r="K343">
        <v>1.7385159249194</v>
      </c>
      <c r="V343">
        <v>24.669094399999999</v>
      </c>
      <c r="W343">
        <v>1.1600860751091999</v>
      </c>
    </row>
    <row r="344" spans="1:23" x14ac:dyDescent="0.3">
      <c r="A344">
        <v>19.096</v>
      </c>
      <c r="B344">
        <v>0.28916916615976301</v>
      </c>
      <c r="D344">
        <v>21.824000000000002</v>
      </c>
      <c r="E344">
        <v>0.649192755631814</v>
      </c>
      <c r="G344">
        <v>24.5519999999999</v>
      </c>
      <c r="H344">
        <v>1.1443289858201</v>
      </c>
      <c r="J344">
        <v>27.279999999999902</v>
      </c>
      <c r="K344">
        <v>1.74251118216568</v>
      </c>
      <c r="V344">
        <v>24.741650559999901</v>
      </c>
      <c r="W344">
        <v>1.16207587589619</v>
      </c>
    </row>
    <row r="345" spans="1:23" x14ac:dyDescent="0.3">
      <c r="A345">
        <v>19.151999999999902</v>
      </c>
      <c r="B345">
        <v>0.28916916615976301</v>
      </c>
      <c r="D345">
        <v>21.888000000000002</v>
      </c>
      <c r="E345">
        <v>0.64934846918518196</v>
      </c>
      <c r="G345">
        <v>24.623999999999899</v>
      </c>
      <c r="H345">
        <v>1.14619459724728</v>
      </c>
      <c r="J345">
        <v>27.3599999999999</v>
      </c>
      <c r="K345">
        <v>1.7463906348540901</v>
      </c>
      <c r="V345">
        <v>24.814206719999898</v>
      </c>
      <c r="W345">
        <v>1.1639704202625201</v>
      </c>
    </row>
    <row r="346" spans="1:23" x14ac:dyDescent="0.3">
      <c r="A346">
        <v>19.207999999999899</v>
      </c>
      <c r="B346">
        <v>0.28916916615976301</v>
      </c>
      <c r="D346">
        <v>21.952000000000002</v>
      </c>
      <c r="E346">
        <v>0.64944242030768895</v>
      </c>
      <c r="G346">
        <v>24.695999999999898</v>
      </c>
      <c r="H346">
        <v>1.1479664069825899</v>
      </c>
      <c r="J346">
        <v>27.439999999999898</v>
      </c>
      <c r="K346">
        <v>1.7501542829846399</v>
      </c>
      <c r="V346">
        <v>24.8867628799999</v>
      </c>
      <c r="W346">
        <v>1.1657697082081999</v>
      </c>
    </row>
    <row r="347" spans="1:23" x14ac:dyDescent="0.3">
      <c r="A347">
        <v>19.2639999999999</v>
      </c>
      <c r="B347">
        <v>0.28916916615976401</v>
      </c>
      <c r="D347">
        <v>22.015999999999998</v>
      </c>
      <c r="E347">
        <v>0.64947460899933596</v>
      </c>
      <c r="G347">
        <v>24.767999999999901</v>
      </c>
      <c r="H347">
        <v>1.1496444150260301</v>
      </c>
      <c r="J347">
        <v>27.5199999999999</v>
      </c>
      <c r="K347">
        <v>1.75380212655733</v>
      </c>
      <c r="V347">
        <v>24.959319039999901</v>
      </c>
      <c r="W347">
        <v>1.16747373973323</v>
      </c>
    </row>
    <row r="348" spans="1:23" x14ac:dyDescent="0.3">
      <c r="A348">
        <v>19.319999999999901</v>
      </c>
      <c r="B348">
        <v>0.28916916615976401</v>
      </c>
      <c r="D348">
        <v>22.08</v>
      </c>
      <c r="E348">
        <v>0.64944503526012298</v>
      </c>
      <c r="G348">
        <v>24.8399999999999</v>
      </c>
      <c r="H348">
        <v>1.1512286213776</v>
      </c>
      <c r="J348">
        <v>27.599999999999898</v>
      </c>
      <c r="K348">
        <v>1.7573341655721499</v>
      </c>
      <c r="V348">
        <v>25.031875199999899</v>
      </c>
      <c r="W348">
        <v>1.1690825148376001</v>
      </c>
    </row>
    <row r="349" spans="1:23" x14ac:dyDescent="0.3">
      <c r="A349">
        <v>19.375999999999902</v>
      </c>
      <c r="B349">
        <v>0.28916916615976401</v>
      </c>
      <c r="D349">
        <v>22.143999999999998</v>
      </c>
      <c r="E349">
        <v>0.64944503526012398</v>
      </c>
      <c r="G349">
        <v>24.911999999999999</v>
      </c>
      <c r="H349">
        <v>1.1527190260372999</v>
      </c>
      <c r="J349">
        <v>27.6799999999999</v>
      </c>
      <c r="K349">
        <v>1.7607504000291101</v>
      </c>
      <c r="V349">
        <v>25.1044313599999</v>
      </c>
      <c r="W349">
        <v>1.1705960335213199</v>
      </c>
    </row>
    <row r="350" spans="1:23" x14ac:dyDescent="0.3">
      <c r="A350">
        <v>19.431999999999899</v>
      </c>
      <c r="B350">
        <v>0.28916916615976401</v>
      </c>
      <c r="D350">
        <v>22.207999999999998</v>
      </c>
      <c r="E350">
        <v>0.64944503526012398</v>
      </c>
      <c r="G350">
        <v>24.983999999999899</v>
      </c>
      <c r="H350">
        <v>1.15411562900514</v>
      </c>
      <c r="J350">
        <v>27.759999999999899</v>
      </c>
      <c r="K350">
        <v>1.7640508299282101</v>
      </c>
      <c r="V350">
        <v>25.176987519999901</v>
      </c>
      <c r="W350">
        <v>1.17201429578438</v>
      </c>
    </row>
    <row r="351" spans="1:23" x14ac:dyDescent="0.3">
      <c r="A351">
        <v>19.4879999999999</v>
      </c>
      <c r="B351">
        <v>0.28916916615976401</v>
      </c>
      <c r="D351">
        <v>22.271999999999998</v>
      </c>
      <c r="E351">
        <v>0.64944503526012498</v>
      </c>
      <c r="G351">
        <v>25.055999999999901</v>
      </c>
      <c r="H351">
        <v>1.1554184302810999</v>
      </c>
      <c r="J351">
        <v>27.8399999999999</v>
      </c>
      <c r="K351">
        <v>1.76723545526944</v>
      </c>
      <c r="V351">
        <v>25.249543679999899</v>
      </c>
      <c r="W351">
        <v>1.1733373016267901</v>
      </c>
    </row>
    <row r="352" spans="1:23" x14ac:dyDescent="0.3">
      <c r="A352">
        <v>19.543999999999901</v>
      </c>
      <c r="B352">
        <v>0.28916916615976401</v>
      </c>
      <c r="D352">
        <v>22.335999999999999</v>
      </c>
      <c r="E352">
        <v>0.64944503526012598</v>
      </c>
      <c r="G352">
        <v>25.127999999999901</v>
      </c>
      <c r="H352">
        <v>1.15662742986519</v>
      </c>
      <c r="J352">
        <v>27.919999999999899</v>
      </c>
      <c r="K352">
        <v>1.77030427605281</v>
      </c>
      <c r="V352">
        <v>25.3220998399999</v>
      </c>
      <c r="W352">
        <v>1.1745650510485399</v>
      </c>
    </row>
    <row r="353" spans="1:23" x14ac:dyDescent="0.3">
      <c r="A353">
        <v>19.599999999999898</v>
      </c>
      <c r="B353">
        <v>0.28916916615976501</v>
      </c>
      <c r="D353">
        <v>22.4</v>
      </c>
      <c r="E353">
        <v>0.64944503526012598</v>
      </c>
      <c r="G353">
        <v>25.1999999999999</v>
      </c>
      <c r="H353">
        <v>1.1577426277574201</v>
      </c>
      <c r="J353">
        <v>27.999999999999901</v>
      </c>
      <c r="K353">
        <v>1.7732572922783201</v>
      </c>
      <c r="V353">
        <v>25.394655999999902</v>
      </c>
      <c r="W353">
        <v>1.17569754404964</v>
      </c>
    </row>
    <row r="354" spans="1:23" x14ac:dyDescent="0.3">
      <c r="A354">
        <v>19.655999999999999</v>
      </c>
      <c r="B354">
        <v>0.28916916615976501</v>
      </c>
      <c r="D354">
        <v>22.463999999999999</v>
      </c>
      <c r="E354">
        <v>0.64944503526012698</v>
      </c>
      <c r="G354">
        <v>25.271999999999899</v>
      </c>
      <c r="H354">
        <v>1.1587640239577699</v>
      </c>
      <c r="J354">
        <v>28.079999999999899</v>
      </c>
      <c r="K354">
        <v>1.7760945039459599</v>
      </c>
      <c r="V354">
        <v>25.4672121599999</v>
      </c>
      <c r="W354">
        <v>1.1767347806300901</v>
      </c>
    </row>
    <row r="355" spans="1:23" x14ac:dyDescent="0.3">
      <c r="A355">
        <v>19.7119999999999</v>
      </c>
      <c r="B355">
        <v>0.28916916615976501</v>
      </c>
      <c r="D355">
        <v>22.527999999999999</v>
      </c>
      <c r="E355">
        <v>0.64944503526012798</v>
      </c>
      <c r="G355">
        <v>25.343999999999902</v>
      </c>
      <c r="H355">
        <v>1.15969161846626</v>
      </c>
      <c r="J355">
        <v>28.159999999999901</v>
      </c>
      <c r="K355">
        <v>1.77881591105574</v>
      </c>
      <c r="V355">
        <v>25.539768319999901</v>
      </c>
      <c r="W355">
        <v>1.1776767607898799</v>
      </c>
    </row>
    <row r="356" spans="1:23" x14ac:dyDescent="0.3">
      <c r="A356">
        <v>19.767999999999901</v>
      </c>
      <c r="B356">
        <v>0.28916916615976501</v>
      </c>
      <c r="D356">
        <v>22.591999999999999</v>
      </c>
      <c r="E356">
        <v>0.64944503526012798</v>
      </c>
      <c r="G356">
        <v>25.415999999999901</v>
      </c>
      <c r="H356">
        <v>1.16052541128287</v>
      </c>
      <c r="J356">
        <v>28.239999999999899</v>
      </c>
      <c r="K356">
        <v>1.7814215136076601</v>
      </c>
      <c r="V356">
        <v>25.612324479999899</v>
      </c>
      <c r="W356">
        <v>1.17852348452902</v>
      </c>
    </row>
    <row r="357" spans="1:23" x14ac:dyDescent="0.3">
      <c r="A357">
        <v>19.823999999999899</v>
      </c>
      <c r="B357">
        <v>0.28916916615976501</v>
      </c>
      <c r="D357">
        <v>22.655999999999999</v>
      </c>
      <c r="E357">
        <v>0.64944503526012898</v>
      </c>
      <c r="G357">
        <v>25.4879999999999</v>
      </c>
      <c r="H357">
        <v>1.1612654024076201</v>
      </c>
      <c r="J357">
        <v>28.319999999999901</v>
      </c>
      <c r="K357">
        <v>1.78391131160171</v>
      </c>
      <c r="V357">
        <v>25.6848806399999</v>
      </c>
      <c r="W357">
        <v>1.1792749518475101</v>
      </c>
    </row>
    <row r="358" spans="1:23" x14ac:dyDescent="0.3">
      <c r="A358">
        <v>19.8799999999999</v>
      </c>
      <c r="B358">
        <v>0.28916916615976501</v>
      </c>
      <c r="D358">
        <v>22.72</v>
      </c>
      <c r="E358">
        <v>0.64944503526012998</v>
      </c>
      <c r="G358">
        <v>25.559999999999899</v>
      </c>
      <c r="H358">
        <v>1.1619115918405001</v>
      </c>
      <c r="J358">
        <v>28.399999999999899</v>
      </c>
      <c r="K358">
        <v>1.7862853050379</v>
      </c>
      <c r="V358">
        <v>25.757436799999901</v>
      </c>
      <c r="W358">
        <v>1.1799311627453399</v>
      </c>
    </row>
    <row r="359" spans="1:23" x14ac:dyDescent="0.3">
      <c r="A359">
        <v>19.9359999999999</v>
      </c>
      <c r="B359">
        <v>0.28916916615976501</v>
      </c>
      <c r="D359">
        <v>22.783999999999999</v>
      </c>
      <c r="E359">
        <v>0.64944503526013098</v>
      </c>
      <c r="G359">
        <v>25.631999999999898</v>
      </c>
      <c r="H359">
        <v>1.1624639795815099</v>
      </c>
      <c r="J359">
        <v>28.479999999999901</v>
      </c>
      <c r="K359">
        <v>1.7885434939162299</v>
      </c>
      <c r="V359">
        <v>25.829992959999899</v>
      </c>
      <c r="W359">
        <v>1.18049211722251</v>
      </c>
    </row>
    <row r="360" spans="1:23" x14ac:dyDescent="0.3">
      <c r="A360">
        <v>19.991999999999901</v>
      </c>
      <c r="B360">
        <v>0.28916916615976501</v>
      </c>
      <c r="D360">
        <v>22.847999999999999</v>
      </c>
      <c r="E360">
        <v>0.64944503526013098</v>
      </c>
      <c r="G360">
        <v>25.703999999999901</v>
      </c>
      <c r="H360">
        <v>1.1629225656306399</v>
      </c>
      <c r="J360">
        <v>28.559999999999899</v>
      </c>
      <c r="K360">
        <v>1.7906858782366899</v>
      </c>
      <c r="V360">
        <v>25.9025491199999</v>
      </c>
      <c r="W360">
        <v>1.1809578152790401</v>
      </c>
    </row>
    <row r="361" spans="1:23" x14ac:dyDescent="0.3">
      <c r="A361">
        <v>20.047999999999899</v>
      </c>
      <c r="B361">
        <v>0.28916916615976501</v>
      </c>
      <c r="D361">
        <v>22.911999999999999</v>
      </c>
      <c r="E361">
        <v>0.64944503526013198</v>
      </c>
      <c r="G361">
        <v>25.7759999999999</v>
      </c>
      <c r="H361">
        <v>1.1632873499879099</v>
      </c>
      <c r="J361">
        <v>28.639999999999901</v>
      </c>
      <c r="K361">
        <v>1.7927124579992899</v>
      </c>
      <c r="V361">
        <v>25.975105279999902</v>
      </c>
      <c r="W361">
        <v>1.1813282569149</v>
      </c>
    </row>
    <row r="362" spans="1:23" x14ac:dyDescent="0.3">
      <c r="A362">
        <v>20.1039999999999</v>
      </c>
      <c r="B362">
        <v>0.28916916615976501</v>
      </c>
      <c r="D362">
        <v>22.975999999999999</v>
      </c>
      <c r="E362">
        <v>0.64944503526013297</v>
      </c>
      <c r="G362">
        <v>25.8479999999999</v>
      </c>
      <c r="H362">
        <v>1.1635583326533101</v>
      </c>
      <c r="J362">
        <v>28.719999999999899</v>
      </c>
      <c r="K362">
        <v>1.7946232332040299</v>
      </c>
      <c r="V362">
        <v>26.047661439999899</v>
      </c>
      <c r="W362">
        <v>1.18160344213012</v>
      </c>
    </row>
    <row r="363" spans="1:23" x14ac:dyDescent="0.3">
      <c r="A363">
        <v>20.159999999999901</v>
      </c>
      <c r="B363">
        <v>0.28916916615976501</v>
      </c>
      <c r="D363">
        <v>23.04</v>
      </c>
      <c r="E363">
        <v>0.64944503526013397</v>
      </c>
      <c r="G363">
        <v>25.919999999999899</v>
      </c>
      <c r="H363">
        <v>1.1637355136268499</v>
      </c>
      <c r="J363">
        <v>28.799999999999901</v>
      </c>
      <c r="K363">
        <v>1.79641820385091</v>
      </c>
      <c r="V363">
        <v>26.120217599999901</v>
      </c>
      <c r="W363">
        <v>1.1817833709246801</v>
      </c>
    </row>
    <row r="364" spans="1:23" x14ac:dyDescent="0.3">
      <c r="A364">
        <v>20.215999999999902</v>
      </c>
      <c r="B364">
        <v>0.28916916615976501</v>
      </c>
      <c r="D364">
        <v>23.103999999999999</v>
      </c>
      <c r="E364">
        <v>0.64944503526013497</v>
      </c>
      <c r="G364">
        <v>25.991999999999901</v>
      </c>
      <c r="H364">
        <v>1.1637814636448101</v>
      </c>
      <c r="J364">
        <v>28.8799999999999</v>
      </c>
      <c r="K364">
        <v>1.7980973699399201</v>
      </c>
      <c r="V364">
        <v>26.192773759999898</v>
      </c>
      <c r="W364">
        <v>1.1818300335610601</v>
      </c>
    </row>
    <row r="365" spans="1:23" x14ac:dyDescent="0.3">
      <c r="A365">
        <v>20.271999999999899</v>
      </c>
      <c r="B365">
        <v>0.28916916615976501</v>
      </c>
      <c r="D365">
        <v>23.167999999999999</v>
      </c>
      <c r="E365">
        <v>0.64944503526013497</v>
      </c>
      <c r="G365">
        <v>26.063999999999901</v>
      </c>
      <c r="H365">
        <v>1.1638117800474701</v>
      </c>
      <c r="J365">
        <v>28.959999999999901</v>
      </c>
      <c r="K365">
        <v>1.79966073147107</v>
      </c>
      <c r="V365">
        <v>26.2653299199999</v>
      </c>
      <c r="W365">
        <v>1.18186082012734</v>
      </c>
    </row>
    <row r="366" spans="1:23" x14ac:dyDescent="0.3">
      <c r="A366">
        <v>20.327999999999999</v>
      </c>
      <c r="B366">
        <v>0.28916916615976501</v>
      </c>
      <c r="D366">
        <v>23.231999999999999</v>
      </c>
      <c r="E366">
        <v>0.64944503526013597</v>
      </c>
      <c r="G366">
        <v>26.1359999999999</v>
      </c>
      <c r="H366">
        <v>1.1638264628348201</v>
      </c>
      <c r="J366">
        <v>29.0399999999999</v>
      </c>
      <c r="K366">
        <v>1.8011082884443499</v>
      </c>
      <c r="V366">
        <v>26.337886079999901</v>
      </c>
      <c r="W366">
        <v>1.1818757306234999</v>
      </c>
    </row>
    <row r="367" spans="1:23" x14ac:dyDescent="0.3">
      <c r="A367">
        <v>20.383999999999901</v>
      </c>
      <c r="B367">
        <v>0.28916916615976501</v>
      </c>
      <c r="D367">
        <v>23.295999999999999</v>
      </c>
      <c r="E367">
        <v>0.64944503526013697</v>
      </c>
      <c r="G367">
        <v>26.207999999999899</v>
      </c>
      <c r="H367">
        <v>1.1638255120068499</v>
      </c>
      <c r="J367">
        <v>29.119999999999902</v>
      </c>
      <c r="K367">
        <v>1.8024400408597701</v>
      </c>
      <c r="V367">
        <v>26.410442239999899</v>
      </c>
      <c r="W367">
        <v>1.18187476504956</v>
      </c>
    </row>
    <row r="368" spans="1:23" x14ac:dyDescent="0.3">
      <c r="A368">
        <v>20.439999999999898</v>
      </c>
      <c r="B368">
        <v>0.28916916615976501</v>
      </c>
      <c r="D368">
        <v>23.36</v>
      </c>
      <c r="E368">
        <v>0.64944503526013797</v>
      </c>
      <c r="G368">
        <v>26.279999999999902</v>
      </c>
      <c r="H368">
        <v>1.1638089275635799</v>
      </c>
      <c r="J368">
        <v>29.1999999999999</v>
      </c>
      <c r="K368">
        <v>1.80365598871733</v>
      </c>
      <c r="V368">
        <v>26.4829983999999</v>
      </c>
      <c r="W368">
        <v>1.18185792340551</v>
      </c>
    </row>
    <row r="369" spans="1:23" x14ac:dyDescent="0.3">
      <c r="A369">
        <v>20.495999999999999</v>
      </c>
      <c r="B369">
        <v>0.28916916615976501</v>
      </c>
      <c r="D369">
        <v>23.423999999999999</v>
      </c>
      <c r="E369">
        <v>0.64944503526013897</v>
      </c>
      <c r="G369">
        <v>26.351999999999901</v>
      </c>
      <c r="H369">
        <v>1.1638089275635799</v>
      </c>
      <c r="J369">
        <v>29.279999999999902</v>
      </c>
      <c r="K369">
        <v>1.80475613201702</v>
      </c>
      <c r="V369">
        <v>26.555554559999901</v>
      </c>
      <c r="W369">
        <v>1.1818579234055</v>
      </c>
    </row>
    <row r="370" spans="1:23" x14ac:dyDescent="0.3">
      <c r="A370">
        <v>20.5519999999999</v>
      </c>
      <c r="B370">
        <v>0.28916916615976501</v>
      </c>
      <c r="D370">
        <v>23.488</v>
      </c>
      <c r="E370">
        <v>0.64944503526013997</v>
      </c>
      <c r="G370">
        <v>26.4239999999999</v>
      </c>
      <c r="H370">
        <v>1.1638089275635799</v>
      </c>
      <c r="J370">
        <v>29.3599999999999</v>
      </c>
      <c r="K370">
        <v>1.80574047075885</v>
      </c>
      <c r="V370">
        <v>26.628110719999899</v>
      </c>
      <c r="W370">
        <v>1.18185792340549</v>
      </c>
    </row>
    <row r="371" spans="1:23" x14ac:dyDescent="0.3">
      <c r="A371">
        <v>20.607999999999901</v>
      </c>
      <c r="B371">
        <v>0.28916916615976501</v>
      </c>
      <c r="D371">
        <v>23.552</v>
      </c>
      <c r="E371">
        <v>0.64944503526013997</v>
      </c>
      <c r="G371">
        <v>26.495999999999999</v>
      </c>
      <c r="H371">
        <v>1.1638089275635799</v>
      </c>
      <c r="J371">
        <v>29.439999999999898</v>
      </c>
      <c r="K371">
        <v>1.8066090049428201</v>
      </c>
      <c r="V371">
        <v>26.700666879999901</v>
      </c>
      <c r="W371">
        <v>1.18185792340548</v>
      </c>
    </row>
    <row r="372" spans="1:23" x14ac:dyDescent="0.3">
      <c r="A372">
        <v>20.663999999999898</v>
      </c>
      <c r="B372">
        <v>0.28916916615976601</v>
      </c>
      <c r="D372">
        <v>23.616</v>
      </c>
      <c r="E372">
        <v>0.64944503526014097</v>
      </c>
      <c r="G372">
        <v>26.567999999999898</v>
      </c>
      <c r="H372">
        <v>1.1638089275635799</v>
      </c>
      <c r="J372">
        <v>29.5199999999999</v>
      </c>
      <c r="K372">
        <v>1.8073617345689299</v>
      </c>
      <c r="V372">
        <v>26.773223039999898</v>
      </c>
      <c r="W372">
        <v>1.18185792340547</v>
      </c>
    </row>
    <row r="373" spans="1:23" x14ac:dyDescent="0.3">
      <c r="A373">
        <v>20.719999999999899</v>
      </c>
      <c r="B373">
        <v>0.28916916615976601</v>
      </c>
      <c r="D373">
        <v>23.68</v>
      </c>
      <c r="E373">
        <v>0.64944503526014197</v>
      </c>
      <c r="G373">
        <v>26.639999999999901</v>
      </c>
      <c r="H373">
        <v>1.1638089275635799</v>
      </c>
      <c r="J373">
        <v>29.599999999999898</v>
      </c>
      <c r="K373">
        <v>1.80799865963717</v>
      </c>
      <c r="V373">
        <v>26.8457791999999</v>
      </c>
      <c r="W373">
        <v>1.18185792340546</v>
      </c>
    </row>
    <row r="374" spans="1:23" x14ac:dyDescent="0.3">
      <c r="A374">
        <v>20.7759999999999</v>
      </c>
      <c r="B374">
        <v>0.28916916615976601</v>
      </c>
      <c r="D374">
        <v>23.744</v>
      </c>
      <c r="E374">
        <v>0.64944503526014197</v>
      </c>
      <c r="G374">
        <v>26.7119999999999</v>
      </c>
      <c r="H374">
        <v>1.1638089275635799</v>
      </c>
      <c r="J374">
        <v>29.6799999999999</v>
      </c>
      <c r="K374">
        <v>1.8085197801475501</v>
      </c>
      <c r="V374">
        <v>26.918335359999901</v>
      </c>
      <c r="W374">
        <v>1.18185792340546</v>
      </c>
    </row>
    <row r="375" spans="1:23" x14ac:dyDescent="0.3">
      <c r="A375">
        <v>20.831999999999901</v>
      </c>
      <c r="B375">
        <v>0.28916916615976501</v>
      </c>
      <c r="D375">
        <v>23.808</v>
      </c>
      <c r="E375">
        <v>0.64944503526014297</v>
      </c>
      <c r="G375">
        <v>26.783999999999899</v>
      </c>
      <c r="H375">
        <v>1.1638089275635799</v>
      </c>
      <c r="J375">
        <v>29.759999999999899</v>
      </c>
      <c r="K375">
        <v>1.80892509610006</v>
      </c>
      <c r="V375">
        <v>26.990891519999899</v>
      </c>
      <c r="W375">
        <v>1.18185792340545</v>
      </c>
    </row>
    <row r="376" spans="1:23" x14ac:dyDescent="0.3">
      <c r="A376">
        <v>20.887999999999899</v>
      </c>
      <c r="B376">
        <v>0.28916916615976501</v>
      </c>
      <c r="D376">
        <v>23.872</v>
      </c>
      <c r="E376">
        <v>0.64944503526014297</v>
      </c>
      <c r="G376">
        <v>26.855999999999899</v>
      </c>
      <c r="H376">
        <v>1.1638089275635799</v>
      </c>
      <c r="J376">
        <v>29.8399999999999</v>
      </c>
      <c r="K376">
        <v>1.80921460749471</v>
      </c>
      <c r="V376">
        <v>27.0634476799999</v>
      </c>
      <c r="W376">
        <v>1.18185792340544</v>
      </c>
    </row>
    <row r="377" spans="1:23" x14ac:dyDescent="0.3">
      <c r="A377">
        <v>20.9439999999999</v>
      </c>
      <c r="B377">
        <v>0.28916916615976501</v>
      </c>
      <c r="D377">
        <v>23.936</v>
      </c>
      <c r="E377">
        <v>0.64944503526014397</v>
      </c>
      <c r="G377">
        <v>26.927999999999901</v>
      </c>
      <c r="H377">
        <v>1.1638089275635799</v>
      </c>
      <c r="J377">
        <v>29.919999999999899</v>
      </c>
      <c r="K377">
        <v>1.8093883143314999</v>
      </c>
      <c r="V377">
        <v>27.136003840000001</v>
      </c>
      <c r="W377">
        <v>1.1818579234054301</v>
      </c>
    </row>
    <row r="378" spans="1:23" x14ac:dyDescent="0.3">
      <c r="A378">
        <v>20.999999999999901</v>
      </c>
      <c r="B378">
        <v>0.28916916615976501</v>
      </c>
      <c r="D378">
        <v>24</v>
      </c>
      <c r="E378">
        <v>0.64944503526014496</v>
      </c>
      <c r="G378">
        <v>26.999999999999901</v>
      </c>
      <c r="H378">
        <v>1.1638089275635799</v>
      </c>
      <c r="J378">
        <v>29.999999999999901</v>
      </c>
      <c r="K378">
        <v>1.8094462166104199</v>
      </c>
      <c r="V378">
        <v>27.208559999999999</v>
      </c>
      <c r="W378">
        <v>1.1818579234054201</v>
      </c>
    </row>
    <row r="379" spans="1:23" x14ac:dyDescent="0.3">
      <c r="A379">
        <v>21.055999999999901</v>
      </c>
      <c r="B379">
        <v>0.28916916615976601</v>
      </c>
      <c r="D379">
        <v>24.064</v>
      </c>
      <c r="E379">
        <v>0.64944503526014596</v>
      </c>
      <c r="G379">
        <v>27.0719999999999</v>
      </c>
      <c r="H379">
        <v>1.1638089275635799</v>
      </c>
      <c r="J379">
        <v>30.079999999999899</v>
      </c>
      <c r="K379">
        <v>1.8094462166104199</v>
      </c>
      <c r="V379">
        <v>27.28111616</v>
      </c>
      <c r="W379">
        <v>1.1818579234054101</v>
      </c>
    </row>
    <row r="380" spans="1:23" x14ac:dyDescent="0.3">
      <c r="A380">
        <v>21.111999999999899</v>
      </c>
      <c r="B380">
        <v>0.28916916615976501</v>
      </c>
      <c r="D380">
        <v>24.128</v>
      </c>
      <c r="E380">
        <v>0.64944503526014596</v>
      </c>
      <c r="G380">
        <v>27.143999999999899</v>
      </c>
      <c r="H380">
        <v>1.1638089275635799</v>
      </c>
      <c r="J380">
        <v>30.159999999999901</v>
      </c>
      <c r="K380">
        <v>1.8094462166104099</v>
      </c>
      <c r="V380">
        <v>27.353672319999902</v>
      </c>
      <c r="W380">
        <v>1.1818579234054001</v>
      </c>
    </row>
    <row r="381" spans="1:23" x14ac:dyDescent="0.3">
      <c r="A381">
        <v>21.167999999999999</v>
      </c>
      <c r="B381">
        <v>0.28916916615976501</v>
      </c>
      <c r="D381">
        <v>24.192</v>
      </c>
      <c r="E381">
        <v>0.64944503526014696</v>
      </c>
      <c r="G381">
        <v>27.215999999999902</v>
      </c>
      <c r="H381">
        <v>1.1638089275635799</v>
      </c>
      <c r="J381">
        <v>30.239999999999899</v>
      </c>
      <c r="K381">
        <v>1.8094462166103999</v>
      </c>
      <c r="V381">
        <v>27.426228479999899</v>
      </c>
      <c r="W381">
        <v>1.1818579234054001</v>
      </c>
    </row>
    <row r="382" spans="1:23" x14ac:dyDescent="0.3">
      <c r="A382">
        <v>21.224</v>
      </c>
      <c r="B382">
        <v>0.28916916615976601</v>
      </c>
      <c r="D382">
        <v>24.256</v>
      </c>
      <c r="E382">
        <v>0.64944503526014696</v>
      </c>
      <c r="G382">
        <v>27.287999999999901</v>
      </c>
      <c r="H382">
        <v>1.1638089275635799</v>
      </c>
      <c r="J382">
        <v>30.319999999999901</v>
      </c>
      <c r="K382">
        <v>1.8094462166103999</v>
      </c>
      <c r="V382">
        <v>27.498784639999901</v>
      </c>
      <c r="W382">
        <v>1.1818579234053901</v>
      </c>
    </row>
    <row r="383" spans="1:23" x14ac:dyDescent="0.3">
      <c r="A383">
        <v>21.28</v>
      </c>
      <c r="B383">
        <v>0.28916916615976601</v>
      </c>
      <c r="D383">
        <v>24.32</v>
      </c>
      <c r="E383">
        <v>0.64944503526014796</v>
      </c>
      <c r="G383">
        <v>27.3599999999999</v>
      </c>
      <c r="H383">
        <v>1.1638089275635799</v>
      </c>
      <c r="J383">
        <v>30.399999999999899</v>
      </c>
      <c r="K383">
        <v>1.80944621661039</v>
      </c>
      <c r="V383">
        <v>27.571340799999899</v>
      </c>
      <c r="W383">
        <v>1.1818579234053801</v>
      </c>
    </row>
    <row r="384" spans="1:23" x14ac:dyDescent="0.3">
      <c r="A384">
        <v>21.335999999999999</v>
      </c>
      <c r="B384">
        <v>0.28916916615976601</v>
      </c>
      <c r="D384">
        <v>24.384</v>
      </c>
      <c r="E384">
        <v>0.64944503526014796</v>
      </c>
      <c r="G384">
        <v>27.431999999999899</v>
      </c>
      <c r="H384">
        <v>1.1638089275635799</v>
      </c>
      <c r="J384">
        <v>30.479999999999901</v>
      </c>
      <c r="K384">
        <v>1.80944621661038</v>
      </c>
      <c r="V384">
        <v>27.6438969599999</v>
      </c>
      <c r="W384">
        <v>1.1818579234053701</v>
      </c>
    </row>
    <row r="385" spans="1:23" x14ac:dyDescent="0.3">
      <c r="A385">
        <v>21.391999999999999</v>
      </c>
      <c r="B385">
        <v>0.28916916615976601</v>
      </c>
      <c r="D385">
        <v>24.448</v>
      </c>
      <c r="E385">
        <v>0.64944503526014896</v>
      </c>
      <c r="G385">
        <v>27.503999999999898</v>
      </c>
      <c r="H385">
        <v>1.1638089275635799</v>
      </c>
      <c r="J385">
        <v>30.559999999999899</v>
      </c>
      <c r="K385">
        <v>1.80944621661038</v>
      </c>
      <c r="V385">
        <v>27.716453119999901</v>
      </c>
      <c r="W385">
        <v>1.1818579234053599</v>
      </c>
    </row>
    <row r="386" spans="1:23" x14ac:dyDescent="0.3">
      <c r="A386">
        <v>21.448</v>
      </c>
      <c r="B386">
        <v>0.28916916615976601</v>
      </c>
      <c r="D386">
        <v>24.511999999999901</v>
      </c>
      <c r="E386">
        <v>0.64944503526014896</v>
      </c>
      <c r="G386">
        <v>27.575999999999901</v>
      </c>
      <c r="H386">
        <v>1.1638089275635799</v>
      </c>
      <c r="J386">
        <v>30.639999999999901</v>
      </c>
      <c r="K386">
        <v>1.80944621661037</v>
      </c>
      <c r="V386">
        <v>27.789009279999899</v>
      </c>
      <c r="W386">
        <v>1.1818579234053499</v>
      </c>
    </row>
    <row r="387" spans="1:23" x14ac:dyDescent="0.3">
      <c r="A387">
        <v>21.503999999999898</v>
      </c>
      <c r="B387">
        <v>0.28916916615976601</v>
      </c>
      <c r="D387">
        <v>24.575999999999901</v>
      </c>
      <c r="E387">
        <v>0.64944503526014896</v>
      </c>
      <c r="G387">
        <v>27.6479999999999</v>
      </c>
      <c r="H387">
        <v>1.1638089275635799</v>
      </c>
      <c r="J387">
        <v>30.719999999999899</v>
      </c>
      <c r="K387">
        <v>1.80944621661036</v>
      </c>
      <c r="V387">
        <v>27.8615654399999</v>
      </c>
      <c r="W387">
        <v>1.1818579234053499</v>
      </c>
    </row>
    <row r="388" spans="1:23" x14ac:dyDescent="0.3">
      <c r="A388">
        <v>21.559999999999899</v>
      </c>
      <c r="B388">
        <v>0.28916916615976601</v>
      </c>
      <c r="D388">
        <v>24.639999999999901</v>
      </c>
      <c r="E388">
        <v>0.64944503526014996</v>
      </c>
      <c r="G388">
        <v>27.719999999999899</v>
      </c>
      <c r="H388">
        <v>1.1638089275635799</v>
      </c>
      <c r="J388">
        <v>30.799999999999901</v>
      </c>
      <c r="K388">
        <v>1.80944621661036</v>
      </c>
      <c r="V388">
        <v>27.934121599999902</v>
      </c>
      <c r="W388">
        <v>1.1818579234053399</v>
      </c>
    </row>
    <row r="389" spans="1:23" x14ac:dyDescent="0.3">
      <c r="A389">
        <v>21.6159999999999</v>
      </c>
      <c r="B389">
        <v>0.28916916615976601</v>
      </c>
      <c r="D389">
        <v>24.703999999999901</v>
      </c>
      <c r="E389">
        <v>0.64944503526014996</v>
      </c>
      <c r="G389">
        <v>27.791999999999899</v>
      </c>
      <c r="H389">
        <v>1.1638089275635899</v>
      </c>
      <c r="J389">
        <v>30.8799999999999</v>
      </c>
      <c r="K389">
        <v>1.80944621661035</v>
      </c>
      <c r="V389">
        <v>28.006677759999899</v>
      </c>
      <c r="W389">
        <v>1.1818579234053299</v>
      </c>
    </row>
    <row r="390" spans="1:23" x14ac:dyDescent="0.3">
      <c r="A390">
        <v>21.671999999999901</v>
      </c>
      <c r="B390">
        <v>0.28916916615976601</v>
      </c>
      <c r="D390">
        <v>24.767999999999901</v>
      </c>
      <c r="E390">
        <v>0.64944503526014996</v>
      </c>
      <c r="G390">
        <v>27.863999999999901</v>
      </c>
      <c r="H390">
        <v>1.1638089275635899</v>
      </c>
      <c r="J390">
        <v>30.959999999999901</v>
      </c>
      <c r="K390">
        <v>1.80944621661034</v>
      </c>
      <c r="V390">
        <v>28.079233919999901</v>
      </c>
      <c r="W390">
        <v>1.1818579234053199</v>
      </c>
    </row>
    <row r="391" spans="1:23" x14ac:dyDescent="0.3">
      <c r="A391">
        <v>21.727999999999899</v>
      </c>
      <c r="B391">
        <v>0.28916916615976601</v>
      </c>
      <c r="D391">
        <v>24.831999999999901</v>
      </c>
      <c r="E391">
        <v>0.64944503526014996</v>
      </c>
      <c r="G391">
        <v>27.9359999999999</v>
      </c>
      <c r="H391">
        <v>1.1638089275635899</v>
      </c>
      <c r="J391">
        <v>31.0399999999999</v>
      </c>
      <c r="K391">
        <v>1.80944621661034</v>
      </c>
      <c r="V391">
        <v>28.151790079999898</v>
      </c>
      <c r="W391">
        <v>1.1818579234053099</v>
      </c>
    </row>
    <row r="392" spans="1:23" x14ac:dyDescent="0.3">
      <c r="A392">
        <v>21.783999999999899</v>
      </c>
      <c r="B392">
        <v>0.28916916615976601</v>
      </c>
      <c r="D392">
        <v>24.895999999999901</v>
      </c>
      <c r="E392">
        <v>0.64944503526015096</v>
      </c>
      <c r="G392">
        <v>28.0079999999999</v>
      </c>
      <c r="H392">
        <v>1.1638089275635899</v>
      </c>
      <c r="J392">
        <v>31.119999999999902</v>
      </c>
      <c r="K392">
        <v>1.80944621661033</v>
      </c>
      <c r="V392">
        <v>28.2243462399999</v>
      </c>
      <c r="W392">
        <v>1.1818579234053099</v>
      </c>
    </row>
    <row r="393" spans="1:23" x14ac:dyDescent="0.3">
      <c r="A393">
        <v>21.8399999999999</v>
      </c>
      <c r="B393">
        <v>0.28916916615976601</v>
      </c>
      <c r="D393">
        <v>24.959999999999901</v>
      </c>
      <c r="E393">
        <v>0.64944503526015096</v>
      </c>
      <c r="G393">
        <v>28.08</v>
      </c>
      <c r="H393">
        <v>1.1638089275635899</v>
      </c>
      <c r="J393">
        <v>31.1999999999999</v>
      </c>
      <c r="K393">
        <v>1.80944621661032</v>
      </c>
      <c r="V393">
        <v>28.296902399999901</v>
      </c>
      <c r="W393">
        <v>1.1818579234052999</v>
      </c>
    </row>
    <row r="394" spans="1:23" x14ac:dyDescent="0.3">
      <c r="A394">
        <v>21.895999999999901</v>
      </c>
      <c r="B394">
        <v>0.28916916615976601</v>
      </c>
      <c r="D394">
        <v>25.023999999999901</v>
      </c>
      <c r="E394">
        <v>0.64944503526015096</v>
      </c>
      <c r="G394">
        <v>28.151999999999902</v>
      </c>
      <c r="H394">
        <v>1.1638089275635899</v>
      </c>
      <c r="J394">
        <v>31.279999999999902</v>
      </c>
      <c r="K394">
        <v>1.80944621661032</v>
      </c>
      <c r="V394">
        <v>28.369458559999899</v>
      </c>
      <c r="W394">
        <v>1.1818579234052899</v>
      </c>
    </row>
    <row r="395" spans="1:23" x14ac:dyDescent="0.3">
      <c r="A395">
        <v>21.951999999999899</v>
      </c>
      <c r="B395">
        <v>0.28916916615976601</v>
      </c>
      <c r="D395">
        <v>25.087999999999901</v>
      </c>
      <c r="E395">
        <v>0.64944503526015096</v>
      </c>
      <c r="G395">
        <v>28.223999999999901</v>
      </c>
      <c r="H395">
        <v>1.1638089275635899</v>
      </c>
      <c r="J395">
        <v>31.3599999999999</v>
      </c>
      <c r="K395">
        <v>1.80944621661031</v>
      </c>
      <c r="V395">
        <v>28.4420147199999</v>
      </c>
      <c r="W395">
        <v>1.18185792340528</v>
      </c>
    </row>
    <row r="396" spans="1:23" x14ac:dyDescent="0.3">
      <c r="A396">
        <v>22.007999999999999</v>
      </c>
      <c r="B396">
        <v>0.28916916615976601</v>
      </c>
      <c r="D396">
        <v>25.151999999999902</v>
      </c>
      <c r="E396">
        <v>0.64944503526015196</v>
      </c>
      <c r="G396">
        <v>28.2959999999999</v>
      </c>
      <c r="H396">
        <v>1.1638089275635899</v>
      </c>
      <c r="J396">
        <v>31.439999999999898</v>
      </c>
      <c r="K396">
        <v>1.80944621661031</v>
      </c>
      <c r="V396">
        <v>28.514570879999901</v>
      </c>
      <c r="W396">
        <v>1.18185792340527</v>
      </c>
    </row>
    <row r="397" spans="1:23" x14ac:dyDescent="0.3">
      <c r="A397">
        <v>22.063999999999901</v>
      </c>
      <c r="B397">
        <v>0.28916916615976601</v>
      </c>
      <c r="D397">
        <v>25.215999999999902</v>
      </c>
      <c r="E397">
        <v>0.64944503526015196</v>
      </c>
      <c r="G397">
        <v>28.367999999999899</v>
      </c>
      <c r="H397">
        <v>1.1638089275635899</v>
      </c>
      <c r="J397">
        <v>31.5199999999999</v>
      </c>
      <c r="K397">
        <v>1.8094462166103</v>
      </c>
      <c r="V397">
        <v>28.587127039999899</v>
      </c>
      <c r="W397">
        <v>1.18185792340526</v>
      </c>
    </row>
    <row r="398" spans="1:23" x14ac:dyDescent="0.3">
      <c r="A398">
        <v>22.119999999999902</v>
      </c>
      <c r="B398">
        <v>0.28916916615976601</v>
      </c>
      <c r="D398">
        <v>25.279999999999902</v>
      </c>
      <c r="E398">
        <v>0.64944503526015196</v>
      </c>
      <c r="G398">
        <v>28.439999999999898</v>
      </c>
      <c r="H398">
        <v>1.1638089275635899</v>
      </c>
      <c r="J398">
        <v>31.599999999999898</v>
      </c>
      <c r="K398">
        <v>1.80944621661029</v>
      </c>
      <c r="V398">
        <v>28.6596831999999</v>
      </c>
      <c r="W398">
        <v>1.18185792340526</v>
      </c>
    </row>
    <row r="399" spans="1:23" x14ac:dyDescent="0.3">
      <c r="A399">
        <v>22.175999999999998</v>
      </c>
      <c r="B399">
        <v>0.28916916615976601</v>
      </c>
      <c r="D399">
        <v>25.344000000000001</v>
      </c>
      <c r="E399">
        <v>0.64944503526015296</v>
      </c>
      <c r="G399">
        <v>28.511999999999901</v>
      </c>
      <c r="H399">
        <v>1.1638089275635899</v>
      </c>
      <c r="J399">
        <v>31.6799999999999</v>
      </c>
      <c r="K399">
        <v>1.80944621661029</v>
      </c>
      <c r="V399">
        <v>28.732239359999902</v>
      </c>
      <c r="W399">
        <v>1.18185792340525</v>
      </c>
    </row>
    <row r="400" spans="1:23" x14ac:dyDescent="0.3">
      <c r="A400">
        <v>22.231999999999999</v>
      </c>
      <c r="B400">
        <v>0.28916916615976601</v>
      </c>
      <c r="D400">
        <v>25.407999999999902</v>
      </c>
      <c r="E400">
        <v>0.64944503526015296</v>
      </c>
      <c r="G400">
        <v>28.5839999999999</v>
      </c>
      <c r="H400">
        <v>1.1638089275635899</v>
      </c>
      <c r="J400">
        <v>31.759999999999899</v>
      </c>
      <c r="K400">
        <v>1.80944621661028</v>
      </c>
      <c r="V400">
        <v>28.8047955199999</v>
      </c>
      <c r="W400">
        <v>1.18185792340524</v>
      </c>
    </row>
    <row r="401" spans="1:23" x14ac:dyDescent="0.3">
      <c r="A401">
        <v>22.287999999999901</v>
      </c>
      <c r="B401">
        <v>0.28916916615976601</v>
      </c>
      <c r="D401">
        <v>25.471999999999898</v>
      </c>
      <c r="E401">
        <v>0.64944503526015296</v>
      </c>
      <c r="G401">
        <v>28.655999999999899</v>
      </c>
      <c r="H401">
        <v>1.1638089275636001</v>
      </c>
      <c r="J401">
        <v>31.8399999999999</v>
      </c>
      <c r="K401">
        <v>1.80944621661028</v>
      </c>
      <c r="V401">
        <v>28.877351679999901</v>
      </c>
      <c r="W401">
        <v>1.18185792340523</v>
      </c>
    </row>
    <row r="402" spans="1:23" x14ac:dyDescent="0.3">
      <c r="A402">
        <v>22.344000000000001</v>
      </c>
      <c r="B402">
        <v>0.28916916615976601</v>
      </c>
      <c r="D402">
        <v>25.535999999999898</v>
      </c>
      <c r="E402">
        <v>0.64944503526015396</v>
      </c>
      <c r="G402">
        <v>28.727999999999899</v>
      </c>
      <c r="H402">
        <v>1.1638089275636001</v>
      </c>
      <c r="J402">
        <v>31.919999999999899</v>
      </c>
      <c r="K402">
        <v>1.8094462166102701</v>
      </c>
      <c r="V402">
        <v>28.949907839999899</v>
      </c>
      <c r="W402">
        <v>1.18185792340522</v>
      </c>
    </row>
    <row r="403" spans="1:23" x14ac:dyDescent="0.3">
      <c r="A403">
        <v>22.4</v>
      </c>
      <c r="B403">
        <v>0.28916916615976601</v>
      </c>
      <c r="D403">
        <v>25.599999999999898</v>
      </c>
      <c r="E403">
        <v>0.64944503526015396</v>
      </c>
      <c r="G403">
        <v>28.799999999999901</v>
      </c>
      <c r="H403">
        <v>1.1638089275636001</v>
      </c>
      <c r="J403">
        <v>31.999999999999901</v>
      </c>
      <c r="K403">
        <v>1.8094462166102601</v>
      </c>
      <c r="V403">
        <v>29.0224639999999</v>
      </c>
      <c r="W403">
        <v>1.18185792340522</v>
      </c>
    </row>
    <row r="404" spans="1:23" x14ac:dyDescent="0.3">
      <c r="A404">
        <v>22.456</v>
      </c>
      <c r="B404">
        <v>0.28916916615976601</v>
      </c>
      <c r="D404">
        <v>25.664000000000001</v>
      </c>
      <c r="E404">
        <v>0.64944503526015396</v>
      </c>
      <c r="G404">
        <v>28.8719999999999</v>
      </c>
      <c r="H404">
        <v>1.1638089275636001</v>
      </c>
      <c r="J404">
        <v>32.079999999999899</v>
      </c>
      <c r="K404">
        <v>1.8094462166102601</v>
      </c>
      <c r="V404">
        <v>29.095020159999901</v>
      </c>
      <c r="W404">
        <v>1.18185792340521</v>
      </c>
    </row>
    <row r="405" spans="1:23" x14ac:dyDescent="0.3">
      <c r="A405">
        <v>22.511999999999901</v>
      </c>
      <c r="B405">
        <v>0.28916916615976601</v>
      </c>
      <c r="D405">
        <v>25.728000000000002</v>
      </c>
      <c r="E405">
        <v>0.64944503526015396</v>
      </c>
      <c r="G405">
        <v>28.9439999999999</v>
      </c>
      <c r="H405">
        <v>1.1638089275636001</v>
      </c>
      <c r="J405">
        <v>32.159999999999897</v>
      </c>
      <c r="K405">
        <v>1.8094462166102501</v>
      </c>
      <c r="V405">
        <v>29.167576319999899</v>
      </c>
      <c r="W405">
        <v>1.1818579234052</v>
      </c>
    </row>
    <row r="406" spans="1:23" x14ac:dyDescent="0.3">
      <c r="A406">
        <v>22.567999999999898</v>
      </c>
      <c r="B406">
        <v>0.28916916615976601</v>
      </c>
      <c r="D406">
        <v>25.792000000000002</v>
      </c>
      <c r="E406">
        <v>0.64944503526015496</v>
      </c>
      <c r="G406">
        <v>29.015999999999899</v>
      </c>
      <c r="H406">
        <v>1.1638089275636001</v>
      </c>
      <c r="J406">
        <v>32.239999999999903</v>
      </c>
      <c r="K406">
        <v>1.8094462166102501</v>
      </c>
      <c r="V406">
        <v>29.2401324799999</v>
      </c>
      <c r="W406">
        <v>1.18185792340519</v>
      </c>
    </row>
    <row r="407" spans="1:23" x14ac:dyDescent="0.3">
      <c r="A407">
        <v>22.623999999999899</v>
      </c>
      <c r="B407">
        <v>0.28916916615976601</v>
      </c>
      <c r="D407">
        <v>25.856000000000002</v>
      </c>
      <c r="E407">
        <v>0.64944503526015496</v>
      </c>
      <c r="G407">
        <v>29.087999999999901</v>
      </c>
      <c r="H407">
        <v>1.1638089275636001</v>
      </c>
      <c r="J407">
        <v>32.319999999999901</v>
      </c>
      <c r="K407">
        <v>1.8094462166102401</v>
      </c>
      <c r="V407">
        <v>29.312688639999902</v>
      </c>
      <c r="W407">
        <v>1.18185792340519</v>
      </c>
    </row>
    <row r="408" spans="1:23" x14ac:dyDescent="0.3">
      <c r="A408">
        <v>22.6799999999999</v>
      </c>
      <c r="B408">
        <v>0.28916916615976601</v>
      </c>
      <c r="D408">
        <v>25.92</v>
      </c>
      <c r="E408">
        <v>0.64944503526015496</v>
      </c>
      <c r="G408">
        <v>29.159999999999901</v>
      </c>
      <c r="H408">
        <v>1.1638089275636001</v>
      </c>
      <c r="J408">
        <v>32.399999999999899</v>
      </c>
      <c r="K408">
        <v>1.8094462166102401</v>
      </c>
      <c r="V408">
        <v>29.385244799999899</v>
      </c>
      <c r="W408">
        <v>1.18185792340518</v>
      </c>
    </row>
    <row r="409" spans="1:23" x14ac:dyDescent="0.3">
      <c r="A409">
        <v>22.735999999999901</v>
      </c>
      <c r="B409">
        <v>0.28916916615976601</v>
      </c>
      <c r="D409">
        <v>25.984000000000002</v>
      </c>
      <c r="E409">
        <v>0.64944503526015596</v>
      </c>
      <c r="G409">
        <v>29.2319999999999</v>
      </c>
      <c r="H409">
        <v>1.1638089275636001</v>
      </c>
      <c r="J409">
        <v>32.479999999999897</v>
      </c>
      <c r="K409">
        <v>1.8094462166102301</v>
      </c>
      <c r="V409">
        <v>29.457800959999901</v>
      </c>
      <c r="W409">
        <v>1.18185792340517</v>
      </c>
    </row>
    <row r="410" spans="1:23" x14ac:dyDescent="0.3">
      <c r="A410">
        <v>22.791999999999899</v>
      </c>
      <c r="B410">
        <v>0.28916916615976601</v>
      </c>
      <c r="D410">
        <v>26.047999999999998</v>
      </c>
      <c r="E410">
        <v>0.64944503526015596</v>
      </c>
      <c r="G410">
        <v>29.303999999999899</v>
      </c>
      <c r="H410">
        <v>1.1638089275636001</v>
      </c>
      <c r="J410">
        <v>32.559999999999903</v>
      </c>
      <c r="K410">
        <v>1.8094462166102201</v>
      </c>
      <c r="V410">
        <v>29.530357119999898</v>
      </c>
      <c r="W410">
        <v>1.18185792340517</v>
      </c>
    </row>
    <row r="411" spans="1:23" x14ac:dyDescent="0.3">
      <c r="A411">
        <v>22.847999999999999</v>
      </c>
      <c r="B411">
        <v>0.28916916615976601</v>
      </c>
      <c r="D411">
        <v>26.111999999999998</v>
      </c>
      <c r="E411">
        <v>0.64944503526015596</v>
      </c>
      <c r="G411">
        <v>29.375999999999902</v>
      </c>
      <c r="H411">
        <v>1.1638089275636001</v>
      </c>
      <c r="J411">
        <v>32.639999999999901</v>
      </c>
      <c r="K411">
        <v>1.8094462166102201</v>
      </c>
      <c r="V411">
        <v>29.6029132799999</v>
      </c>
      <c r="W411">
        <v>1.18185792340516</v>
      </c>
    </row>
    <row r="412" spans="1:23" x14ac:dyDescent="0.3">
      <c r="A412">
        <v>22.9039999999999</v>
      </c>
      <c r="B412">
        <v>0.28916916615976601</v>
      </c>
      <c r="D412">
        <v>26.175999999999998</v>
      </c>
      <c r="E412">
        <v>0.64944503526015696</v>
      </c>
      <c r="G412">
        <v>29.447999999999901</v>
      </c>
      <c r="H412">
        <v>1.1638089275636101</v>
      </c>
      <c r="J412">
        <v>32.719999999999899</v>
      </c>
      <c r="K412">
        <v>1.8094462166102101</v>
      </c>
      <c r="V412">
        <v>29.675469439999901</v>
      </c>
      <c r="W412">
        <v>1.1818579234051501</v>
      </c>
    </row>
    <row r="413" spans="1:23" x14ac:dyDescent="0.3">
      <c r="A413">
        <v>22.959999999999901</v>
      </c>
      <c r="B413">
        <v>0.28916916615976601</v>
      </c>
      <c r="D413">
        <v>26.24</v>
      </c>
      <c r="E413">
        <v>0.64944503526015696</v>
      </c>
      <c r="G413">
        <v>29.5199999999999</v>
      </c>
      <c r="H413">
        <v>1.1638089275636101</v>
      </c>
      <c r="J413">
        <v>32.799999999999898</v>
      </c>
      <c r="K413">
        <v>1.8094462166102101</v>
      </c>
      <c r="V413">
        <v>29.748025599999899</v>
      </c>
      <c r="W413">
        <v>1.1818579234051401</v>
      </c>
    </row>
    <row r="414" spans="1:23" x14ac:dyDescent="0.3">
      <c r="A414">
        <v>23.015999999999899</v>
      </c>
      <c r="B414">
        <v>0.28916916615976601</v>
      </c>
      <c r="D414">
        <v>26.303999999999998</v>
      </c>
      <c r="E414">
        <v>0.64944503526015696</v>
      </c>
      <c r="G414">
        <v>29.591999999999899</v>
      </c>
      <c r="H414">
        <v>1.1638089275636101</v>
      </c>
      <c r="J414">
        <v>32.879999999999903</v>
      </c>
      <c r="K414">
        <v>1.8094462166102001</v>
      </c>
      <c r="V414">
        <v>29.8205817599999</v>
      </c>
      <c r="W414">
        <v>1.1818579234051401</v>
      </c>
    </row>
    <row r="415" spans="1:23" x14ac:dyDescent="0.3">
      <c r="A415">
        <v>23.0719999999999</v>
      </c>
      <c r="B415">
        <v>0.28916916615976501</v>
      </c>
      <c r="D415">
        <v>26.367999999999999</v>
      </c>
      <c r="E415">
        <v>0.64944503526015795</v>
      </c>
      <c r="G415">
        <v>29.663999999999898</v>
      </c>
      <c r="H415">
        <v>1.1638089275636101</v>
      </c>
      <c r="J415">
        <v>32.959999999999901</v>
      </c>
      <c r="K415">
        <v>1.8094462166102001</v>
      </c>
      <c r="V415">
        <v>29.893137919999901</v>
      </c>
      <c r="W415">
        <v>1.1818579234051301</v>
      </c>
    </row>
    <row r="416" spans="1:23" x14ac:dyDescent="0.3">
      <c r="A416">
        <v>23.127999999999901</v>
      </c>
      <c r="B416">
        <v>0.28916916615976501</v>
      </c>
      <c r="D416">
        <v>26.431999999999999</v>
      </c>
      <c r="E416">
        <v>0.64944503526015795</v>
      </c>
      <c r="G416">
        <v>29.735999999999901</v>
      </c>
      <c r="H416">
        <v>1.1638089275636101</v>
      </c>
      <c r="J416">
        <v>33.0399999999999</v>
      </c>
      <c r="K416">
        <v>1.8094462166101899</v>
      </c>
      <c r="V416">
        <v>29.965694079999899</v>
      </c>
      <c r="W416">
        <v>1.1818579234051201</v>
      </c>
    </row>
    <row r="417" spans="1:23" x14ac:dyDescent="0.3">
      <c r="A417">
        <v>23.183999999999902</v>
      </c>
      <c r="B417">
        <v>0.28916916615976501</v>
      </c>
      <c r="D417">
        <v>26.495999999999999</v>
      </c>
      <c r="E417">
        <v>0.64944503526015895</v>
      </c>
      <c r="G417">
        <v>29.8079999999999</v>
      </c>
      <c r="H417">
        <v>1.1638089275636101</v>
      </c>
      <c r="J417">
        <v>33.119999999999898</v>
      </c>
      <c r="K417">
        <v>1.8094462166101899</v>
      </c>
      <c r="V417">
        <v>30.038250239999901</v>
      </c>
      <c r="W417">
        <v>1.1818579234051101</v>
      </c>
    </row>
    <row r="418" spans="1:23" x14ac:dyDescent="0.3">
      <c r="A418">
        <v>23.239999999999899</v>
      </c>
      <c r="B418">
        <v>0.28916916615976501</v>
      </c>
      <c r="D418">
        <v>26.56</v>
      </c>
      <c r="E418">
        <v>0.64944503526015895</v>
      </c>
      <c r="G418">
        <v>29.8799999999999</v>
      </c>
      <c r="H418">
        <v>1.1638089275636101</v>
      </c>
      <c r="J418">
        <v>33.199999999999903</v>
      </c>
      <c r="K418">
        <v>1.8094462166101799</v>
      </c>
      <c r="V418">
        <v>30.110806399999898</v>
      </c>
      <c r="W418">
        <v>1.1818579234051101</v>
      </c>
    </row>
    <row r="419" spans="1:23" x14ac:dyDescent="0.3">
      <c r="A419">
        <v>23.2959999999999</v>
      </c>
      <c r="B419">
        <v>0.28916916615976501</v>
      </c>
      <c r="D419">
        <v>26.623999999999999</v>
      </c>
      <c r="E419">
        <v>0.64944503526015995</v>
      </c>
      <c r="G419">
        <v>29.951999999999899</v>
      </c>
      <c r="H419">
        <v>1.1638089275636101</v>
      </c>
      <c r="J419">
        <v>33.28</v>
      </c>
      <c r="K419">
        <v>1.8094462166101799</v>
      </c>
      <c r="V419">
        <v>30.1833625599999</v>
      </c>
      <c r="W419">
        <v>1.1818579234051001</v>
      </c>
    </row>
    <row r="420" spans="1:23" x14ac:dyDescent="0.3">
      <c r="A420">
        <v>23.351999999999901</v>
      </c>
      <c r="B420">
        <v>0.28916916615976501</v>
      </c>
      <c r="D420">
        <v>26.687999999999999</v>
      </c>
      <c r="E420">
        <v>0.64944503526015995</v>
      </c>
      <c r="G420">
        <v>30.023999999999901</v>
      </c>
      <c r="H420">
        <v>1.1638089275636101</v>
      </c>
      <c r="J420">
        <v>33.36</v>
      </c>
      <c r="K420">
        <v>1.8094462166101699</v>
      </c>
      <c r="V420">
        <v>30.255918719999901</v>
      </c>
      <c r="W420">
        <v>1.1818579234050901</v>
      </c>
    </row>
    <row r="421" spans="1:23" x14ac:dyDescent="0.3">
      <c r="A421">
        <v>23.407999999999902</v>
      </c>
      <c r="B421">
        <v>0.28916916615976501</v>
      </c>
      <c r="D421">
        <v>26.751999999999899</v>
      </c>
      <c r="E421">
        <v>0.64944503526016095</v>
      </c>
      <c r="G421">
        <v>30.095999999999901</v>
      </c>
      <c r="H421">
        <v>1.1638089275636101</v>
      </c>
      <c r="J421">
        <v>33.44</v>
      </c>
      <c r="K421">
        <v>1.8094462166101699</v>
      </c>
      <c r="V421">
        <v>30.328474879999899</v>
      </c>
      <c r="W421">
        <v>1.1818579234050799</v>
      </c>
    </row>
    <row r="422" spans="1:23" x14ac:dyDescent="0.3">
      <c r="A422">
        <v>23.463999999999999</v>
      </c>
      <c r="B422">
        <v>0.28916916615976501</v>
      </c>
      <c r="D422">
        <v>26.815999999999899</v>
      </c>
      <c r="E422">
        <v>0.64944503526016095</v>
      </c>
      <c r="G422">
        <v>30.1679999999999</v>
      </c>
      <c r="H422">
        <v>1.1638089275636101</v>
      </c>
      <c r="J422">
        <v>33.519999999999897</v>
      </c>
      <c r="K422">
        <v>1.8094462166101599</v>
      </c>
      <c r="V422">
        <v>30.4010310399999</v>
      </c>
      <c r="W422">
        <v>1.1818579234050799</v>
      </c>
    </row>
    <row r="423" spans="1:23" x14ac:dyDescent="0.3">
      <c r="A423">
        <v>23.5199999999999</v>
      </c>
      <c r="B423">
        <v>0.28916916615976501</v>
      </c>
      <c r="D423">
        <v>26.8799999999999</v>
      </c>
      <c r="E423">
        <v>0.64944503526016195</v>
      </c>
      <c r="G423">
        <v>30.239999999999899</v>
      </c>
      <c r="H423">
        <v>1.1638089275636201</v>
      </c>
      <c r="J423">
        <v>33.599999999999902</v>
      </c>
      <c r="K423">
        <v>1.8094462166101599</v>
      </c>
      <c r="V423">
        <v>30.473587199999901</v>
      </c>
      <c r="W423">
        <v>1.1818579234050699</v>
      </c>
    </row>
    <row r="424" spans="1:23" x14ac:dyDescent="0.3">
      <c r="A424">
        <v>23.576000000000001</v>
      </c>
      <c r="B424">
        <v>0.28916916615976501</v>
      </c>
      <c r="D424">
        <v>26.943999999999999</v>
      </c>
      <c r="E424">
        <v>0.64944503526016195</v>
      </c>
      <c r="G424">
        <v>30.311999999999902</v>
      </c>
      <c r="H424">
        <v>1.1638089275636201</v>
      </c>
      <c r="J424">
        <v>33.6799999999999</v>
      </c>
      <c r="K424">
        <v>1.8094462166101599</v>
      </c>
      <c r="V424">
        <v>30.546143359999899</v>
      </c>
      <c r="W424">
        <v>1.1818579234050599</v>
      </c>
    </row>
    <row r="425" spans="1:23" x14ac:dyDescent="0.3">
      <c r="A425">
        <v>23.631999999999898</v>
      </c>
      <c r="B425">
        <v>0.28916916615976501</v>
      </c>
      <c r="D425">
        <v>27.007999999999999</v>
      </c>
      <c r="E425">
        <v>0.64944503526016195</v>
      </c>
      <c r="G425">
        <v>30.383999999999901</v>
      </c>
      <c r="H425">
        <v>1.1638089275636201</v>
      </c>
      <c r="J425">
        <v>33.759999999999899</v>
      </c>
      <c r="K425">
        <v>1.8094462166101499</v>
      </c>
      <c r="V425">
        <v>30.6186995199999</v>
      </c>
      <c r="W425">
        <v>1.1818579234050599</v>
      </c>
    </row>
    <row r="426" spans="1:23" x14ac:dyDescent="0.3">
      <c r="A426">
        <v>23.687999999999999</v>
      </c>
      <c r="B426">
        <v>0.28916916615976501</v>
      </c>
      <c r="D426">
        <v>27.0719999999999</v>
      </c>
      <c r="E426">
        <v>0.64944503526016295</v>
      </c>
      <c r="G426">
        <v>30.4559999999999</v>
      </c>
      <c r="H426">
        <v>1.1638089275636201</v>
      </c>
      <c r="J426">
        <v>33.839999999999897</v>
      </c>
      <c r="K426">
        <v>1.8094462166101499</v>
      </c>
      <c r="V426">
        <v>30.691255679999902</v>
      </c>
      <c r="W426">
        <v>1.1818579234050499</v>
      </c>
    </row>
    <row r="427" spans="1:23" x14ac:dyDescent="0.3">
      <c r="A427">
        <v>23.7439999999999</v>
      </c>
      <c r="B427">
        <v>0.28916916615976501</v>
      </c>
      <c r="D427">
        <v>27.135999999999999</v>
      </c>
      <c r="E427">
        <v>0.64944503526016395</v>
      </c>
      <c r="G427">
        <v>30.527999999999899</v>
      </c>
      <c r="H427">
        <v>1.1638089275636201</v>
      </c>
      <c r="J427">
        <v>33.919999999999902</v>
      </c>
      <c r="K427">
        <v>1.8094462166101399</v>
      </c>
      <c r="V427">
        <v>30.763811839999899</v>
      </c>
      <c r="W427">
        <v>1.1818579234050399</v>
      </c>
    </row>
    <row r="428" spans="1:23" x14ac:dyDescent="0.3">
      <c r="A428">
        <v>23.799999999999901</v>
      </c>
      <c r="B428">
        <v>0.28916916615976501</v>
      </c>
      <c r="D428">
        <v>27.2</v>
      </c>
      <c r="E428">
        <v>0.64944503526016395</v>
      </c>
      <c r="G428">
        <v>30.599999999999898</v>
      </c>
      <c r="H428">
        <v>1.1638089275636201</v>
      </c>
      <c r="J428">
        <v>33.999999999999901</v>
      </c>
      <c r="K428">
        <v>1.8094462166101399</v>
      </c>
      <c r="V428">
        <v>30.836367999999901</v>
      </c>
      <c r="W428">
        <v>1.1818579234050399</v>
      </c>
    </row>
    <row r="429" spans="1:23" x14ac:dyDescent="0.3">
      <c r="A429">
        <v>23.855999999999899</v>
      </c>
      <c r="B429">
        <v>0.28916916615976501</v>
      </c>
      <c r="D429">
        <v>27.263999999999999</v>
      </c>
      <c r="E429">
        <v>0.64944503526016495</v>
      </c>
      <c r="G429">
        <v>30.671999999999901</v>
      </c>
      <c r="H429">
        <v>1.1638089275636201</v>
      </c>
      <c r="J429">
        <v>34.079999999999899</v>
      </c>
      <c r="K429">
        <v>1.8094462166101299</v>
      </c>
      <c r="V429">
        <v>30.908924159999899</v>
      </c>
      <c r="W429">
        <v>1.1818579234050299</v>
      </c>
    </row>
    <row r="430" spans="1:23" x14ac:dyDescent="0.3">
      <c r="A430">
        <v>23.9119999999999</v>
      </c>
      <c r="B430">
        <v>0.28916916615976501</v>
      </c>
      <c r="D430">
        <v>27.327999999999999</v>
      </c>
      <c r="E430">
        <v>0.64944503526016495</v>
      </c>
      <c r="G430">
        <v>30.7439999999999</v>
      </c>
      <c r="H430">
        <v>1.1638089275636201</v>
      </c>
      <c r="J430">
        <v>34.159999999999897</v>
      </c>
      <c r="K430">
        <v>1.8094462166101299</v>
      </c>
      <c r="V430">
        <v>30.9814803199999</v>
      </c>
      <c r="W430">
        <v>1.1818579234050199</v>
      </c>
    </row>
    <row r="431" spans="1:23" x14ac:dyDescent="0.3">
      <c r="A431">
        <v>23.9679999999999</v>
      </c>
      <c r="B431">
        <v>0.28916916615976501</v>
      </c>
      <c r="D431">
        <v>27.391999999999999</v>
      </c>
      <c r="E431">
        <v>0.64944503526016595</v>
      </c>
      <c r="G431">
        <v>30.815999999999899</v>
      </c>
      <c r="H431">
        <v>1.1638089275636201</v>
      </c>
      <c r="J431">
        <v>34.239999999999903</v>
      </c>
      <c r="K431">
        <v>1.80944621661012</v>
      </c>
      <c r="V431">
        <v>31.054036479999901</v>
      </c>
      <c r="W431">
        <v>1.1818579234050199</v>
      </c>
    </row>
    <row r="432" spans="1:23" x14ac:dyDescent="0.3">
      <c r="A432">
        <v>24.023999999999901</v>
      </c>
      <c r="B432">
        <v>0.28916916615976501</v>
      </c>
      <c r="D432">
        <v>27.456</v>
      </c>
      <c r="E432">
        <v>0.64944503526016595</v>
      </c>
      <c r="G432">
        <v>30.887999999999899</v>
      </c>
      <c r="H432">
        <v>1.1638089275636201</v>
      </c>
      <c r="J432">
        <v>34.319999999999901</v>
      </c>
      <c r="K432">
        <v>1.80944621661012</v>
      </c>
      <c r="V432">
        <v>31.126592639999899</v>
      </c>
      <c r="W432">
        <v>1.1818579234050099</v>
      </c>
    </row>
    <row r="433" spans="1:23" x14ac:dyDescent="0.3">
      <c r="A433">
        <v>24.08</v>
      </c>
      <c r="B433">
        <v>0.28916916615976501</v>
      </c>
      <c r="D433">
        <v>27.52</v>
      </c>
      <c r="E433">
        <v>0.64944503526016695</v>
      </c>
      <c r="G433">
        <v>30.959999999999901</v>
      </c>
      <c r="H433">
        <v>1.1638089275636301</v>
      </c>
      <c r="J433">
        <v>34.399999999999899</v>
      </c>
      <c r="K433">
        <v>1.80944621661011</v>
      </c>
      <c r="V433">
        <v>31.1991487999999</v>
      </c>
      <c r="W433">
        <v>1.1818579234050099</v>
      </c>
    </row>
    <row r="434" spans="1:23" x14ac:dyDescent="0.3">
      <c r="A434">
        <v>24.135999999999999</v>
      </c>
      <c r="B434">
        <v>0.28916916615976501</v>
      </c>
      <c r="D434">
        <v>27.584</v>
      </c>
      <c r="E434">
        <v>0.64944503526016695</v>
      </c>
      <c r="G434">
        <v>31.031999999999901</v>
      </c>
      <c r="H434">
        <v>1.1638089275636301</v>
      </c>
      <c r="J434">
        <v>34.479999999999897</v>
      </c>
      <c r="K434">
        <v>1.80944621661011</v>
      </c>
      <c r="V434">
        <v>31.271704959999902</v>
      </c>
      <c r="W434">
        <v>1.181857923405</v>
      </c>
    </row>
    <row r="435" spans="1:23" x14ac:dyDescent="0.3">
      <c r="A435">
        <v>24.191999999999901</v>
      </c>
      <c r="B435">
        <v>0.28916916615976501</v>
      </c>
      <c r="D435">
        <v>27.648</v>
      </c>
      <c r="E435">
        <v>0.64944503526016795</v>
      </c>
      <c r="G435">
        <v>31.1039999999999</v>
      </c>
      <c r="H435">
        <v>1.1638089275636301</v>
      </c>
      <c r="J435">
        <v>34.559999999999903</v>
      </c>
      <c r="K435">
        <v>1.8094462166101</v>
      </c>
      <c r="V435">
        <v>31.344261119999899</v>
      </c>
      <c r="W435">
        <v>1.18185792340499</v>
      </c>
    </row>
    <row r="436" spans="1:23" x14ac:dyDescent="0.3">
      <c r="A436">
        <v>24.247999999999902</v>
      </c>
      <c r="B436">
        <v>0.28916916615976501</v>
      </c>
      <c r="D436">
        <v>27.712</v>
      </c>
      <c r="E436">
        <v>0.64944503526016795</v>
      </c>
      <c r="G436">
        <v>31.175999999999899</v>
      </c>
      <c r="H436">
        <v>1.1638089275636301</v>
      </c>
      <c r="J436">
        <v>34.639999999999901</v>
      </c>
      <c r="K436">
        <v>1.8094462166101</v>
      </c>
      <c r="V436">
        <v>31.416817279999901</v>
      </c>
      <c r="W436">
        <v>1.18185792340499</v>
      </c>
    </row>
    <row r="437" spans="1:23" x14ac:dyDescent="0.3">
      <c r="A437">
        <v>24.303999999999899</v>
      </c>
      <c r="B437">
        <v>0.28916916615976501</v>
      </c>
      <c r="D437">
        <v>27.776</v>
      </c>
      <c r="E437">
        <v>0.64944503526016895</v>
      </c>
      <c r="G437">
        <v>31.247999999999902</v>
      </c>
      <c r="H437">
        <v>1.1638089275636301</v>
      </c>
      <c r="J437">
        <v>34.719999999999899</v>
      </c>
      <c r="K437">
        <v>1.8094462166101</v>
      </c>
      <c r="V437">
        <v>31.489373439999898</v>
      </c>
      <c r="W437">
        <v>1.18185792340498</v>
      </c>
    </row>
    <row r="438" spans="1:23" x14ac:dyDescent="0.3">
      <c r="A438">
        <v>24.3599999999999</v>
      </c>
      <c r="B438">
        <v>0.28916916615976501</v>
      </c>
      <c r="D438">
        <v>27.84</v>
      </c>
      <c r="E438">
        <v>0.64944503526016994</v>
      </c>
      <c r="G438">
        <v>31.319999999999901</v>
      </c>
      <c r="H438">
        <v>1.1638089275636301</v>
      </c>
      <c r="J438">
        <v>34.799999999999898</v>
      </c>
      <c r="K438">
        <v>1.80944621661009</v>
      </c>
      <c r="V438">
        <v>31.5619295999999</v>
      </c>
      <c r="W438">
        <v>1.18185792340498</v>
      </c>
    </row>
    <row r="439" spans="1:23" x14ac:dyDescent="0.3">
      <c r="A439">
        <v>24.415999999999901</v>
      </c>
      <c r="B439">
        <v>0.28916916615976501</v>
      </c>
      <c r="D439">
        <v>27.904</v>
      </c>
      <c r="E439">
        <v>0.64944503526016994</v>
      </c>
      <c r="G439">
        <v>31.3919999999999</v>
      </c>
      <c r="H439">
        <v>1.1638089275636301</v>
      </c>
      <c r="J439">
        <v>34.879999999999903</v>
      </c>
      <c r="K439">
        <v>1.80944621661009</v>
      </c>
      <c r="V439">
        <v>31.634485759999901</v>
      </c>
      <c r="W439">
        <v>1.18185792340497</v>
      </c>
    </row>
    <row r="440" spans="1:23" x14ac:dyDescent="0.3">
      <c r="A440">
        <v>24.471999999999898</v>
      </c>
      <c r="B440">
        <v>0.28916916615976501</v>
      </c>
      <c r="D440">
        <v>27.968</v>
      </c>
      <c r="E440">
        <v>0.64944503526016994</v>
      </c>
      <c r="G440">
        <v>31.463999999999899</v>
      </c>
      <c r="H440">
        <v>1.1638089275636301</v>
      </c>
      <c r="J440">
        <v>34.959999999999901</v>
      </c>
      <c r="K440">
        <v>1.80944621661008</v>
      </c>
      <c r="V440">
        <v>31.707041919999899</v>
      </c>
      <c r="W440">
        <v>1.18185792340497</v>
      </c>
    </row>
    <row r="441" spans="1:23" x14ac:dyDescent="0.3">
      <c r="A441">
        <v>24.527999999999899</v>
      </c>
      <c r="B441">
        <v>0.28916916615976401</v>
      </c>
      <c r="D441">
        <v>28.032</v>
      </c>
      <c r="E441">
        <v>0.64944503526017106</v>
      </c>
      <c r="G441">
        <v>31.535999999999898</v>
      </c>
      <c r="H441">
        <v>1.1638089275636301</v>
      </c>
      <c r="J441">
        <v>35.0399999999999</v>
      </c>
      <c r="K441">
        <v>1.80944621661008</v>
      </c>
      <c r="V441">
        <v>31.7795980799999</v>
      </c>
      <c r="W441">
        <v>1.18185792340496</v>
      </c>
    </row>
    <row r="442" spans="1:23" x14ac:dyDescent="0.3">
      <c r="A442">
        <v>24.5839999999999</v>
      </c>
      <c r="B442">
        <v>0.28916916615976401</v>
      </c>
      <c r="D442">
        <v>28.096</v>
      </c>
      <c r="E442">
        <v>0.64944503526017205</v>
      </c>
      <c r="G442">
        <v>31.607999999999901</v>
      </c>
      <c r="H442">
        <v>1.1638089275636301</v>
      </c>
      <c r="J442">
        <v>35.119999999999898</v>
      </c>
      <c r="K442">
        <v>1.80944621661008</v>
      </c>
      <c r="V442">
        <v>31.852154239999901</v>
      </c>
      <c r="W442">
        <v>1.18185792340495</v>
      </c>
    </row>
    <row r="443" spans="1:23" x14ac:dyDescent="0.3">
      <c r="A443">
        <v>24.639999999999901</v>
      </c>
      <c r="B443">
        <v>0.28916916615976401</v>
      </c>
      <c r="D443">
        <v>28.16</v>
      </c>
      <c r="E443">
        <v>0.64944503526017205</v>
      </c>
      <c r="G443">
        <v>31.6799999999999</v>
      </c>
      <c r="H443">
        <v>1.1638089275636301</v>
      </c>
      <c r="J443">
        <v>35.199999999999903</v>
      </c>
      <c r="K443">
        <v>1.80944621661007</v>
      </c>
      <c r="V443">
        <v>31.924710399999899</v>
      </c>
      <c r="W443">
        <v>1.18185792340495</v>
      </c>
    </row>
    <row r="444" spans="1:23" x14ac:dyDescent="0.3">
      <c r="A444">
        <v>24.695999999999898</v>
      </c>
      <c r="B444">
        <v>0.28916916615976401</v>
      </c>
      <c r="D444">
        <v>28.224</v>
      </c>
      <c r="E444">
        <v>0.64944503526017305</v>
      </c>
      <c r="G444">
        <v>31.751999999999899</v>
      </c>
      <c r="H444">
        <v>1.1638089275636401</v>
      </c>
      <c r="J444">
        <v>35.279999999999902</v>
      </c>
      <c r="K444">
        <v>1.80944621661007</v>
      </c>
      <c r="V444">
        <v>31.9972665599999</v>
      </c>
      <c r="W444">
        <v>1.18185792340494</v>
      </c>
    </row>
    <row r="445" spans="1:23" x14ac:dyDescent="0.3">
      <c r="A445">
        <v>24.751999999999999</v>
      </c>
      <c r="B445">
        <v>0.28916916615976401</v>
      </c>
      <c r="D445">
        <v>28.287999999999901</v>
      </c>
      <c r="E445">
        <v>0.64944503526017405</v>
      </c>
      <c r="G445">
        <v>31.823999999999899</v>
      </c>
      <c r="H445">
        <v>1.1638089275636401</v>
      </c>
      <c r="J445">
        <v>35.3599999999999</v>
      </c>
      <c r="K445">
        <v>1.80944621661007</v>
      </c>
      <c r="V445">
        <v>32.069822719999998</v>
      </c>
      <c r="W445">
        <v>1.18185792340494</v>
      </c>
    </row>
    <row r="446" spans="1:23" x14ac:dyDescent="0.3">
      <c r="A446">
        <v>24.8079999999999</v>
      </c>
      <c r="B446">
        <v>0.28916916615976401</v>
      </c>
      <c r="D446">
        <v>28.351999999999901</v>
      </c>
      <c r="E446">
        <v>0.64944503526017405</v>
      </c>
      <c r="G446">
        <v>31.895999999999901</v>
      </c>
      <c r="H446">
        <v>1.1638089275636401</v>
      </c>
      <c r="J446">
        <v>35.439999999999898</v>
      </c>
      <c r="K446">
        <v>1.80944621661006</v>
      </c>
      <c r="V446">
        <v>32.142378879999903</v>
      </c>
      <c r="W446">
        <v>1.18185792340493</v>
      </c>
    </row>
    <row r="447" spans="1:23" x14ac:dyDescent="0.3">
      <c r="A447">
        <v>24.864000000000001</v>
      </c>
      <c r="B447">
        <v>0.28916916615976401</v>
      </c>
      <c r="D447">
        <v>28.416</v>
      </c>
      <c r="E447">
        <v>0.64944503526017505</v>
      </c>
      <c r="G447">
        <v>31.9679999999999</v>
      </c>
      <c r="H447">
        <v>1.1638089275636401</v>
      </c>
      <c r="J447">
        <v>35.519999999999897</v>
      </c>
      <c r="K447">
        <v>1.80944621661006</v>
      </c>
      <c r="V447">
        <v>32.21493504</v>
      </c>
      <c r="W447">
        <v>1.18185792340493</v>
      </c>
    </row>
    <row r="448" spans="1:23" x14ac:dyDescent="0.3">
      <c r="A448">
        <v>24.92</v>
      </c>
      <c r="B448">
        <v>0.28916916615976401</v>
      </c>
      <c r="D448">
        <v>28.48</v>
      </c>
      <c r="E448">
        <v>0.64944503526017605</v>
      </c>
      <c r="G448">
        <v>32.0399999999999</v>
      </c>
      <c r="H448">
        <v>1.1638089275636401</v>
      </c>
      <c r="J448">
        <v>35.599999999999902</v>
      </c>
      <c r="K448">
        <v>1.80944621661006</v>
      </c>
      <c r="V448">
        <v>32.287491199999998</v>
      </c>
      <c r="W448">
        <v>1.18185792340492</v>
      </c>
    </row>
    <row r="449" spans="1:23" x14ac:dyDescent="0.3">
      <c r="A449">
        <v>24.975999999999999</v>
      </c>
      <c r="B449">
        <v>0.28916916615976401</v>
      </c>
      <c r="D449">
        <v>28.544</v>
      </c>
      <c r="E449">
        <v>0.64944503526017605</v>
      </c>
      <c r="G449">
        <v>32.111999999999902</v>
      </c>
      <c r="H449">
        <v>1.1638089275636401</v>
      </c>
      <c r="J449">
        <v>35.6799999999999</v>
      </c>
      <c r="K449">
        <v>1.80944621661005</v>
      </c>
      <c r="V449">
        <v>32.360047360000003</v>
      </c>
      <c r="W449">
        <v>1.18185792340492</v>
      </c>
    </row>
    <row r="450" spans="1:23" x14ac:dyDescent="0.3">
      <c r="A450">
        <v>25.032</v>
      </c>
      <c r="B450">
        <v>0.28916916615976401</v>
      </c>
      <c r="D450">
        <v>28.607999999999901</v>
      </c>
      <c r="E450">
        <v>0.64944503526017705</v>
      </c>
      <c r="G450">
        <v>32.183999999999898</v>
      </c>
      <c r="H450">
        <v>1.1638089275636401</v>
      </c>
      <c r="J450">
        <v>35.759999999999899</v>
      </c>
      <c r="K450">
        <v>1.80944621661005</v>
      </c>
      <c r="V450">
        <v>32.432603519999901</v>
      </c>
      <c r="W450">
        <v>1.18185792340491</v>
      </c>
    </row>
    <row r="451" spans="1:23" x14ac:dyDescent="0.3">
      <c r="A451">
        <v>25.087999999999901</v>
      </c>
      <c r="B451">
        <v>0.28916916615976401</v>
      </c>
      <c r="D451">
        <v>28.671999999999901</v>
      </c>
      <c r="E451">
        <v>0.64944503526017705</v>
      </c>
      <c r="G451">
        <v>32.255999999999901</v>
      </c>
      <c r="H451">
        <v>1.1638089275636401</v>
      </c>
      <c r="J451">
        <v>35.839999999999897</v>
      </c>
      <c r="K451">
        <v>1.80944621661005</v>
      </c>
      <c r="V451">
        <v>32.505159679999998</v>
      </c>
      <c r="W451">
        <v>1.18185792340491</v>
      </c>
    </row>
    <row r="452" spans="1:23" x14ac:dyDescent="0.3">
      <c r="A452">
        <v>25.143999999999998</v>
      </c>
      <c r="B452">
        <v>0.28916916615976401</v>
      </c>
      <c r="D452">
        <v>28.736000000000001</v>
      </c>
      <c r="E452">
        <v>0.64944503526017805</v>
      </c>
      <c r="G452">
        <v>32.327999999999903</v>
      </c>
      <c r="H452">
        <v>1.1638089275636401</v>
      </c>
      <c r="J452">
        <v>35.919999999999902</v>
      </c>
      <c r="K452">
        <v>1.80944621661004</v>
      </c>
      <c r="V452">
        <v>32.577715839999897</v>
      </c>
      <c r="W452">
        <v>1.1818579234049</v>
      </c>
    </row>
    <row r="453" spans="1:23" x14ac:dyDescent="0.3">
      <c r="A453">
        <v>25.2</v>
      </c>
      <c r="B453">
        <v>0.28916916615976401</v>
      </c>
      <c r="D453">
        <v>28.8</v>
      </c>
      <c r="E453">
        <v>0.64944503526017905</v>
      </c>
      <c r="G453">
        <v>32.399999999999899</v>
      </c>
      <c r="H453">
        <v>1.1638089275636401</v>
      </c>
      <c r="J453">
        <v>35.999999999999901</v>
      </c>
      <c r="K453">
        <v>1.80944621661004</v>
      </c>
      <c r="V453">
        <v>32.650271999999902</v>
      </c>
      <c r="W453">
        <v>1.18185792340489</v>
      </c>
    </row>
    <row r="454" spans="1:23" x14ac:dyDescent="0.3">
      <c r="A454">
        <v>25.256</v>
      </c>
      <c r="B454">
        <v>0.28916916615976401</v>
      </c>
      <c r="D454">
        <v>28.864000000000001</v>
      </c>
      <c r="E454">
        <v>0.64944503526017905</v>
      </c>
      <c r="G454">
        <v>32.471999999999902</v>
      </c>
      <c r="H454">
        <v>1.1638089275636401</v>
      </c>
      <c r="J454">
        <v>36.079999999999899</v>
      </c>
      <c r="K454">
        <v>1.80944621661004</v>
      </c>
      <c r="V454">
        <v>32.722828159999999</v>
      </c>
      <c r="W454">
        <v>1.18185792340489</v>
      </c>
    </row>
    <row r="455" spans="1:23" x14ac:dyDescent="0.3">
      <c r="A455">
        <v>25.311999999999902</v>
      </c>
      <c r="B455">
        <v>0.28916916615976301</v>
      </c>
      <c r="D455">
        <v>28.927999999999901</v>
      </c>
      <c r="E455">
        <v>0.64944503526017905</v>
      </c>
      <c r="G455">
        <v>32.543999999999897</v>
      </c>
      <c r="H455">
        <v>1.1638089275636501</v>
      </c>
      <c r="J455">
        <v>36.159999999999897</v>
      </c>
      <c r="K455">
        <v>1.80944621661004</v>
      </c>
      <c r="V455">
        <v>32.795384319999897</v>
      </c>
      <c r="W455">
        <v>1.1818579234048801</v>
      </c>
    </row>
    <row r="456" spans="1:23" x14ac:dyDescent="0.3">
      <c r="A456">
        <v>25.367999999999999</v>
      </c>
      <c r="B456">
        <v>0.28916916615976301</v>
      </c>
      <c r="D456">
        <v>28.991999999999901</v>
      </c>
      <c r="E456">
        <v>0.64944503526017905</v>
      </c>
      <c r="G456">
        <v>32.6159999999999</v>
      </c>
      <c r="H456">
        <v>1.1638089275636501</v>
      </c>
      <c r="J456">
        <v>36.239999999999903</v>
      </c>
      <c r="K456">
        <v>1.80944621661003</v>
      </c>
      <c r="V456">
        <v>32.867940479999902</v>
      </c>
      <c r="W456">
        <v>1.1818579234048801</v>
      </c>
    </row>
    <row r="457" spans="1:23" x14ac:dyDescent="0.3">
      <c r="A457">
        <v>25.423999999999999</v>
      </c>
      <c r="B457">
        <v>0.28916916615976301</v>
      </c>
      <c r="D457">
        <v>29.055999999999901</v>
      </c>
      <c r="E457">
        <v>0.64944503526018005</v>
      </c>
      <c r="G457">
        <v>32.687999999999903</v>
      </c>
      <c r="H457">
        <v>1.1638089275636501</v>
      </c>
      <c r="J457">
        <v>36.319999999999901</v>
      </c>
      <c r="K457">
        <v>1.80944621661003</v>
      </c>
      <c r="V457">
        <v>32.9404966399999</v>
      </c>
      <c r="W457">
        <v>1.1818579234048701</v>
      </c>
    </row>
    <row r="458" spans="1:23" x14ac:dyDescent="0.3">
      <c r="A458">
        <v>25.479999999999901</v>
      </c>
      <c r="B458">
        <v>0.28916916615976301</v>
      </c>
      <c r="D458">
        <v>29.119999999999902</v>
      </c>
      <c r="E458">
        <v>0.64944503526018005</v>
      </c>
      <c r="G458">
        <v>32.759999999999899</v>
      </c>
      <c r="H458">
        <v>1.1638089275636501</v>
      </c>
      <c r="J458">
        <v>36.399999999999899</v>
      </c>
      <c r="K458">
        <v>1.80944621661003</v>
      </c>
      <c r="V458">
        <v>33.013052799999898</v>
      </c>
      <c r="W458">
        <v>1.1818579234048701</v>
      </c>
    </row>
    <row r="459" spans="1:23" x14ac:dyDescent="0.3">
      <c r="A459">
        <v>25.536000000000001</v>
      </c>
      <c r="B459">
        <v>0.28916916615976301</v>
      </c>
      <c r="D459">
        <v>29.183999999999902</v>
      </c>
      <c r="E459">
        <v>0.64944503526018005</v>
      </c>
      <c r="G459">
        <v>32.831999999999901</v>
      </c>
      <c r="H459">
        <v>1.1638089275636501</v>
      </c>
      <c r="J459">
        <v>36.479999999999997</v>
      </c>
      <c r="K459">
        <v>1.80944621661002</v>
      </c>
      <c r="V459">
        <v>33.085608959999902</v>
      </c>
      <c r="W459">
        <v>1.1818579234048601</v>
      </c>
    </row>
    <row r="460" spans="1:23" x14ac:dyDescent="0.3">
      <c r="A460">
        <v>25.591999999999999</v>
      </c>
      <c r="B460">
        <v>0.28916916615976301</v>
      </c>
      <c r="D460">
        <v>29.247999999999902</v>
      </c>
      <c r="E460">
        <v>0.64944503526018005</v>
      </c>
      <c r="G460">
        <v>32.903999999999897</v>
      </c>
      <c r="H460">
        <v>1.1638089275636501</v>
      </c>
      <c r="J460">
        <v>36.559999999999903</v>
      </c>
      <c r="K460">
        <v>1.80944621661002</v>
      </c>
      <c r="V460">
        <v>33.1581651199999</v>
      </c>
      <c r="W460">
        <v>1.1818579234048601</v>
      </c>
    </row>
    <row r="461" spans="1:23" x14ac:dyDescent="0.3">
      <c r="A461">
        <v>25.6479999999999</v>
      </c>
      <c r="B461">
        <v>0.28916916615976301</v>
      </c>
      <c r="D461">
        <v>29.311999999999902</v>
      </c>
      <c r="E461">
        <v>0.64944503526018005</v>
      </c>
      <c r="G461">
        <v>32.9759999999999</v>
      </c>
      <c r="H461">
        <v>1.1638089275636501</v>
      </c>
      <c r="J461">
        <v>36.639999999999901</v>
      </c>
      <c r="K461">
        <v>1.80944621661002</v>
      </c>
      <c r="V461">
        <v>33.230721279999898</v>
      </c>
      <c r="W461">
        <v>1.1818579234048601</v>
      </c>
    </row>
    <row r="462" spans="1:23" x14ac:dyDescent="0.3">
      <c r="A462">
        <v>25.703999999999901</v>
      </c>
      <c r="B462">
        <v>0.28916916615976301</v>
      </c>
      <c r="D462">
        <v>29.376000000000001</v>
      </c>
      <c r="E462">
        <v>0.64944503526018105</v>
      </c>
      <c r="G462">
        <v>33.047999999999902</v>
      </c>
      <c r="H462">
        <v>1.1638089275636501</v>
      </c>
      <c r="J462">
        <v>36.719999999999899</v>
      </c>
      <c r="K462">
        <v>1.80944621661002</v>
      </c>
      <c r="V462">
        <v>33.303277439999903</v>
      </c>
      <c r="W462">
        <v>1.1818579234048501</v>
      </c>
    </row>
    <row r="463" spans="1:23" x14ac:dyDescent="0.3">
      <c r="A463">
        <v>25.759999999999899</v>
      </c>
      <c r="B463">
        <v>0.28916916615976301</v>
      </c>
      <c r="D463">
        <v>29.44</v>
      </c>
      <c r="E463">
        <v>0.64944503526018105</v>
      </c>
      <c r="G463">
        <v>33.119999999999898</v>
      </c>
      <c r="H463">
        <v>1.1638089275636501</v>
      </c>
      <c r="J463">
        <v>36.799999999999898</v>
      </c>
      <c r="K463">
        <v>1.80944621661001</v>
      </c>
      <c r="V463">
        <v>33.375833599999901</v>
      </c>
      <c r="W463">
        <v>1.1818579234048501</v>
      </c>
    </row>
    <row r="464" spans="1:23" x14ac:dyDescent="0.3">
      <c r="A464">
        <v>25.815999999999999</v>
      </c>
      <c r="B464">
        <v>0.28916916615976301</v>
      </c>
      <c r="D464">
        <v>29.504000000000001</v>
      </c>
      <c r="E464">
        <v>0.64944503526018105</v>
      </c>
      <c r="G464">
        <v>33.191999999999901</v>
      </c>
      <c r="H464">
        <v>1.1638089275636501</v>
      </c>
      <c r="J464">
        <v>36.879999999999903</v>
      </c>
      <c r="K464">
        <v>1.80944621661001</v>
      </c>
      <c r="V464">
        <v>33.448389759999998</v>
      </c>
      <c r="W464">
        <v>1.1818579234048401</v>
      </c>
    </row>
    <row r="465" spans="1:23" x14ac:dyDescent="0.3">
      <c r="A465">
        <v>25.872</v>
      </c>
      <c r="B465">
        <v>0.28916916615976301</v>
      </c>
      <c r="D465">
        <v>29.568000000000001</v>
      </c>
      <c r="E465">
        <v>0.64944503526018105</v>
      </c>
      <c r="G465">
        <v>33.263999999999903</v>
      </c>
      <c r="H465">
        <v>1.1638089275636501</v>
      </c>
      <c r="J465">
        <v>36.959999999999901</v>
      </c>
      <c r="K465">
        <v>1.80944621661001</v>
      </c>
      <c r="V465">
        <v>33.520945919999903</v>
      </c>
      <c r="W465">
        <v>1.1818579234048401</v>
      </c>
    </row>
    <row r="466" spans="1:23" x14ac:dyDescent="0.3">
      <c r="A466">
        <v>25.928000000000001</v>
      </c>
      <c r="B466">
        <v>0.28916916615976301</v>
      </c>
      <c r="D466">
        <v>29.631999999999898</v>
      </c>
      <c r="E466">
        <v>0.64944503526018105</v>
      </c>
      <c r="G466">
        <v>33.335999999999899</v>
      </c>
      <c r="H466">
        <v>1.1638089275636501</v>
      </c>
      <c r="J466">
        <v>37.0399999999999</v>
      </c>
      <c r="K466">
        <v>1.80944621661</v>
      </c>
      <c r="V466">
        <v>33.593502079999901</v>
      </c>
      <c r="W466">
        <v>1.1818579234048401</v>
      </c>
    </row>
    <row r="467" spans="1:23" x14ac:dyDescent="0.3">
      <c r="A467">
        <v>25.983999999999899</v>
      </c>
      <c r="B467">
        <v>0.28916916615976301</v>
      </c>
      <c r="D467">
        <v>29.695999999999898</v>
      </c>
      <c r="E467">
        <v>0.64944503526018105</v>
      </c>
      <c r="G467">
        <v>33.407999999999902</v>
      </c>
      <c r="H467">
        <v>1.1638089275636501</v>
      </c>
      <c r="J467">
        <v>37.119999999999898</v>
      </c>
      <c r="K467">
        <v>1.80944621661</v>
      </c>
      <c r="V467">
        <v>33.666058239999998</v>
      </c>
      <c r="W467">
        <v>1.1818579234048301</v>
      </c>
    </row>
    <row r="468" spans="1:23" x14ac:dyDescent="0.3">
      <c r="A468">
        <v>26.04</v>
      </c>
      <c r="B468">
        <v>0.28916916615976301</v>
      </c>
      <c r="D468">
        <v>29.759999999999899</v>
      </c>
      <c r="E468">
        <v>0.64944503526018005</v>
      </c>
      <c r="G468">
        <v>33.479999999999897</v>
      </c>
      <c r="H468">
        <v>1.1638089275636501</v>
      </c>
      <c r="J468">
        <v>37.199999999999903</v>
      </c>
      <c r="K468">
        <v>1.80944621661</v>
      </c>
      <c r="V468">
        <v>33.738614399999904</v>
      </c>
      <c r="W468">
        <v>1.1818579234048301</v>
      </c>
    </row>
    <row r="469" spans="1:23" x14ac:dyDescent="0.3">
      <c r="A469">
        <v>26.096</v>
      </c>
      <c r="B469">
        <v>0.28916916615976201</v>
      </c>
      <c r="D469">
        <v>29.823999999999899</v>
      </c>
      <c r="E469">
        <v>0.64944503526018005</v>
      </c>
      <c r="G469">
        <v>33.5519999999999</v>
      </c>
      <c r="H469">
        <v>1.1638089275636501</v>
      </c>
      <c r="J469">
        <v>37.279999999999902</v>
      </c>
      <c r="K469">
        <v>1.80944621661</v>
      </c>
      <c r="V469">
        <v>33.811170560000001</v>
      </c>
      <c r="W469">
        <v>1.1818579234048301</v>
      </c>
    </row>
    <row r="470" spans="1:23" x14ac:dyDescent="0.3">
      <c r="A470">
        <v>26.151999999999902</v>
      </c>
      <c r="B470">
        <v>0.28916916615976201</v>
      </c>
      <c r="D470">
        <v>29.887999999999899</v>
      </c>
      <c r="E470">
        <v>0.64944503526017905</v>
      </c>
      <c r="G470">
        <v>33.623999999999903</v>
      </c>
      <c r="H470">
        <v>1.1638089275636501</v>
      </c>
      <c r="J470">
        <v>37.3599999999999</v>
      </c>
      <c r="K470">
        <v>1.80944621661</v>
      </c>
      <c r="V470">
        <v>33.883726719999999</v>
      </c>
      <c r="W470">
        <v>1.1818579234048201</v>
      </c>
    </row>
    <row r="471" spans="1:23" x14ac:dyDescent="0.3">
      <c r="A471">
        <v>26.207999999999998</v>
      </c>
      <c r="B471">
        <v>0.28916916615976201</v>
      </c>
      <c r="D471">
        <v>29.951999999999899</v>
      </c>
      <c r="E471">
        <v>0.64944503526017905</v>
      </c>
      <c r="G471">
        <v>33.695999999999998</v>
      </c>
      <c r="H471">
        <v>1.1638089275636501</v>
      </c>
      <c r="J471">
        <v>37.439999999999898</v>
      </c>
      <c r="K471">
        <v>1.8094462166099901</v>
      </c>
      <c r="V471">
        <v>33.956282879999897</v>
      </c>
      <c r="W471">
        <v>1.1818579234048201</v>
      </c>
    </row>
    <row r="472" spans="1:23" x14ac:dyDescent="0.3">
      <c r="A472">
        <v>26.263999999999999</v>
      </c>
      <c r="B472">
        <v>0.28916916615976201</v>
      </c>
      <c r="D472">
        <v>30.015999999999998</v>
      </c>
      <c r="E472">
        <v>0.64944503526017905</v>
      </c>
      <c r="G472">
        <v>33.767999999999901</v>
      </c>
      <c r="H472">
        <v>1.1638089275636601</v>
      </c>
      <c r="J472">
        <v>37.519999999999897</v>
      </c>
      <c r="K472">
        <v>1.8094462166099901</v>
      </c>
      <c r="V472">
        <v>34.028839039999902</v>
      </c>
      <c r="W472">
        <v>1.1818579234048201</v>
      </c>
    </row>
    <row r="473" spans="1:23" x14ac:dyDescent="0.3">
      <c r="A473">
        <v>26.32</v>
      </c>
      <c r="B473">
        <v>0.28916916615976201</v>
      </c>
      <c r="D473">
        <v>30.08</v>
      </c>
      <c r="E473">
        <v>0.64944503526017805</v>
      </c>
      <c r="G473">
        <v>33.839999999999897</v>
      </c>
      <c r="H473">
        <v>1.1638089275636601</v>
      </c>
      <c r="J473">
        <v>37.599999999999902</v>
      </c>
      <c r="K473">
        <v>1.8094462166099901</v>
      </c>
      <c r="V473">
        <v>34.101395199999999</v>
      </c>
      <c r="W473">
        <v>1.1818579234048101</v>
      </c>
    </row>
    <row r="474" spans="1:23" x14ac:dyDescent="0.3">
      <c r="A474">
        <v>26.376000000000001</v>
      </c>
      <c r="B474">
        <v>0.28916916615976201</v>
      </c>
      <c r="D474">
        <v>30.143999999999998</v>
      </c>
      <c r="E474">
        <v>0.64944503526017805</v>
      </c>
      <c r="G474">
        <v>33.911999999999999</v>
      </c>
      <c r="H474">
        <v>1.1638089275636601</v>
      </c>
      <c r="J474">
        <v>37.6799999999999</v>
      </c>
      <c r="K474">
        <v>1.8094462166099901</v>
      </c>
      <c r="V474">
        <v>34.173951359999997</v>
      </c>
      <c r="W474">
        <v>1.1818579234048101</v>
      </c>
    </row>
    <row r="475" spans="1:23" x14ac:dyDescent="0.3">
      <c r="A475">
        <v>26.431999999999999</v>
      </c>
      <c r="B475">
        <v>0.28916916615976201</v>
      </c>
      <c r="D475">
        <v>30.207999999999998</v>
      </c>
      <c r="E475">
        <v>0.64944503526017805</v>
      </c>
      <c r="G475">
        <v>33.983999999999902</v>
      </c>
      <c r="H475">
        <v>1.1638089275636601</v>
      </c>
      <c r="J475">
        <v>37.759999999999899</v>
      </c>
      <c r="K475">
        <v>1.8094462166099901</v>
      </c>
      <c r="V475">
        <v>34.246507519999902</v>
      </c>
      <c r="W475">
        <v>1.1818579234048101</v>
      </c>
    </row>
    <row r="476" spans="1:23" x14ac:dyDescent="0.3">
      <c r="A476">
        <v>26.488</v>
      </c>
      <c r="B476">
        <v>0.28916916615976102</v>
      </c>
      <c r="D476">
        <v>30.271999999999998</v>
      </c>
      <c r="E476">
        <v>0.64944503526017805</v>
      </c>
      <c r="G476">
        <v>34.055999999999898</v>
      </c>
      <c r="H476">
        <v>1.1638089275636601</v>
      </c>
      <c r="J476">
        <v>37.839999999999897</v>
      </c>
      <c r="K476">
        <v>1.8094462166099801</v>
      </c>
      <c r="V476">
        <v>34.319063679999999</v>
      </c>
      <c r="W476">
        <v>1.1818579234047999</v>
      </c>
    </row>
    <row r="477" spans="1:23" x14ac:dyDescent="0.3">
      <c r="A477">
        <v>26.544</v>
      </c>
      <c r="B477">
        <v>0.28916916615976102</v>
      </c>
      <c r="D477">
        <v>30.335999999999999</v>
      </c>
      <c r="E477">
        <v>0.64944503526017705</v>
      </c>
      <c r="G477">
        <v>34.127999999999901</v>
      </c>
      <c r="H477">
        <v>1.1638089275636601</v>
      </c>
      <c r="J477">
        <v>37.919999999999902</v>
      </c>
      <c r="K477">
        <v>1.8094462166099801</v>
      </c>
      <c r="V477">
        <v>34.391619839999997</v>
      </c>
      <c r="W477">
        <v>1.1818579234047999</v>
      </c>
    </row>
    <row r="478" spans="1:23" x14ac:dyDescent="0.3">
      <c r="A478">
        <v>26.6</v>
      </c>
      <c r="B478">
        <v>0.28916916615976102</v>
      </c>
      <c r="D478">
        <v>30.4</v>
      </c>
      <c r="E478">
        <v>0.64944503526017705</v>
      </c>
      <c r="G478">
        <v>34.199999999999903</v>
      </c>
      <c r="H478">
        <v>1.1638089275636601</v>
      </c>
      <c r="J478">
        <v>37.999999999999901</v>
      </c>
      <c r="K478">
        <v>1.8094462166099801</v>
      </c>
      <c r="V478">
        <v>34.464175999999902</v>
      </c>
      <c r="W478">
        <v>1.1818579234047999</v>
      </c>
    </row>
    <row r="479" spans="1:23" x14ac:dyDescent="0.3">
      <c r="A479">
        <v>26.655999999999999</v>
      </c>
      <c r="B479">
        <v>0.28916916615976102</v>
      </c>
      <c r="D479">
        <v>30.463999999999999</v>
      </c>
      <c r="E479">
        <v>0.64944503526017705</v>
      </c>
      <c r="G479">
        <v>34.271999999999899</v>
      </c>
      <c r="H479">
        <v>1.1638089275636601</v>
      </c>
      <c r="J479">
        <v>38.079999999999899</v>
      </c>
      <c r="K479">
        <v>1.8094462166099801</v>
      </c>
      <c r="V479">
        <v>34.5367321599999</v>
      </c>
      <c r="W479">
        <v>1.1818579234047999</v>
      </c>
    </row>
    <row r="480" spans="1:23" x14ac:dyDescent="0.3">
      <c r="A480">
        <v>26.712</v>
      </c>
      <c r="B480">
        <v>0.28916916615976102</v>
      </c>
      <c r="D480">
        <v>30.527999999999999</v>
      </c>
      <c r="E480">
        <v>0.64944503526017605</v>
      </c>
      <c r="G480">
        <v>34.343999999999902</v>
      </c>
      <c r="H480">
        <v>1.1638089275636601</v>
      </c>
      <c r="J480">
        <v>38.159999999999897</v>
      </c>
      <c r="K480">
        <v>1.8094462166099801</v>
      </c>
      <c r="V480">
        <v>34.609288319999898</v>
      </c>
      <c r="W480">
        <v>1.1818579234047899</v>
      </c>
    </row>
    <row r="481" spans="1:23" x14ac:dyDescent="0.3">
      <c r="A481">
        <v>26.767999999999901</v>
      </c>
      <c r="B481">
        <v>0.28916916615976102</v>
      </c>
      <c r="D481">
        <v>30.591999999999999</v>
      </c>
      <c r="E481">
        <v>0.64944503526017605</v>
      </c>
      <c r="G481">
        <v>34.415999999999897</v>
      </c>
      <c r="H481">
        <v>1.1638089275636601</v>
      </c>
      <c r="J481">
        <v>38.239999999999903</v>
      </c>
      <c r="K481">
        <v>1.8094462166099801</v>
      </c>
      <c r="V481">
        <v>34.681844479999903</v>
      </c>
      <c r="W481">
        <v>1.1818579234047899</v>
      </c>
    </row>
    <row r="482" spans="1:23" x14ac:dyDescent="0.3">
      <c r="A482">
        <v>26.824000000000002</v>
      </c>
      <c r="B482">
        <v>0.28916916615976002</v>
      </c>
      <c r="D482">
        <v>30.655999999999999</v>
      </c>
      <c r="E482">
        <v>0.64944503526017505</v>
      </c>
      <c r="G482">
        <v>34.4879999999999</v>
      </c>
      <c r="H482">
        <v>1.1638089275636601</v>
      </c>
      <c r="J482">
        <v>38.319999999999901</v>
      </c>
      <c r="K482">
        <v>1.8094462166099801</v>
      </c>
      <c r="V482">
        <v>34.754400639999901</v>
      </c>
      <c r="W482">
        <v>1.1818579234047899</v>
      </c>
    </row>
    <row r="483" spans="1:23" x14ac:dyDescent="0.3">
      <c r="A483">
        <v>26.88</v>
      </c>
      <c r="B483">
        <v>0.28916916615976002</v>
      </c>
      <c r="D483">
        <v>30.72</v>
      </c>
      <c r="E483">
        <v>0.64944503526017505</v>
      </c>
      <c r="G483">
        <v>34.559999999999903</v>
      </c>
      <c r="H483">
        <v>1.1638089275636601</v>
      </c>
      <c r="J483">
        <v>38.399999999999899</v>
      </c>
      <c r="K483">
        <v>1.8094462166099701</v>
      </c>
      <c r="V483">
        <v>34.826956799999898</v>
      </c>
      <c r="W483">
        <v>1.1818579234047899</v>
      </c>
    </row>
    <row r="484" spans="1:23" x14ac:dyDescent="0.3">
      <c r="A484">
        <v>26.936</v>
      </c>
      <c r="B484">
        <v>0.28916916615976002</v>
      </c>
      <c r="D484">
        <v>30.783999999999999</v>
      </c>
      <c r="E484">
        <v>0.64944503526017505</v>
      </c>
      <c r="G484">
        <v>34.631999999999998</v>
      </c>
      <c r="H484">
        <v>1.1638089275636601</v>
      </c>
      <c r="J484">
        <v>38.479999999999897</v>
      </c>
      <c r="K484">
        <v>1.8094462166099701</v>
      </c>
      <c r="V484">
        <v>34.899512959999903</v>
      </c>
      <c r="W484">
        <v>1.1818579234047799</v>
      </c>
    </row>
    <row r="485" spans="1:23" x14ac:dyDescent="0.3">
      <c r="A485">
        <v>26.991999999999901</v>
      </c>
      <c r="B485">
        <v>0.28916916615976002</v>
      </c>
      <c r="D485">
        <v>30.847999999999999</v>
      </c>
      <c r="E485">
        <v>0.64944503526017405</v>
      </c>
      <c r="G485">
        <v>34.703999999999901</v>
      </c>
      <c r="H485">
        <v>1.1638089275636601</v>
      </c>
      <c r="J485">
        <v>38.559999999999903</v>
      </c>
      <c r="K485">
        <v>1.8094462166099701</v>
      </c>
      <c r="V485">
        <v>34.972069119999901</v>
      </c>
      <c r="W485">
        <v>1.1818579234047799</v>
      </c>
    </row>
    <row r="486" spans="1:23" x14ac:dyDescent="0.3">
      <c r="A486">
        <v>27.047999999999998</v>
      </c>
      <c r="B486">
        <v>0.28916916615976002</v>
      </c>
      <c r="D486">
        <v>30.911999999999999</v>
      </c>
      <c r="E486">
        <v>0.64944503526017405</v>
      </c>
      <c r="G486">
        <v>34.775999999999897</v>
      </c>
      <c r="H486">
        <v>1.1638089275636601</v>
      </c>
      <c r="J486">
        <v>38.639999999999901</v>
      </c>
      <c r="K486">
        <v>1.8094462166099701</v>
      </c>
      <c r="V486">
        <v>35.044625279999899</v>
      </c>
      <c r="W486">
        <v>1.1818579234047799</v>
      </c>
    </row>
    <row r="487" spans="1:23" x14ac:dyDescent="0.3">
      <c r="A487">
        <v>27.103999999999999</v>
      </c>
      <c r="B487">
        <v>0.28916916615976002</v>
      </c>
      <c r="D487">
        <v>30.975999999999999</v>
      </c>
      <c r="E487">
        <v>0.64944503526017405</v>
      </c>
      <c r="G487">
        <v>34.8479999999999</v>
      </c>
      <c r="H487">
        <v>1.1638089275636601</v>
      </c>
      <c r="J487">
        <v>38.719999999999899</v>
      </c>
      <c r="K487">
        <v>1.8094462166099701</v>
      </c>
      <c r="V487">
        <v>35.117181439999896</v>
      </c>
      <c r="W487">
        <v>1.1818579234047799</v>
      </c>
    </row>
    <row r="488" spans="1:23" x14ac:dyDescent="0.3">
      <c r="A488">
        <v>27.16</v>
      </c>
      <c r="B488">
        <v>0.28916916615975902</v>
      </c>
      <c r="D488">
        <v>31.04</v>
      </c>
      <c r="E488">
        <v>0.64944503526017305</v>
      </c>
      <c r="G488">
        <v>34.919999999999902</v>
      </c>
      <c r="H488">
        <v>1.1638089275636601</v>
      </c>
      <c r="J488">
        <v>38.799999999999898</v>
      </c>
      <c r="K488">
        <v>1.8094462166099701</v>
      </c>
      <c r="V488">
        <v>35.189737599999901</v>
      </c>
      <c r="W488">
        <v>1.1818579234047799</v>
      </c>
    </row>
    <row r="489" spans="1:23" x14ac:dyDescent="0.3">
      <c r="A489">
        <v>27.216000000000001</v>
      </c>
      <c r="B489">
        <v>0.28916916615975902</v>
      </c>
      <c r="D489">
        <v>31.103999999999999</v>
      </c>
      <c r="E489">
        <v>0.64944503526017305</v>
      </c>
      <c r="G489">
        <v>34.991999999999898</v>
      </c>
      <c r="H489">
        <v>1.1638089275636601</v>
      </c>
      <c r="J489">
        <v>38.879999999999903</v>
      </c>
      <c r="K489">
        <v>1.8094462166099701</v>
      </c>
      <c r="V489">
        <v>35.262293759999999</v>
      </c>
      <c r="W489">
        <v>1.1818579234047799</v>
      </c>
    </row>
    <row r="490" spans="1:23" x14ac:dyDescent="0.3">
      <c r="A490">
        <v>27.271999999999998</v>
      </c>
      <c r="B490">
        <v>0.28916916615975902</v>
      </c>
      <c r="D490">
        <v>31.167999999999999</v>
      </c>
      <c r="E490">
        <v>0.64944503526017305</v>
      </c>
      <c r="G490">
        <v>35.063999999999901</v>
      </c>
      <c r="H490">
        <v>1.1638089275636601</v>
      </c>
      <c r="J490">
        <v>38.959999999999901</v>
      </c>
      <c r="K490">
        <v>1.8094462166099701</v>
      </c>
      <c r="V490">
        <v>35.334849919999897</v>
      </c>
      <c r="W490">
        <v>1.1818579234047799</v>
      </c>
    </row>
    <row r="491" spans="1:23" x14ac:dyDescent="0.3">
      <c r="A491">
        <v>27.327999999999999</v>
      </c>
      <c r="B491">
        <v>0.28916916615975902</v>
      </c>
      <c r="D491">
        <v>31.231999999999999</v>
      </c>
      <c r="E491">
        <v>0.64944503526017205</v>
      </c>
      <c r="G491">
        <v>35.135999999999903</v>
      </c>
      <c r="H491">
        <v>1.1638089275636601</v>
      </c>
      <c r="J491">
        <v>39.0399999999999</v>
      </c>
      <c r="K491">
        <v>1.8094462166099701</v>
      </c>
      <c r="V491">
        <v>35.407406079999902</v>
      </c>
      <c r="W491">
        <v>1.1818579234047699</v>
      </c>
    </row>
    <row r="492" spans="1:23" x14ac:dyDescent="0.3">
      <c r="A492">
        <v>27.384</v>
      </c>
      <c r="B492">
        <v>0.28916916615975902</v>
      </c>
      <c r="D492">
        <v>31.295999999999999</v>
      </c>
      <c r="E492">
        <v>0.64944503526017205</v>
      </c>
      <c r="G492">
        <v>35.207999999999899</v>
      </c>
      <c r="H492">
        <v>1.1638089275636601</v>
      </c>
      <c r="J492">
        <v>39.119999999999898</v>
      </c>
      <c r="K492">
        <v>1.8094462166099701</v>
      </c>
      <c r="V492">
        <v>35.4799622399999</v>
      </c>
      <c r="W492">
        <v>1.1818579234047699</v>
      </c>
    </row>
    <row r="493" spans="1:23" x14ac:dyDescent="0.3">
      <c r="A493">
        <v>27.44</v>
      </c>
      <c r="B493">
        <v>0.28916916615975902</v>
      </c>
      <c r="D493">
        <v>31.36</v>
      </c>
      <c r="E493">
        <v>0.64944503526017205</v>
      </c>
      <c r="G493">
        <v>35.279999999999902</v>
      </c>
      <c r="H493">
        <v>1.1638089275636601</v>
      </c>
      <c r="J493">
        <v>39.199999999999903</v>
      </c>
      <c r="K493">
        <v>1.8094462166099701</v>
      </c>
      <c r="V493">
        <v>35.552518399999897</v>
      </c>
      <c r="W493">
        <v>1.1818579234047699</v>
      </c>
    </row>
    <row r="494" spans="1:23" x14ac:dyDescent="0.3">
      <c r="A494">
        <v>27.495999999999999</v>
      </c>
      <c r="B494">
        <v>0.28916916615975902</v>
      </c>
      <c r="D494">
        <v>31.423999999999999</v>
      </c>
      <c r="E494">
        <v>0.64944503526017205</v>
      </c>
      <c r="G494">
        <v>35.351999999999897</v>
      </c>
      <c r="H494">
        <v>1.1638089275636601</v>
      </c>
      <c r="J494">
        <v>39.279999999999902</v>
      </c>
      <c r="K494">
        <v>1.8094462166099701</v>
      </c>
      <c r="V494">
        <v>35.625074559999902</v>
      </c>
      <c r="W494">
        <v>1.1818579234047699</v>
      </c>
    </row>
    <row r="495" spans="1:23" x14ac:dyDescent="0.3">
      <c r="A495">
        <v>27.5519999999999</v>
      </c>
      <c r="B495">
        <v>0.28916916615975902</v>
      </c>
      <c r="D495">
        <v>31.488</v>
      </c>
      <c r="E495">
        <v>0.64944503526017205</v>
      </c>
      <c r="G495">
        <v>35.4239999999999</v>
      </c>
      <c r="H495">
        <v>1.1638089275636601</v>
      </c>
      <c r="J495">
        <v>39.3599999999999</v>
      </c>
      <c r="K495">
        <v>1.8094462166099701</v>
      </c>
      <c r="V495">
        <v>35.6976307199999</v>
      </c>
      <c r="W495">
        <v>1.1818579234047699</v>
      </c>
    </row>
    <row r="496" spans="1:23" x14ac:dyDescent="0.3">
      <c r="A496">
        <v>27.607999999999901</v>
      </c>
      <c r="B496">
        <v>0.28916916615975902</v>
      </c>
      <c r="D496">
        <v>31.552</v>
      </c>
      <c r="E496">
        <v>0.64944503526017205</v>
      </c>
      <c r="G496">
        <v>35.495999999999903</v>
      </c>
      <c r="H496">
        <v>1.1638089275636601</v>
      </c>
      <c r="J496">
        <v>39.439999999999898</v>
      </c>
      <c r="K496">
        <v>1.8094462166099701</v>
      </c>
      <c r="V496">
        <v>35.770186879999997</v>
      </c>
      <c r="W496">
        <v>1.1818579234047699</v>
      </c>
    </row>
    <row r="497" spans="1:23" x14ac:dyDescent="0.3">
      <c r="A497">
        <v>27.663999999999898</v>
      </c>
      <c r="B497">
        <v>0.28916916615975902</v>
      </c>
      <c r="D497">
        <v>31.616</v>
      </c>
      <c r="E497">
        <v>0.64944503526017205</v>
      </c>
      <c r="G497">
        <v>35.567999999999898</v>
      </c>
      <c r="H497">
        <v>1.1638089275636601</v>
      </c>
      <c r="J497">
        <v>39.519999999999897</v>
      </c>
      <c r="K497">
        <v>1.8094462166099701</v>
      </c>
      <c r="V497">
        <v>35.842743039999903</v>
      </c>
      <c r="W497">
        <v>1.1818579234047699</v>
      </c>
    </row>
    <row r="498" spans="1:23" x14ac:dyDescent="0.3">
      <c r="A498">
        <v>27.719999999999899</v>
      </c>
      <c r="B498">
        <v>0.28916916615975902</v>
      </c>
      <c r="D498">
        <v>31.68</v>
      </c>
      <c r="E498">
        <v>0.64944503526017205</v>
      </c>
      <c r="G498">
        <v>35.639999999999901</v>
      </c>
      <c r="H498">
        <v>1.1638089275636601</v>
      </c>
      <c r="J498">
        <v>39.599999999999902</v>
      </c>
      <c r="K498">
        <v>1.8094462166099701</v>
      </c>
      <c r="V498">
        <v>35.9152992</v>
      </c>
      <c r="W498">
        <v>1.1818579234047699</v>
      </c>
    </row>
    <row r="499" spans="1:23" x14ac:dyDescent="0.3">
      <c r="A499">
        <v>27.7759999999999</v>
      </c>
      <c r="B499">
        <v>0.28916916615975902</v>
      </c>
      <c r="D499">
        <v>31.744</v>
      </c>
      <c r="E499">
        <v>0.64944503526017205</v>
      </c>
      <c r="G499">
        <v>35.711999999999897</v>
      </c>
      <c r="H499">
        <v>1.1638089275636601</v>
      </c>
      <c r="J499">
        <v>39.6799999999999</v>
      </c>
      <c r="K499">
        <v>1.8094462166099701</v>
      </c>
      <c r="V499">
        <v>35.987855359999998</v>
      </c>
      <c r="W499">
        <v>1.1818579234047699</v>
      </c>
    </row>
    <row r="500" spans="1:23" x14ac:dyDescent="0.3">
      <c r="A500">
        <v>27.831999999999901</v>
      </c>
      <c r="B500">
        <v>0.28916916615975802</v>
      </c>
      <c r="D500">
        <v>31.808</v>
      </c>
      <c r="E500">
        <v>0.64944503526017205</v>
      </c>
      <c r="G500">
        <v>35.783999999999899</v>
      </c>
      <c r="H500">
        <v>1.1638089275636601</v>
      </c>
      <c r="J500">
        <v>39.759999999999899</v>
      </c>
      <c r="K500">
        <v>1.8094462166099701</v>
      </c>
      <c r="V500">
        <v>36.060411519999903</v>
      </c>
      <c r="W500">
        <v>1.1818579234047699</v>
      </c>
    </row>
    <row r="501" spans="1:23" x14ac:dyDescent="0.3">
      <c r="A501">
        <v>27.887999999999899</v>
      </c>
      <c r="B501">
        <v>0.28916916615975802</v>
      </c>
      <c r="D501">
        <v>31.8719999999999</v>
      </c>
      <c r="E501">
        <v>0.64944503526017205</v>
      </c>
      <c r="G501">
        <v>35.855999999999902</v>
      </c>
      <c r="H501">
        <v>1.1638089275636601</v>
      </c>
      <c r="J501">
        <v>39.839999999999897</v>
      </c>
      <c r="K501">
        <v>1.8094462166099701</v>
      </c>
      <c r="V501">
        <v>36.132967679999901</v>
      </c>
      <c r="W501">
        <v>1.1818579234047699</v>
      </c>
    </row>
    <row r="502" spans="1:23" x14ac:dyDescent="0.3">
      <c r="A502">
        <v>27.943999999999999</v>
      </c>
      <c r="B502">
        <v>0.28916916615975802</v>
      </c>
      <c r="D502">
        <v>31.9359999999999</v>
      </c>
      <c r="E502">
        <v>0.64944503526017205</v>
      </c>
      <c r="G502">
        <v>35.927999999999898</v>
      </c>
      <c r="H502">
        <v>1.1638089275636601</v>
      </c>
      <c r="J502">
        <v>39.919999999999902</v>
      </c>
      <c r="K502">
        <v>1.8094462166099701</v>
      </c>
      <c r="V502">
        <v>36.205523839999898</v>
      </c>
      <c r="W502">
        <v>1.1818579234047699</v>
      </c>
    </row>
    <row r="503" spans="1:23" x14ac:dyDescent="0.3">
      <c r="A503">
        <v>27.999999999999901</v>
      </c>
      <c r="B503">
        <v>0.28916916615975802</v>
      </c>
      <c r="D503">
        <v>31.999999999999901</v>
      </c>
      <c r="E503">
        <v>0.64944503526017205</v>
      </c>
      <c r="G503">
        <v>35.999999999999901</v>
      </c>
      <c r="H503">
        <v>1.1638089275636601</v>
      </c>
      <c r="J503">
        <v>39.999999999999901</v>
      </c>
      <c r="K503">
        <v>1.8094462166099701</v>
      </c>
      <c r="V503">
        <v>36.278079999999903</v>
      </c>
      <c r="W503">
        <v>1.1818579234047699</v>
      </c>
    </row>
  </sheetData>
  <mergeCells count="11">
    <mergeCell ref="M13:S19"/>
    <mergeCell ref="S8:S10"/>
    <mergeCell ref="T8:T10"/>
    <mergeCell ref="T6:T7"/>
    <mergeCell ref="V1:W1"/>
    <mergeCell ref="S6:S7"/>
    <mergeCell ref="A1:B1"/>
    <mergeCell ref="D1:E1"/>
    <mergeCell ref="G1:H1"/>
    <mergeCell ref="J1:K1"/>
    <mergeCell ref="M1:S1"/>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A118C-0587-461B-A341-EFEF20DC2817}">
  <dimension ref="A2:L20"/>
  <sheetViews>
    <sheetView zoomScale="70" zoomScaleNormal="70" workbookViewId="0">
      <selection activeCell="L29" sqref="L29"/>
    </sheetView>
  </sheetViews>
  <sheetFormatPr defaultRowHeight="14.4" x14ac:dyDescent="0.3"/>
  <cols>
    <col min="1" max="1" width="19" customWidth="1"/>
    <col min="2" max="2" width="15.44140625" style="3" customWidth="1"/>
    <col min="3" max="3" width="13.88671875" style="3" customWidth="1"/>
    <col min="4" max="4" width="12.44140625" style="3" customWidth="1"/>
  </cols>
  <sheetData>
    <row r="2" spans="1:12" x14ac:dyDescent="0.3">
      <c r="F2" s="48" t="s">
        <v>102</v>
      </c>
      <c r="G2" s="48"/>
      <c r="H2" s="48"/>
      <c r="I2" s="48"/>
      <c r="J2" s="48"/>
      <c r="K2" s="48"/>
      <c r="L2" s="48"/>
    </row>
    <row r="3" spans="1:12" x14ac:dyDescent="0.3">
      <c r="F3" s="48"/>
      <c r="G3" s="48"/>
      <c r="H3" s="48"/>
      <c r="I3" s="48"/>
      <c r="J3" s="48"/>
      <c r="K3" s="48"/>
      <c r="L3" s="48"/>
    </row>
    <row r="4" spans="1:12" x14ac:dyDescent="0.3">
      <c r="A4" s="45" t="s">
        <v>100</v>
      </c>
      <c r="B4" s="44" t="s">
        <v>99</v>
      </c>
      <c r="C4" s="44"/>
      <c r="D4" s="44"/>
    </row>
    <row r="5" spans="1:12" x14ac:dyDescent="0.3">
      <c r="A5" s="46"/>
      <c r="B5" s="22" t="s">
        <v>98</v>
      </c>
      <c r="C5" s="22" t="s">
        <v>97</v>
      </c>
      <c r="D5" s="22" t="s">
        <v>96</v>
      </c>
    </row>
    <row r="6" spans="1:12" x14ac:dyDescent="0.3">
      <c r="A6" s="23">
        <v>0</v>
      </c>
      <c r="B6" s="3">
        <f>10000000 * 0</f>
        <v>0</v>
      </c>
      <c r="C6" s="3">
        <f>10000000 * 0</f>
        <v>0</v>
      </c>
      <c r="D6" s="3">
        <f>10^6 *0</f>
        <v>0</v>
      </c>
    </row>
    <row r="7" spans="1:12" x14ac:dyDescent="0.3">
      <c r="A7" s="23">
        <v>4</v>
      </c>
      <c r="B7" s="3">
        <f>10^6*0.0000165657758494392</f>
        <v>16.565775849439198</v>
      </c>
      <c r="C7" s="3">
        <f>10^6 * 0.0000165804858911992</f>
        <v>16.580485891199199</v>
      </c>
      <c r="D7" s="3">
        <f>10^6 * 0.0000165936457161174</f>
        <v>16.5936457161174</v>
      </c>
    </row>
    <row r="8" spans="1:12" x14ac:dyDescent="0.3">
      <c r="A8" s="23">
        <v>8</v>
      </c>
      <c r="B8" s="3">
        <f>10^6 * 0.0000331315516988784</f>
        <v>33.131551698878397</v>
      </c>
      <c r="C8" s="3">
        <f>10^6 * 0.0000331609717823985</f>
        <v>33.160971782398505</v>
      </c>
      <c r="D8" s="3">
        <f>10^6 * 0.0000331872914322348</f>
        <v>33.187291432234801</v>
      </c>
    </row>
    <row r="9" spans="1:12" x14ac:dyDescent="0.3">
      <c r="A9" s="23">
        <v>12</v>
      </c>
      <c r="B9" s="3">
        <f>10^6 * 0.0000496973275483181</f>
        <v>49.6973275483181</v>
      </c>
      <c r="C9" s="3">
        <f>10^6 * 0.0000497414576735977</f>
        <v>49.741457673597701</v>
      </c>
      <c r="D9" s="3">
        <f>10^6 * 0.0000497809371483521</f>
        <v>49.780937148352102</v>
      </c>
    </row>
    <row r="10" spans="1:12" x14ac:dyDescent="0.3">
      <c r="A10" s="23">
        <v>16</v>
      </c>
      <c r="B10" s="3">
        <f>10^6 * 0.0000662631033977568</f>
        <v>66.263103397756794</v>
      </c>
      <c r="C10" s="3">
        <f>10^6 * 0.0000663219435647971</f>
        <v>66.321943564797095</v>
      </c>
      <c r="D10" s="3">
        <f>10^6 * 0.0000663745828644696</f>
        <v>66.374582864469602</v>
      </c>
    </row>
    <row r="11" spans="1:12" x14ac:dyDescent="0.3">
      <c r="A11" s="23">
        <v>20</v>
      </c>
      <c r="B11" s="3">
        <f>10^6* 0.0000828288792471963</f>
        <v>82.828879247196298</v>
      </c>
      <c r="C11" s="3">
        <f>10^6 * 0.0000829024294559966</f>
        <v>82.902429455996597</v>
      </c>
      <c r="D11" s="3">
        <f>10^6 * 0.000082968228580587</f>
        <v>82.968228580587009</v>
      </c>
    </row>
    <row r="12" spans="1:12" x14ac:dyDescent="0.3">
      <c r="A12" s="23"/>
      <c r="B12" s="47" t="s">
        <v>101</v>
      </c>
      <c r="C12" s="47"/>
    </row>
    <row r="13" spans="1:12" x14ac:dyDescent="0.3">
      <c r="A13" t="s">
        <v>95</v>
      </c>
      <c r="B13" s="3" t="s">
        <v>94</v>
      </c>
    </row>
    <row r="14" spans="1:12" x14ac:dyDescent="0.3">
      <c r="A14" t="s">
        <v>93</v>
      </c>
      <c r="B14" s="3" t="s">
        <v>92</v>
      </c>
    </row>
    <row r="15" spans="1:12" x14ac:dyDescent="0.3">
      <c r="A15" t="s">
        <v>91</v>
      </c>
      <c r="B15" s="3" t="s">
        <v>90</v>
      </c>
      <c r="D15" s="18">
        <f>0.000082968228580587 + 18</f>
        <v>18.000082968228579</v>
      </c>
    </row>
    <row r="18" spans="1:1" x14ac:dyDescent="0.3">
      <c r="A18" t="s">
        <v>89</v>
      </c>
    </row>
    <row r="19" spans="1:1" x14ac:dyDescent="0.3">
      <c r="A19" t="s">
        <v>88</v>
      </c>
    </row>
    <row r="20" spans="1:1" x14ac:dyDescent="0.3">
      <c r="A20" t="s">
        <v>87</v>
      </c>
    </row>
  </sheetData>
  <mergeCells count="4">
    <mergeCell ref="B4:D4"/>
    <mergeCell ref="A4:A5"/>
    <mergeCell ref="B12:C12"/>
    <mergeCell ref="F2:L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BBCFD-CCA9-4A71-BAED-312922D8F604}">
  <dimension ref="A1:AK248"/>
  <sheetViews>
    <sheetView topLeftCell="M1" zoomScale="66" zoomScaleNormal="70" workbookViewId="0">
      <selection activeCell="X47" sqref="X47"/>
    </sheetView>
  </sheetViews>
  <sheetFormatPr defaultRowHeight="14.4" x14ac:dyDescent="0.3"/>
  <cols>
    <col min="3" max="3" width="19.5546875" customWidth="1"/>
    <col min="4" max="4" width="16.109375" customWidth="1"/>
    <col min="5" max="5" width="27.21875" customWidth="1"/>
    <col min="6" max="6" width="10" customWidth="1"/>
    <col min="7" max="7" width="11.109375" customWidth="1"/>
    <col min="10" max="10" width="17.6640625" bestFit="1" customWidth="1"/>
    <col min="11" max="11" width="17.6640625" customWidth="1"/>
    <col min="12" max="12" width="27.6640625" bestFit="1" customWidth="1"/>
    <col min="13" max="14" width="12" customWidth="1"/>
    <col min="15" max="15" width="8.88671875" customWidth="1"/>
    <col min="17" max="17" width="18.33203125" bestFit="1" customWidth="1"/>
    <col min="18" max="18" width="18.33203125" customWidth="1"/>
    <col min="19" max="19" width="27.33203125" bestFit="1" customWidth="1"/>
    <col min="20" max="20" width="12.109375" bestFit="1" customWidth="1"/>
    <col min="21" max="21" width="13.109375" customWidth="1"/>
    <col min="23" max="23" width="27.109375" customWidth="1"/>
    <col min="24" max="24" width="12" customWidth="1"/>
    <col min="25" max="25" width="9" bestFit="1" customWidth="1"/>
    <col min="26" max="26" width="16.5546875" customWidth="1"/>
    <col min="27" max="27" width="14.5546875" customWidth="1"/>
    <col min="29" max="29" width="17.109375" bestFit="1" customWidth="1"/>
    <col min="30" max="30" width="17.44140625" customWidth="1"/>
    <col min="31" max="31" width="14.5546875" customWidth="1"/>
    <col min="32" max="32" width="13.109375" customWidth="1"/>
    <col min="33" max="33" width="11.77734375" customWidth="1"/>
    <col min="34" max="34" width="10.109375" bestFit="1" customWidth="1"/>
    <col min="35" max="35" width="9.44140625" bestFit="1" customWidth="1"/>
    <col min="36" max="36" width="10.109375" bestFit="1" customWidth="1"/>
    <col min="37" max="37" width="9.44140625" bestFit="1" customWidth="1"/>
  </cols>
  <sheetData>
    <row r="1" spans="1:37" ht="15.6" x14ac:dyDescent="0.3">
      <c r="C1" s="49" t="s">
        <v>129</v>
      </c>
      <c r="D1" s="49"/>
      <c r="E1" s="49"/>
      <c r="F1" s="49"/>
      <c r="G1" s="49"/>
      <c r="J1" s="52" t="s">
        <v>128</v>
      </c>
      <c r="K1" s="52"/>
      <c r="L1" s="52"/>
      <c r="M1" s="52"/>
      <c r="N1" s="52"/>
      <c r="O1" s="8"/>
      <c r="Q1" s="52" t="s">
        <v>126</v>
      </c>
      <c r="R1" s="52"/>
      <c r="S1" s="52"/>
      <c r="T1" s="52"/>
      <c r="U1" s="52"/>
    </row>
    <row r="2" spans="1:37" x14ac:dyDescent="0.3">
      <c r="A2" t="s">
        <v>124</v>
      </c>
      <c r="C2" s="25" t="s">
        <v>123</v>
      </c>
      <c r="D2" s="25" t="s">
        <v>131</v>
      </c>
      <c r="E2" s="25" t="s">
        <v>133</v>
      </c>
      <c r="F2" s="25" t="s">
        <v>121</v>
      </c>
      <c r="G2" s="25" t="s">
        <v>130</v>
      </c>
      <c r="J2" s="25" t="s">
        <v>123</v>
      </c>
      <c r="K2" s="25" t="s">
        <v>131</v>
      </c>
      <c r="L2" s="25" t="s">
        <v>133</v>
      </c>
      <c r="M2" s="25" t="s">
        <v>121</v>
      </c>
      <c r="N2" s="25" t="s">
        <v>130</v>
      </c>
      <c r="Q2" s="25" t="s">
        <v>122</v>
      </c>
      <c r="R2" s="25" t="s">
        <v>132</v>
      </c>
      <c r="S2" s="25" t="s">
        <v>133</v>
      </c>
      <c r="T2" s="25" t="s">
        <v>121</v>
      </c>
      <c r="U2" s="25" t="s">
        <v>130</v>
      </c>
      <c r="W2" s="50" t="s">
        <v>125</v>
      </c>
      <c r="X2" s="50"/>
      <c r="Y2" s="50"/>
    </row>
    <row r="3" spans="1:37" x14ac:dyDescent="0.3">
      <c r="A3">
        <v>0</v>
      </c>
      <c r="C3">
        <f>-30</f>
        <v>-30</v>
      </c>
      <c r="D3">
        <f t="shared" ref="D3:D34" si="0">C3/1000</f>
        <v>-0.03</v>
      </c>
      <c r="E3">
        <v>-0.21206413526978399</v>
      </c>
      <c r="F3" s="11">
        <v>0</v>
      </c>
      <c r="G3" s="11">
        <f t="shared" ref="G3:G34" si="1">E3*F3</f>
        <v>0</v>
      </c>
      <c r="J3">
        <v>-25</v>
      </c>
      <c r="K3">
        <f t="shared" ref="K3:K66" si="2">J3/1000</f>
        <v>-2.5000000000000001E-2</v>
      </c>
      <c r="L3">
        <v>2.42289270856565E-2</v>
      </c>
      <c r="M3">
        <f>$X$12*(K4-K3)</f>
        <v>5.4401042888955911E-4</v>
      </c>
      <c r="N3">
        <f t="shared" ref="N3:N66" si="3">M3*L3</f>
        <v>1.3180789015401848E-5</v>
      </c>
      <c r="Q3">
        <v>1</v>
      </c>
      <c r="R3">
        <f t="shared" ref="R3:R39" si="4">Q3/1000</f>
        <v>1E-3</v>
      </c>
      <c r="S3">
        <v>2.2790719348726399E-2</v>
      </c>
      <c r="T3">
        <f>(AA$12+(AA$13*((R3-Y$4)/(Y$7-Y$4))))*(((R4-Y$4)/(Y$7-Y$4))-((R3-Y$4)/(Y$7-Y$4)))</f>
        <v>4.6296296296295834E-3</v>
      </c>
      <c r="U3">
        <f t="shared" ref="U3:U39" si="5">S3*T3</f>
        <v>1.0551258957743599E-4</v>
      </c>
      <c r="W3" s="24" t="s">
        <v>53</v>
      </c>
      <c r="X3" s="24" t="s">
        <v>120</v>
      </c>
      <c r="Y3" s="24" t="s">
        <v>119</v>
      </c>
    </row>
    <row r="4" spans="1:37" x14ac:dyDescent="0.3">
      <c r="A4">
        <v>1</v>
      </c>
      <c r="C4">
        <f>-29.8901187025084</f>
        <v>-29.890118702508399</v>
      </c>
      <c r="D4">
        <f t="shared" si="0"/>
        <v>-2.9890118702508399E-2</v>
      </c>
      <c r="E4">
        <v>-0.209120524632496</v>
      </c>
      <c r="F4" s="11">
        <f t="shared" ref="F4:F35" si="6">((D4-D$3)/Y$6)*(((D5-D$3)/Y$6)-((D3-D$3)/Y$6))</f>
        <v>9.6591196307454206E-4</v>
      </c>
      <c r="G4" s="11">
        <f t="shared" si="1"/>
        <v>-2.0199201646695235E-4</v>
      </c>
      <c r="J4">
        <v>-24.973887499413301</v>
      </c>
      <c r="K4">
        <f t="shared" si="2"/>
        <v>-2.4973887499413303E-2</v>
      </c>
      <c r="L4">
        <v>2.37397131142544E-2</v>
      </c>
      <c r="M4">
        <f t="shared" ref="M4:M67" si="7">$X$12*(K5-K3)</f>
        <v>1.0880208577771667E-3</v>
      </c>
      <c r="N4">
        <f t="shared" si="3"/>
        <v>2.5829303025954924E-5</v>
      </c>
      <c r="Q4">
        <v>1.1111111111111101</v>
      </c>
      <c r="R4">
        <f t="shared" si="4"/>
        <v>1.11111111111111E-3</v>
      </c>
      <c r="S4">
        <v>1.1836673831617401E-2</v>
      </c>
      <c r="T4">
        <f t="shared" ref="T4:T38" si="8">(AA$12+(AA$13*((R4-Y$4)/($Y$7-Y$4))))*(((R5-Y$4)/(Y$7-Y$4))-((R3-Y$4)/(Y$7-Y$4)))</f>
        <v>1.0288065843621286E-2</v>
      </c>
      <c r="U4">
        <f t="shared" si="5"/>
        <v>1.2177647974914888E-4</v>
      </c>
      <c r="W4" t="s">
        <v>118</v>
      </c>
      <c r="X4" t="s">
        <v>117</v>
      </c>
      <c r="Y4">
        <f>1/1000</f>
        <v>1E-3</v>
      </c>
    </row>
    <row r="5" spans="1:37" x14ac:dyDescent="0.3">
      <c r="A5">
        <v>2</v>
      </c>
      <c r="C5">
        <f>-29.7802374050169</f>
        <v>-29.780237405016901</v>
      </c>
      <c r="D5">
        <f t="shared" si="0"/>
        <v>-2.9780237405016903E-2</v>
      </c>
      <c r="E5">
        <v>-0.20621758913135499</v>
      </c>
      <c r="F5" s="11">
        <f t="shared" si="6"/>
        <v>1.9318239261473151E-3</v>
      </c>
      <c r="G5" s="11">
        <f t="shared" si="1"/>
        <v>-3.9837607267636811E-4</v>
      </c>
      <c r="J5">
        <v>-24.947774998826699</v>
      </c>
      <c r="K5">
        <f t="shared" si="2"/>
        <v>-2.4947774998826697E-2</v>
      </c>
      <c r="L5">
        <v>2.3260377017715099E-2</v>
      </c>
      <c r="M5">
        <f t="shared" si="7"/>
        <v>1.0880208577750705E-3</v>
      </c>
      <c r="N5">
        <f t="shared" si="3"/>
        <v>2.5307775354985918E-5</v>
      </c>
      <c r="Q5">
        <v>1.2222222222222201</v>
      </c>
      <c r="R5">
        <f t="shared" si="4"/>
        <v>1.22222222222222E-3</v>
      </c>
      <c r="S5">
        <v>1.1875452168458599E-2</v>
      </c>
      <c r="T5">
        <f t="shared" si="8"/>
        <v>1.1316872427983404E-2</v>
      </c>
      <c r="U5">
        <f t="shared" si="5"/>
        <v>1.3439297721506486E-4</v>
      </c>
      <c r="W5" t="s">
        <v>116</v>
      </c>
      <c r="X5" t="s">
        <v>115</v>
      </c>
      <c r="Y5">
        <f>24/1000</f>
        <v>2.4E-2</v>
      </c>
    </row>
    <row r="6" spans="1:37" x14ac:dyDescent="0.3">
      <c r="A6">
        <v>3</v>
      </c>
      <c r="C6">
        <f>-29.6703561075254</f>
        <v>-29.6703561075254</v>
      </c>
      <c r="D6">
        <f t="shared" si="0"/>
        <v>-2.96703561075254E-2</v>
      </c>
      <c r="E6">
        <v>-0.20335476894018001</v>
      </c>
      <c r="F6" s="11">
        <f t="shared" si="6"/>
        <v>2.8977358892206678E-3</v>
      </c>
      <c r="G6" s="11">
        <f t="shared" si="1"/>
        <v>-5.8926841220213592E-4</v>
      </c>
      <c r="J6">
        <v>-24.921662498240099</v>
      </c>
      <c r="K6">
        <f t="shared" si="2"/>
        <v>-2.4921662498240099E-2</v>
      </c>
      <c r="L6">
        <v>2.2790719348726399E-2</v>
      </c>
      <c r="M6">
        <f t="shared" si="7"/>
        <v>1.088020857774926E-3</v>
      </c>
      <c r="N6">
        <f t="shared" si="3"/>
        <v>2.4796778015108902E-5</v>
      </c>
      <c r="Q6">
        <v>1.3333333333333299</v>
      </c>
      <c r="R6">
        <f t="shared" si="4"/>
        <v>1.33333333333333E-3</v>
      </c>
      <c r="S6">
        <v>1.19143575476962E-2</v>
      </c>
      <c r="T6">
        <f t="shared" si="8"/>
        <v>1.2345679012345526E-2</v>
      </c>
      <c r="U6">
        <f t="shared" si="5"/>
        <v>1.4709083392217348E-4</v>
      </c>
      <c r="W6" t="s">
        <v>114</v>
      </c>
      <c r="X6" t="s">
        <v>113</v>
      </c>
      <c r="Y6">
        <f>5/1000</f>
        <v>5.0000000000000001E-3</v>
      </c>
    </row>
    <row r="7" spans="1:37" x14ac:dyDescent="0.3">
      <c r="A7">
        <v>4</v>
      </c>
      <c r="C7">
        <f>-29.5604748100339</f>
        <v>-29.560474810033899</v>
      </c>
      <c r="D7">
        <f t="shared" si="0"/>
        <v>-2.9560474810033897E-2</v>
      </c>
      <c r="E7">
        <v>-0.200531511910849</v>
      </c>
      <c r="F7" s="11">
        <f t="shared" si="6"/>
        <v>3.8636478522938375E-3</v>
      </c>
      <c r="G7" s="11">
        <f t="shared" si="1"/>
        <v>-7.7478314531158787E-4</v>
      </c>
      <c r="J7">
        <v>-24.8955499976535</v>
      </c>
      <c r="K7">
        <f t="shared" si="2"/>
        <v>-2.4895549997653501E-2</v>
      </c>
      <c r="L7">
        <v>2.2330544687079901E-2</v>
      </c>
      <c r="M7">
        <f t="shared" si="7"/>
        <v>1.1431963164437499E-3</v>
      </c>
      <c r="N7">
        <f t="shared" si="3"/>
        <v>2.5528196430452291E-5</v>
      </c>
      <c r="Q7">
        <v>1.44444444444444</v>
      </c>
      <c r="R7">
        <f t="shared" si="4"/>
        <v>1.44444444444444E-3</v>
      </c>
      <c r="S7">
        <v>1.19533903855359E-2</v>
      </c>
      <c r="T7">
        <f t="shared" si="8"/>
        <v>1.3374485596707645E-2</v>
      </c>
      <c r="U7">
        <f t="shared" si="5"/>
        <v>1.5987044754317353E-4</v>
      </c>
      <c r="W7" t="s">
        <v>112</v>
      </c>
      <c r="X7" t="s">
        <v>111</v>
      </c>
      <c r="Y7">
        <f>5/1000</f>
        <v>5.0000000000000001E-3</v>
      </c>
      <c r="AG7" s="1">
        <f>10*AB21</f>
        <v>9.8469842788880838E-2</v>
      </c>
      <c r="AH7" s="1">
        <f>10^5 *AD21</f>
        <v>7.5398223686155035</v>
      </c>
      <c r="AI7" s="1">
        <f>10^6*AE21</f>
        <v>0.74244512329365586</v>
      </c>
    </row>
    <row r="8" spans="1:37" x14ac:dyDescent="0.3">
      <c r="A8">
        <v>5</v>
      </c>
      <c r="C8">
        <f>-29.4505935125424</f>
        <v>-29.450593512542401</v>
      </c>
      <c r="D8">
        <f t="shared" si="0"/>
        <v>-2.9450593512542401E-2</v>
      </c>
      <c r="E8">
        <v>-0.19807409400127901</v>
      </c>
      <c r="F8" s="11">
        <f t="shared" si="6"/>
        <v>4.8295598153670375E-3</v>
      </c>
      <c r="G8" s="11">
        <f t="shared" si="1"/>
        <v>-9.5661068485381026E-4</v>
      </c>
      <c r="J8">
        <v>-24.8667890750508</v>
      </c>
      <c r="K8">
        <f t="shared" si="2"/>
        <v>-2.4866789075050799E-2</v>
      </c>
      <c r="L8">
        <v>2.2038081591161801E-2</v>
      </c>
      <c r="M8">
        <f t="shared" si="7"/>
        <v>1.1983717751145977E-3</v>
      </c>
      <c r="N8">
        <f t="shared" si="3"/>
        <v>2.6409814956520905E-5</v>
      </c>
      <c r="Q8">
        <v>1.55555555555555</v>
      </c>
      <c r="R8">
        <f t="shared" si="4"/>
        <v>1.55555555555555E-3</v>
      </c>
      <c r="S8">
        <v>1.1985857403707801E-2</v>
      </c>
      <c r="T8">
        <f t="shared" si="8"/>
        <v>1.4403292181069758E-2</v>
      </c>
      <c r="U8">
        <f t="shared" si="5"/>
        <v>1.7263580622624164E-4</v>
      </c>
      <c r="W8" t="s">
        <v>110</v>
      </c>
      <c r="X8" t="s">
        <v>109</v>
      </c>
      <c r="Y8">
        <f>1/1000</f>
        <v>1E-3</v>
      </c>
      <c r="AG8" s="1">
        <f>10*AB22</f>
        <v>0.10455734287376341</v>
      </c>
      <c r="AH8" s="1">
        <f>10^5 *AD22</f>
        <v>3.1415926535897936</v>
      </c>
      <c r="AI8" s="1">
        <f>10^6*AE22</f>
        <v>0.32847658025108423</v>
      </c>
    </row>
    <row r="9" spans="1:37" x14ac:dyDescent="0.3">
      <c r="A9">
        <v>6</v>
      </c>
      <c r="C9">
        <f>-29.3407122150509</f>
        <v>-29.3407122150509</v>
      </c>
      <c r="D9">
        <f t="shared" si="0"/>
        <v>-2.9340712215050899E-2</v>
      </c>
      <c r="E9">
        <v>-0.19564665234656201</v>
      </c>
      <c r="F9" s="11">
        <f t="shared" si="6"/>
        <v>5.7954717784403902E-3</v>
      </c>
      <c r="G9" s="11">
        <f t="shared" si="1"/>
        <v>-1.1338646522208384E-3</v>
      </c>
      <c r="J9">
        <v>-24.838028152448</v>
      </c>
      <c r="K9">
        <f t="shared" si="2"/>
        <v>-2.4838028152448E-2</v>
      </c>
      <c r="L9">
        <v>2.17494488837843E-2</v>
      </c>
      <c r="M9">
        <f t="shared" si="7"/>
        <v>1.1983717751145252E-3</v>
      </c>
      <c r="N9">
        <f t="shared" si="3"/>
        <v>2.6063925666623222E-5</v>
      </c>
      <c r="Q9">
        <v>1.6666666666666601</v>
      </c>
      <c r="R9">
        <f t="shared" si="4"/>
        <v>1.6666666666666601E-3</v>
      </c>
      <c r="S9">
        <v>1.20184126066737E-2</v>
      </c>
      <c r="T9">
        <f t="shared" si="8"/>
        <v>1.5432098765431867E-2</v>
      </c>
      <c r="U9">
        <f t="shared" si="5"/>
        <v>1.8546933034990001E-4</v>
      </c>
      <c r="AG9" s="1">
        <f>10*AB23</f>
        <v>0.11537869789252958</v>
      </c>
      <c r="AH9" s="1">
        <f>10^5 *AD23</f>
        <v>15.079644737231007</v>
      </c>
      <c r="AI9" s="1">
        <f>10^6*AE23</f>
        <v>1.7398697744636498</v>
      </c>
    </row>
    <row r="10" spans="1:37" ht="14.4" customHeight="1" x14ac:dyDescent="0.3">
      <c r="A10">
        <v>7</v>
      </c>
      <c r="C10">
        <f>-29.2308309175594</f>
        <v>-29.230830917559398</v>
      </c>
      <c r="D10">
        <f t="shared" si="0"/>
        <v>-2.9230830917559399E-2</v>
      </c>
      <c r="E10">
        <v>-0.19324882276032301</v>
      </c>
      <c r="F10" s="11">
        <f t="shared" si="6"/>
        <v>6.7613837415135295E-3</v>
      </c>
      <c r="G10" s="11">
        <f t="shared" si="1"/>
        <v>-1.3066294482782777E-3</v>
      </c>
      <c r="J10">
        <v>-24.8092672298453</v>
      </c>
      <c r="K10">
        <f t="shared" si="2"/>
        <v>-2.4809267229845302E-2</v>
      </c>
      <c r="L10">
        <v>2.1464596398356801E-2</v>
      </c>
      <c r="M10">
        <f t="shared" si="7"/>
        <v>1.1983717751125015E-3</v>
      </c>
      <c r="N10">
        <f t="shared" si="3"/>
        <v>2.5722566487972246E-5</v>
      </c>
      <c r="Q10">
        <v>1.7777777777777699</v>
      </c>
      <c r="R10">
        <f t="shared" si="4"/>
        <v>1.7777777777777698E-3</v>
      </c>
      <c r="S10">
        <v>1.2051056233955399E-2</v>
      </c>
      <c r="T10">
        <f t="shared" si="8"/>
        <v>1.6460905349794008E-2</v>
      </c>
      <c r="U10">
        <f t="shared" si="5"/>
        <v>1.9837129603218485E-4</v>
      </c>
      <c r="W10" s="58" t="s">
        <v>137</v>
      </c>
      <c r="X10" s="58"/>
      <c r="Y10" s="58"/>
      <c r="Z10" s="58"/>
      <c r="AA10" s="58"/>
      <c r="AB10" s="58"/>
      <c r="AC10" s="58"/>
      <c r="AD10" s="58"/>
      <c r="AG10" s="1">
        <f>10*AB24</f>
        <v>-1.7524284107663479</v>
      </c>
      <c r="AH10" s="1">
        <f>10^5 *AD24</f>
        <v>1.6019042244414097</v>
      </c>
      <c r="AI10" s="1">
        <f>10^6*AE24</f>
        <v>-2.8072224742377587</v>
      </c>
    </row>
    <row r="11" spans="1:37" x14ac:dyDescent="0.3">
      <c r="A11">
        <v>8</v>
      </c>
      <c r="C11">
        <f>-29.1209496200679</f>
        <v>-29.120949620067901</v>
      </c>
      <c r="D11">
        <f t="shared" si="0"/>
        <v>-2.91209496200679E-2</v>
      </c>
      <c r="E11">
        <v>-0.19088024546499199</v>
      </c>
      <c r="F11" s="11">
        <f t="shared" si="6"/>
        <v>7.7269704059773955E-3</v>
      </c>
      <c r="G11" s="11">
        <f t="shared" si="1"/>
        <v>-1.4749260077936942E-3</v>
      </c>
      <c r="J11">
        <v>-24.7805063072426</v>
      </c>
      <c r="K11">
        <f t="shared" si="2"/>
        <v>-2.47805063072426E-2</v>
      </c>
      <c r="L11">
        <v>2.1183474625320699E-2</v>
      </c>
      <c r="M11">
        <f t="shared" si="7"/>
        <v>1.2607851127646209E-3</v>
      </c>
      <c r="N11">
        <f t="shared" si="3"/>
        <v>2.6707809444231444E-5</v>
      </c>
      <c r="Q11">
        <v>1.88888888888888</v>
      </c>
      <c r="R11">
        <f t="shared" si="4"/>
        <v>1.8888888888888801E-3</v>
      </c>
      <c r="S11">
        <v>1.20837885257253E-2</v>
      </c>
      <c r="T11">
        <f t="shared" si="8"/>
        <v>1.7489711934156923E-2</v>
      </c>
      <c r="U11">
        <f t="shared" si="5"/>
        <v>2.1134198038820628E-4</v>
      </c>
      <c r="W11" s="51" t="s">
        <v>149</v>
      </c>
      <c r="X11" s="51"/>
      <c r="Z11" s="51" t="s">
        <v>134</v>
      </c>
      <c r="AA11" s="51"/>
      <c r="AC11" s="51" t="s">
        <v>136</v>
      </c>
      <c r="AD11" s="51"/>
    </row>
    <row r="12" spans="1:37" x14ac:dyDescent="0.3">
      <c r="A12">
        <v>9</v>
      </c>
      <c r="C12">
        <f>-29.0110775739975</f>
        <v>-29.0110775739975</v>
      </c>
      <c r="D12">
        <f t="shared" si="0"/>
        <v>-2.9011077573997502E-2</v>
      </c>
      <c r="E12">
        <v>-0.18901002204383699</v>
      </c>
      <c r="F12" s="11">
        <f t="shared" si="6"/>
        <v>8.6923944279798399E-3</v>
      </c>
      <c r="G12" s="11">
        <f t="shared" si="1"/>
        <v>-1.6429496624461954E-3</v>
      </c>
      <c r="J12">
        <v>-24.748749544432599</v>
      </c>
      <c r="K12">
        <f t="shared" si="2"/>
        <v>-2.47487495444326E-2</v>
      </c>
      <c r="L12">
        <v>2.0964569190309802E-2</v>
      </c>
      <c r="M12">
        <f t="shared" si="7"/>
        <v>1.323198450416668E-3</v>
      </c>
      <c r="N12">
        <f t="shared" si="3"/>
        <v>2.7740285466270948E-5</v>
      </c>
      <c r="Q12">
        <v>2</v>
      </c>
      <c r="R12">
        <f t="shared" si="4"/>
        <v>2E-3</v>
      </c>
      <c r="S12">
        <v>1.2113642378852501E-2</v>
      </c>
      <c r="T12">
        <f t="shared" si="8"/>
        <v>1.8518518518519128E-2</v>
      </c>
      <c r="U12">
        <f t="shared" si="5"/>
        <v>2.2432671071949813E-4</v>
      </c>
      <c r="W12" t="s">
        <v>135</v>
      </c>
      <c r="X12">
        <f xml:space="preserve"> 1/(2*Y5)</f>
        <v>20.833333333333332</v>
      </c>
      <c r="Z12" t="s">
        <v>8</v>
      </c>
      <c r="AA12">
        <f>Y4/(Y4+Y7)</f>
        <v>0.16666666666666666</v>
      </c>
      <c r="AC12" t="s">
        <v>141</v>
      </c>
      <c r="AD12">
        <f>1/(2*Y8)</f>
        <v>500</v>
      </c>
    </row>
    <row r="13" spans="1:37" x14ac:dyDescent="0.3">
      <c r="A13">
        <v>10</v>
      </c>
      <c r="C13">
        <f>-28.9012055279272</f>
        <v>-28.9012055279272</v>
      </c>
      <c r="D13">
        <f t="shared" si="0"/>
        <v>-2.8901205527927201E-2</v>
      </c>
      <c r="E13">
        <v>-0.187158036629444</v>
      </c>
      <c r="F13" s="11">
        <f t="shared" si="6"/>
        <v>9.658143748589941E-3</v>
      </c>
      <c r="G13" s="11">
        <f t="shared" si="1"/>
        <v>-1.8075992214710316E-3</v>
      </c>
      <c r="J13">
        <v>-24.716992781622601</v>
      </c>
      <c r="K13">
        <f t="shared" si="2"/>
        <v>-2.47169927816226E-2</v>
      </c>
      <c r="L13">
        <v>2.0747925876614001E-2</v>
      </c>
      <c r="M13">
        <f t="shared" si="7"/>
        <v>1.323198450416668E-3</v>
      </c>
      <c r="N13">
        <f t="shared" si="3"/>
        <v>2.7453623369295534E-5</v>
      </c>
      <c r="Q13">
        <v>2.1111111111111098</v>
      </c>
      <c r="R13">
        <f t="shared" si="4"/>
        <v>2.1111111111111096E-3</v>
      </c>
      <c r="S13">
        <v>1.21435699880326E-2</v>
      </c>
      <c r="T13">
        <f t="shared" si="8"/>
        <v>1.9547325102880458E-2</v>
      </c>
      <c r="U13">
        <f t="shared" si="5"/>
        <v>2.373743104656554E-4</v>
      </c>
      <c r="Z13" t="s">
        <v>107</v>
      </c>
      <c r="AA13">
        <f>(Y7-Y4)/(Y7+Y4)</f>
        <v>0.66666666666666663</v>
      </c>
    </row>
    <row r="14" spans="1:37" x14ac:dyDescent="0.3">
      <c r="A14">
        <v>11</v>
      </c>
      <c r="C14">
        <f>-28.7913334818569</f>
        <v>-28.791333481856899</v>
      </c>
      <c r="D14">
        <f t="shared" si="0"/>
        <v>-2.87913334818569E-2</v>
      </c>
      <c r="E14">
        <v>-0.185324112101757</v>
      </c>
      <c r="F14" s="11">
        <f t="shared" si="6"/>
        <v>1.0623893069208743E-2</v>
      </c>
      <c r="G14" s="11">
        <f t="shared" si="1"/>
        <v>-1.9688635501151205E-3</v>
      </c>
      <c r="J14">
        <v>-24.685236018812599</v>
      </c>
      <c r="K14">
        <f t="shared" si="2"/>
        <v>-2.46852360188126E-2</v>
      </c>
      <c r="L14">
        <v>2.0533521307961999E-2</v>
      </c>
      <c r="M14">
        <f t="shared" si="7"/>
        <v>1.3231984504187642E-3</v>
      </c>
      <c r="N14">
        <f t="shared" si="3"/>
        <v>2.7169923576335991E-5</v>
      </c>
      <c r="Q14">
        <v>2.2222222222222201</v>
      </c>
      <c r="R14">
        <f t="shared" si="4"/>
        <v>2.2222222222222201E-3</v>
      </c>
      <c r="S14">
        <v>1.21735715354853E-2</v>
      </c>
      <c r="T14">
        <f t="shared" si="8"/>
        <v>2.0576131687242604E-2</v>
      </c>
      <c r="U14">
        <f t="shared" si="5"/>
        <v>2.5048501101821368E-4</v>
      </c>
      <c r="W14" t="s">
        <v>139</v>
      </c>
      <c r="X14" s="13">
        <f>SUM(N3:N247)</f>
        <v>1.4192867613435755E-2</v>
      </c>
      <c r="Z14" t="s">
        <v>139</v>
      </c>
      <c r="AA14" s="13">
        <f>SUM(U3:U39)</f>
        <v>1.2598127478947806E-2</v>
      </c>
      <c r="AC14" t="s">
        <v>139</v>
      </c>
      <c r="AD14" s="13">
        <f>SUM(U44:U56)</f>
        <v>1.3151659469710827E-2</v>
      </c>
    </row>
    <row r="15" spans="1:37" x14ac:dyDescent="0.3">
      <c r="A15">
        <v>12</v>
      </c>
      <c r="C15">
        <f>-28.6814614357865</f>
        <v>-28.681461435786499</v>
      </c>
      <c r="D15">
        <f t="shared" si="0"/>
        <v>-2.8681461435786499E-2</v>
      </c>
      <c r="E15">
        <v>-0.183508073054578</v>
      </c>
      <c r="F15" s="11">
        <f t="shared" si="6"/>
        <v>1.1409771923959311E-2</v>
      </c>
      <c r="G15" s="11">
        <f t="shared" si="1"/>
        <v>-2.0937852597579984E-3</v>
      </c>
      <c r="J15">
        <v>-24.653479256002498</v>
      </c>
      <c r="K15">
        <f t="shared" si="2"/>
        <v>-2.4653479256002499E-2</v>
      </c>
      <c r="L15">
        <v>2.03213323496476E-2</v>
      </c>
      <c r="M15">
        <f t="shared" si="7"/>
        <v>1.3921130280541635E-3</v>
      </c>
      <c r="N15">
        <f t="shared" si="3"/>
        <v>2.8289591511362951E-5</v>
      </c>
      <c r="Q15">
        <v>2.3333333333333299</v>
      </c>
      <c r="R15">
        <f t="shared" si="4"/>
        <v>2.3333333333333301E-3</v>
      </c>
      <c r="S15">
        <v>1.2203647203880201E-2</v>
      </c>
      <c r="T15">
        <f t="shared" si="8"/>
        <v>2.1604938271604677E-2</v>
      </c>
      <c r="U15">
        <f t="shared" si="5"/>
        <v>2.6365904452827274E-4</v>
      </c>
      <c r="W15" t="s">
        <v>140</v>
      </c>
      <c r="X15" s="13">
        <f>2*PI()*Y5*Y4</f>
        <v>1.5079644737231007E-4</v>
      </c>
      <c r="Z15" t="s">
        <v>140</v>
      </c>
      <c r="AA15" s="13">
        <f>PI()*(Y7^2 - Y4^2)</f>
        <v>7.5398223686155033E-5</v>
      </c>
      <c r="AC15" t="s">
        <v>140</v>
      </c>
      <c r="AD15" s="13">
        <f>2*PI()*Y7*Y8</f>
        <v>3.1415926535897935E-5</v>
      </c>
      <c r="AK15" s="13"/>
    </row>
    <row r="16" spans="1:37" x14ac:dyDescent="0.3">
      <c r="A16">
        <v>13</v>
      </c>
      <c r="C16">
        <f>-28.5749998031608</f>
        <v>-28.5749998031608</v>
      </c>
      <c r="D16">
        <f t="shared" si="0"/>
        <v>-2.8574999803160799E-2</v>
      </c>
      <c r="E16">
        <v>-0.182153108358273</v>
      </c>
      <c r="F16" s="11">
        <f t="shared" si="6"/>
        <v>1.213662779580141E-2</v>
      </c>
      <c r="G16" s="11">
        <f t="shared" si="1"/>
        <v>-2.2107244779926423E-3</v>
      </c>
      <c r="J16">
        <v>-24.618414593465999</v>
      </c>
      <c r="K16">
        <f t="shared" si="2"/>
        <v>-2.4618414593466E-2</v>
      </c>
      <c r="L16">
        <v>2.0142549848117201E-2</v>
      </c>
      <c r="M16">
        <f t="shared" si="7"/>
        <v>1.4610276056895629E-3</v>
      </c>
      <c r="N16">
        <f t="shared" si="3"/>
        <v>2.9428821377077343E-5</v>
      </c>
      <c r="Q16">
        <v>2.4444444444444402</v>
      </c>
      <c r="R16">
        <f t="shared" si="4"/>
        <v>2.4444444444444401E-3</v>
      </c>
      <c r="S16">
        <v>1.22329732184177E-2</v>
      </c>
      <c r="T16">
        <f t="shared" si="8"/>
        <v>2.2633744855966819E-2</v>
      </c>
      <c r="U16">
        <f t="shared" si="5"/>
        <v>2.768779946555415E-4</v>
      </c>
      <c r="W16" t="s">
        <v>108</v>
      </c>
      <c r="X16" s="13">
        <f>X14*X15</f>
        <v>2.1402340141316287E-6</v>
      </c>
      <c r="Z16" t="s">
        <v>108</v>
      </c>
      <c r="AA16" s="13">
        <f>AA15*AA14</f>
        <v>9.49876433684403E-7</v>
      </c>
      <c r="AC16" t="s">
        <v>108</v>
      </c>
      <c r="AD16" s="13">
        <f>AD15*AD14</f>
        <v>4.1317156772558172E-7</v>
      </c>
    </row>
    <row r="17" spans="1:35" x14ac:dyDescent="0.3">
      <c r="A17">
        <v>14</v>
      </c>
      <c r="C17">
        <f>-28.468538170535</f>
        <v>-28.468538170534998</v>
      </c>
      <c r="D17">
        <f t="shared" si="0"/>
        <v>-2.8468538170534997E-2</v>
      </c>
      <c r="E17">
        <v>-0.18080809962008201</v>
      </c>
      <c r="F17" s="11">
        <f t="shared" si="6"/>
        <v>1.3043354133514999E-2</v>
      </c>
      <c r="G17" s="11">
        <f t="shared" si="1"/>
        <v>-2.3583440735525886E-3</v>
      </c>
      <c r="J17">
        <v>-24.583349930929401</v>
      </c>
      <c r="K17">
        <f t="shared" si="2"/>
        <v>-2.45833499309294E-2</v>
      </c>
      <c r="L17">
        <v>1.99653402347372E-2</v>
      </c>
      <c r="M17">
        <f t="shared" si="7"/>
        <v>1.4610276056916589E-3</v>
      </c>
      <c r="N17">
        <f t="shared" si="3"/>
        <v>2.9169913239977433E-5</v>
      </c>
      <c r="Q17">
        <v>2.55555555555555</v>
      </c>
      <c r="R17">
        <f t="shared" si="4"/>
        <v>2.5555555555555501E-3</v>
      </c>
      <c r="S17">
        <v>1.2262369704930901E-2</v>
      </c>
      <c r="T17">
        <f t="shared" si="8"/>
        <v>2.3662551440328937E-2</v>
      </c>
      <c r="U17">
        <f t="shared" si="5"/>
        <v>2.9015895392325858E-4</v>
      </c>
    </row>
    <row r="18" spans="1:35" x14ac:dyDescent="0.3">
      <c r="A18">
        <v>15</v>
      </c>
      <c r="C18">
        <f>-28.3620765379092</f>
        <v>-28.3620765379092</v>
      </c>
      <c r="D18">
        <f t="shared" si="0"/>
        <v>-2.83620765379092E-2</v>
      </c>
      <c r="E18">
        <v>-0.179472973996954</v>
      </c>
      <c r="F18" s="11">
        <f t="shared" si="6"/>
        <v>1.3950080471216217E-2</v>
      </c>
      <c r="G18" s="11">
        <f t="shared" si="1"/>
        <v>-2.503662429666004E-3</v>
      </c>
      <c r="J18">
        <v>-24.548285268392799</v>
      </c>
      <c r="K18">
        <f t="shared" si="2"/>
        <v>-2.4548285268392801E-2</v>
      </c>
      <c r="L18">
        <v>1.9789689671592201E-2</v>
      </c>
      <c r="M18">
        <f t="shared" si="7"/>
        <v>1.4610276056916589E-3</v>
      </c>
      <c r="N18">
        <f t="shared" si="3"/>
        <v>2.8913282918267304E-5</v>
      </c>
      <c r="Q18">
        <v>2.6666666666666599</v>
      </c>
      <c r="R18">
        <f t="shared" si="4"/>
        <v>2.6666666666666601E-3</v>
      </c>
      <c r="S18">
        <v>1.22918368327676E-2</v>
      </c>
      <c r="T18">
        <f t="shared" si="8"/>
        <v>2.4691358024691058E-2</v>
      </c>
      <c r="U18">
        <f t="shared" si="5"/>
        <v>3.0350214401894942E-4</v>
      </c>
      <c r="AB18" s="26"/>
    </row>
    <row r="19" spans="1:35" ht="15.6" x14ac:dyDescent="0.3">
      <c r="A19">
        <v>16</v>
      </c>
      <c r="C19">
        <f>-28.2556149052835</f>
        <v>-28.255614905283501</v>
      </c>
      <c r="D19">
        <f t="shared" si="0"/>
        <v>-2.8255614905283503E-2</v>
      </c>
      <c r="E19">
        <v>-0.17814765917680001</v>
      </c>
      <c r="F19" s="11">
        <f t="shared" si="6"/>
        <v>1.4291969515796168E-2</v>
      </c>
      <c r="G19" s="11">
        <f t="shared" si="1"/>
        <v>-2.5460809142652712E-3</v>
      </c>
      <c r="J19">
        <v>-24.513220605856201</v>
      </c>
      <c r="K19">
        <f t="shared" si="2"/>
        <v>-2.4513220605856201E-2</v>
      </c>
      <c r="L19">
        <v>1.9615584442509701E-2</v>
      </c>
      <c r="M19">
        <f t="shared" si="7"/>
        <v>1.5371205776916618E-3</v>
      </c>
      <c r="N19">
        <f t="shared" si="3"/>
        <v>3.0151518490030085E-5</v>
      </c>
      <c r="Q19">
        <v>2.7777777777777701</v>
      </c>
      <c r="R19">
        <f t="shared" si="4"/>
        <v>2.7777777777777701E-3</v>
      </c>
      <c r="S19">
        <v>1.2321374771682801E-2</v>
      </c>
      <c r="T19">
        <f t="shared" si="8"/>
        <v>2.5720164609053155E-2</v>
      </c>
      <c r="U19">
        <f t="shared" si="5"/>
        <v>3.1690778733751637E-4</v>
      </c>
      <c r="W19" s="49" t="s">
        <v>138</v>
      </c>
      <c r="X19" s="49"/>
      <c r="Z19" s="54" t="s">
        <v>157</v>
      </c>
      <c r="AA19" s="54"/>
      <c r="AB19" s="54"/>
      <c r="AC19" s="54"/>
      <c r="AD19" s="54"/>
      <c r="AE19" s="54"/>
    </row>
    <row r="20" spans="1:35" x14ac:dyDescent="0.3">
      <c r="A20">
        <v>17</v>
      </c>
      <c r="C20">
        <f>-28.1572483500411</f>
        <v>-28.157248350041101</v>
      </c>
      <c r="D20">
        <f t="shared" si="0"/>
        <v>-2.81572483500411E-2</v>
      </c>
      <c r="E20">
        <v>-0.17718308153236501</v>
      </c>
      <c r="F20" s="11">
        <f t="shared" si="6"/>
        <v>1.450121055788926E-2</v>
      </c>
      <c r="G20" s="11">
        <f t="shared" si="1"/>
        <v>-2.569369172596485E-3</v>
      </c>
      <c r="J20">
        <v>-24.4745034806636</v>
      </c>
      <c r="K20">
        <f t="shared" si="2"/>
        <v>-2.4474503480663601E-2</v>
      </c>
      <c r="L20">
        <v>1.9462533571240601E-2</v>
      </c>
      <c r="M20">
        <f t="shared" si="7"/>
        <v>1.6132135496937608E-3</v>
      </c>
      <c r="N20">
        <f t="shared" si="3"/>
        <v>3.1397222868495039E-5</v>
      </c>
      <c r="Q20">
        <v>2.88888888888888</v>
      </c>
      <c r="R20">
        <f t="shared" si="4"/>
        <v>2.8888888888888801E-3</v>
      </c>
      <c r="S20">
        <v>1.23516782359912E-2</v>
      </c>
      <c r="T20">
        <f t="shared" si="8"/>
        <v>2.6748971193416474E-2</v>
      </c>
      <c r="U20">
        <f t="shared" si="5"/>
        <v>3.3039468532487782E-4</v>
      </c>
      <c r="W20" s="51" t="s">
        <v>106</v>
      </c>
      <c r="X20" s="51"/>
      <c r="Z20" s="29" t="s">
        <v>152</v>
      </c>
      <c r="AA20" s="29" t="s">
        <v>153</v>
      </c>
      <c r="AB20" s="51" t="s">
        <v>154</v>
      </c>
      <c r="AC20" s="51"/>
      <c r="AD20" s="29" t="s">
        <v>155</v>
      </c>
      <c r="AE20" s="29" t="s">
        <v>156</v>
      </c>
    </row>
    <row r="21" spans="1:35" x14ac:dyDescent="0.3">
      <c r="A21">
        <v>18</v>
      </c>
      <c r="C21">
        <f>-28.0588817947988</f>
        <v>-28.058881794798801</v>
      </c>
      <c r="D21">
        <f t="shared" si="0"/>
        <v>-2.80588817947988E-2</v>
      </c>
      <c r="E21">
        <v>-0.176223700124954</v>
      </c>
      <c r="F21" s="11">
        <f t="shared" si="6"/>
        <v>1.5275288893100491E-2</v>
      </c>
      <c r="G21" s="11">
        <f t="shared" si="1"/>
        <v>-2.6918679292197815E-3</v>
      </c>
      <c r="J21">
        <v>-24.435786355470899</v>
      </c>
      <c r="K21">
        <f t="shared" si="2"/>
        <v>-2.44357863554709E-2</v>
      </c>
      <c r="L21">
        <v>1.9310676881529799E-2</v>
      </c>
      <c r="M21">
        <f t="shared" si="7"/>
        <v>1.6132135496937608E-3</v>
      </c>
      <c r="N21">
        <f t="shared" si="3"/>
        <v>3.1152245599041934E-5</v>
      </c>
      <c r="Q21">
        <v>3</v>
      </c>
      <c r="R21">
        <f t="shared" si="4"/>
        <v>3.0000000000000001E-3</v>
      </c>
      <c r="S21">
        <v>1.23820562293165E-2</v>
      </c>
      <c r="T21">
        <f t="shared" si="8"/>
        <v>2.7777777777778678E-2</v>
      </c>
      <c r="U21">
        <f t="shared" si="5"/>
        <v>3.4394600636991396E-4</v>
      </c>
      <c r="W21" t="s">
        <v>142</v>
      </c>
      <c r="X21">
        <f>D3</f>
        <v>-0.03</v>
      </c>
      <c r="Z21" s="56" t="s">
        <v>158</v>
      </c>
      <c r="AA21" s="20" t="s">
        <v>134</v>
      </c>
      <c r="AB21" s="53">
        <f>AA14+'4.4.1 (Reduction)'!R13</f>
        <v>9.8469842788880841E-3</v>
      </c>
      <c r="AC21" s="53"/>
      <c r="AD21" s="13">
        <f>AA15</f>
        <v>7.5398223686155033E-5</v>
      </c>
      <c r="AE21" s="13">
        <f>AB21*AD21</f>
        <v>7.4244512329365581E-7</v>
      </c>
    </row>
    <row r="22" spans="1:35" x14ac:dyDescent="0.3">
      <c r="A22">
        <v>19</v>
      </c>
      <c r="C22">
        <f>-27.9605152395565</f>
        <v>-27.9605152395565</v>
      </c>
      <c r="D22">
        <f t="shared" si="0"/>
        <v>-2.7960515239556501E-2</v>
      </c>
      <c r="E22">
        <v>-0.17526948708569701</v>
      </c>
      <c r="F22" s="11">
        <f t="shared" si="6"/>
        <v>1.6049367228327612E-2</v>
      </c>
      <c r="G22" s="11">
        <f t="shared" si="1"/>
        <v>-2.8129643621589754E-3</v>
      </c>
      <c r="J22">
        <v>-24.397069230278301</v>
      </c>
      <c r="K22">
        <f t="shared" si="2"/>
        <v>-2.43970692302783E-2</v>
      </c>
      <c r="L22">
        <v>1.91600050557591E-2</v>
      </c>
      <c r="M22">
        <f t="shared" si="7"/>
        <v>1.6132135496937608E-3</v>
      </c>
      <c r="N22">
        <f t="shared" si="3"/>
        <v>3.0909179768151542E-5</v>
      </c>
      <c r="Q22">
        <v>3.1111111111111098</v>
      </c>
      <c r="R22">
        <f t="shared" si="4"/>
        <v>3.1111111111111096E-3</v>
      </c>
      <c r="S22">
        <v>1.2412508934957E-2</v>
      </c>
      <c r="T22">
        <f t="shared" si="8"/>
        <v>2.8806584362139624E-2</v>
      </c>
      <c r="U22">
        <f t="shared" si="5"/>
        <v>3.5756198578065069E-4</v>
      </c>
      <c r="W22" t="s">
        <v>105</v>
      </c>
      <c r="X22" s="13">
        <f>PI()*Y4*SQRT(Y6^2+Y4^2)</f>
        <v>1.6019042244414096E-5</v>
      </c>
      <c r="Z22" s="57"/>
      <c r="AA22" s="20" t="s">
        <v>136</v>
      </c>
      <c r="AB22" s="53">
        <f>AD14+'4.4.1 (Reduction)'!U13</f>
        <v>1.0455734287376341E-2</v>
      </c>
      <c r="AC22" s="53"/>
      <c r="AD22" s="13">
        <f>AD15</f>
        <v>3.1415926535897935E-5</v>
      </c>
      <c r="AE22" s="13">
        <f t="shared" ref="AE22:AE24" si="9">AB22*AD22</f>
        <v>3.2847658025108425E-7</v>
      </c>
    </row>
    <row r="23" spans="1:35" x14ac:dyDescent="0.3">
      <c r="A23">
        <v>20</v>
      </c>
      <c r="C23">
        <f>-27.8621486843141</f>
        <v>-27.8621486843141</v>
      </c>
      <c r="D23">
        <f t="shared" si="0"/>
        <v>-2.7862148684314102E-2</v>
      </c>
      <c r="E23">
        <v>-0.17432041469461601</v>
      </c>
      <c r="F23" s="11">
        <f t="shared" si="6"/>
        <v>1.6042147895902678E-2</v>
      </c>
      <c r="G23" s="11">
        <f t="shared" si="1"/>
        <v>-2.7964738738061167E-3</v>
      </c>
      <c r="J23">
        <v>-24.358352105085601</v>
      </c>
      <c r="K23">
        <f t="shared" si="2"/>
        <v>-2.43583521050856E-2</v>
      </c>
      <c r="L23">
        <v>1.9010508849010899E-2</v>
      </c>
      <c r="M23">
        <f t="shared" si="7"/>
        <v>1.6972326436604246E-3</v>
      </c>
      <c r="N23">
        <f t="shared" si="3"/>
        <v>3.2265256191136661E-5</v>
      </c>
      <c r="Q23">
        <v>3.2222222222222201</v>
      </c>
      <c r="R23">
        <f t="shared" si="4"/>
        <v>3.2222222222222201E-3</v>
      </c>
      <c r="S23">
        <v>1.2443036536662001E-2</v>
      </c>
      <c r="T23">
        <f t="shared" si="8"/>
        <v>2.9835390946501811E-2</v>
      </c>
      <c r="U23">
        <f t="shared" si="5"/>
        <v>3.712428596329167E-4</v>
      </c>
      <c r="W23" t="s">
        <v>104</v>
      </c>
      <c r="X23" s="13">
        <f>SUM(G3:G136)</f>
        <v>-0.17524284107663479</v>
      </c>
      <c r="Z23" s="57"/>
      <c r="AA23" s="20" t="s">
        <v>149</v>
      </c>
      <c r="AB23" s="53">
        <f>X14+'4.4.1 (Reduction)'!O13</f>
        <v>1.1537869789252957E-2</v>
      </c>
      <c r="AC23" s="53"/>
      <c r="AD23" s="13">
        <f>X15</f>
        <v>1.5079644737231007E-4</v>
      </c>
      <c r="AE23" s="13">
        <f t="shared" si="9"/>
        <v>1.7398697744636498E-6</v>
      </c>
    </row>
    <row r="24" spans="1:35" x14ac:dyDescent="0.3">
      <c r="A24">
        <v>21</v>
      </c>
      <c r="C24">
        <f>-27.7729186118327</f>
        <v>-27.772918611832701</v>
      </c>
      <c r="D24">
        <f t="shared" si="0"/>
        <v>-2.77729186118327E-2</v>
      </c>
      <c r="E24">
        <v>-0.17366888728544799</v>
      </c>
      <c r="F24" s="11">
        <f t="shared" si="6"/>
        <v>1.5897810695060906E-2</v>
      </c>
      <c r="G24" s="11">
        <f t="shared" si="1"/>
        <v>-2.7609550936859221E-3</v>
      </c>
      <c r="J24">
        <v>-24.315602063382599</v>
      </c>
      <c r="K24">
        <f t="shared" si="2"/>
        <v>-2.43156020633826E-2</v>
      </c>
      <c r="L24">
        <v>1.8877439213406601E-2</v>
      </c>
      <c r="M24">
        <f t="shared" si="7"/>
        <v>1.7812517376270883E-3</v>
      </c>
      <c r="N24">
        <f t="shared" si="3"/>
        <v>3.362547140083024E-5</v>
      </c>
      <c r="Q24">
        <v>3.3333333333333299</v>
      </c>
      <c r="R24">
        <f t="shared" si="4"/>
        <v>3.3333333333333301E-3</v>
      </c>
      <c r="S24">
        <v>1.2475656430151701E-2</v>
      </c>
      <c r="T24">
        <f t="shared" si="8"/>
        <v>3.0864197530863866E-2</v>
      </c>
      <c r="U24">
        <f t="shared" si="5"/>
        <v>3.8505112438739402E-4</v>
      </c>
      <c r="W24" t="s">
        <v>103</v>
      </c>
      <c r="X24" s="13">
        <f>X22*X23</f>
        <v>-2.8072224742377587E-6</v>
      </c>
      <c r="Z24" s="30" t="s">
        <v>159</v>
      </c>
      <c r="AA24" s="20" t="s">
        <v>160</v>
      </c>
      <c r="AB24" s="53">
        <f>X23</f>
        <v>-0.17524284107663479</v>
      </c>
      <c r="AC24" s="53"/>
      <c r="AD24" s="13">
        <f>X22</f>
        <v>1.6019042244414096E-5</v>
      </c>
      <c r="AE24" s="13">
        <f t="shared" si="9"/>
        <v>-2.8072224742377587E-6</v>
      </c>
      <c r="AH24" s="55"/>
      <c r="AI24" s="55"/>
    </row>
    <row r="25" spans="1:35" x14ac:dyDescent="0.3">
      <c r="A25">
        <v>22</v>
      </c>
      <c r="C25">
        <f>-27.6836885393512</f>
        <v>-27.683688539351198</v>
      </c>
      <c r="D25">
        <f t="shared" si="0"/>
        <v>-2.7683688539351197E-2</v>
      </c>
      <c r="E25">
        <v>-0.173019781876287</v>
      </c>
      <c r="F25" s="11">
        <f t="shared" si="6"/>
        <v>1.6534771161864577E-2</v>
      </c>
      <c r="G25" s="11">
        <f t="shared" si="1"/>
        <v>-2.8608424998001298E-3</v>
      </c>
      <c r="J25">
        <v>-24.272852021679501</v>
      </c>
      <c r="K25">
        <f t="shared" si="2"/>
        <v>-2.4272852021679499E-2</v>
      </c>
      <c r="L25">
        <v>1.8745301037767999E-2</v>
      </c>
      <c r="M25">
        <f t="shared" si="7"/>
        <v>1.7812517376291845E-3</v>
      </c>
      <c r="N25">
        <f t="shared" si="3"/>
        <v>3.3390100045906405E-5</v>
      </c>
      <c r="Q25">
        <v>3.4444444444444402</v>
      </c>
      <c r="R25">
        <f t="shared" si="4"/>
        <v>3.4444444444444401E-3</v>
      </c>
      <c r="S25">
        <v>1.25083618379327E-2</v>
      </c>
      <c r="T25">
        <f t="shared" si="8"/>
        <v>3.1893004115225991E-2</v>
      </c>
      <c r="U25">
        <f t="shared" si="5"/>
        <v>3.9892923557192331E-4</v>
      </c>
    </row>
    <row r="26" spans="1:35" x14ac:dyDescent="0.3">
      <c r="A26">
        <v>23</v>
      </c>
      <c r="C26">
        <f>-27.5944584668698</f>
        <v>-27.594458466869799</v>
      </c>
      <c r="D26">
        <f t="shared" si="0"/>
        <v>-2.7594458466869799E-2</v>
      </c>
      <c r="E26">
        <v>-0.17237308950559299</v>
      </c>
      <c r="F26" s="11">
        <f t="shared" si="6"/>
        <v>1.7171731628657785E-2</v>
      </c>
      <c r="G26" s="11">
        <f t="shared" si="1"/>
        <v>-2.9599444329926504E-3</v>
      </c>
      <c r="J26">
        <v>-24.2301019799764</v>
      </c>
      <c r="K26">
        <f t="shared" si="2"/>
        <v>-2.4230101979976399E-2</v>
      </c>
      <c r="L26">
        <v>1.8614087802067601E-2</v>
      </c>
      <c r="M26">
        <f t="shared" si="7"/>
        <v>1.7812517376270161E-3</v>
      </c>
      <c r="N26">
        <f t="shared" si="3"/>
        <v>3.3156376241774761E-5</v>
      </c>
      <c r="Q26">
        <v>3.55555555555555</v>
      </c>
      <c r="R26">
        <f t="shared" si="4"/>
        <v>3.5555555555555501E-3</v>
      </c>
      <c r="S26">
        <v>1.2541152984184E-2</v>
      </c>
      <c r="T26">
        <f t="shared" si="8"/>
        <v>3.2921810699587981E-2</v>
      </c>
      <c r="U26">
        <f t="shared" si="5"/>
        <v>4.1287746449987853E-4</v>
      </c>
    </row>
    <row r="27" spans="1:35" ht="15.6" x14ac:dyDescent="0.3">
      <c r="A27">
        <v>24</v>
      </c>
      <c r="C27">
        <f>-27.5052283943884</f>
        <v>-27.5052283943884</v>
      </c>
      <c r="D27">
        <f t="shared" si="0"/>
        <v>-2.75052283943884E-2</v>
      </c>
      <c r="E27">
        <v>-0.17172880124484899</v>
      </c>
      <c r="F27" s="11">
        <f t="shared" si="6"/>
        <v>1.6981639048152409E-2</v>
      </c>
      <c r="G27" s="11">
        <f t="shared" si="1"/>
        <v>-2.9162365169119317E-3</v>
      </c>
      <c r="J27">
        <v>-24.187351938273402</v>
      </c>
      <c r="K27">
        <f t="shared" si="2"/>
        <v>-2.4187351938273403E-2</v>
      </c>
      <c r="L27">
        <v>1.8483793031916999E-2</v>
      </c>
      <c r="M27">
        <f t="shared" si="7"/>
        <v>1.8740225671999334E-3</v>
      </c>
      <c r="N27">
        <f t="shared" si="3"/>
        <v>3.4639045269265338E-5</v>
      </c>
      <c r="Q27">
        <v>3.6666666666666599</v>
      </c>
      <c r="R27">
        <f t="shared" si="4"/>
        <v>3.6666666666666597E-3</v>
      </c>
      <c r="S27">
        <v>1.2574030093672301E-2</v>
      </c>
      <c r="T27">
        <f t="shared" si="8"/>
        <v>3.395061728395022E-2</v>
      </c>
      <c r="U27">
        <f t="shared" si="5"/>
        <v>4.2689608342714102E-4</v>
      </c>
      <c r="W27" s="59" t="s">
        <v>143</v>
      </c>
      <c r="X27" s="59"/>
      <c r="Y27" s="60" t="s">
        <v>148</v>
      </c>
      <c r="Z27" s="60"/>
      <c r="AA27" s="60"/>
      <c r="AB27" s="60"/>
      <c r="AC27" s="60"/>
    </row>
    <row r="28" spans="1:35" x14ac:dyDescent="0.3">
      <c r="A28">
        <v>25</v>
      </c>
      <c r="C28">
        <f>-27.4242861852674</f>
        <v>-27.424286185267398</v>
      </c>
      <c r="D28">
        <f t="shared" si="0"/>
        <v>-2.7424286185267398E-2</v>
      </c>
      <c r="E28">
        <v>-0.171341637428466</v>
      </c>
      <c r="F28" s="11">
        <f t="shared" si="6"/>
        <v>1.6678717298234884E-2</v>
      </c>
      <c r="G28" s="11">
        <f t="shared" si="1"/>
        <v>-2.8577587320860456E-3</v>
      </c>
      <c r="J28">
        <v>-24.140148896750802</v>
      </c>
      <c r="K28">
        <f t="shared" si="2"/>
        <v>-2.4140148896750802E-2</v>
      </c>
      <c r="L28">
        <v>1.8365487953506E-2</v>
      </c>
      <c r="M28">
        <f t="shared" si="7"/>
        <v>1.9667933967729232E-3</v>
      </c>
      <c r="N28">
        <f t="shared" si="3"/>
        <v>3.6121120435468268E-5</v>
      </c>
      <c r="Q28">
        <v>3.7777777777777701</v>
      </c>
      <c r="R28">
        <f t="shared" si="4"/>
        <v>3.7777777777777701E-3</v>
      </c>
      <c r="S28">
        <v>1.2610904407125499E-2</v>
      </c>
      <c r="T28">
        <f t="shared" si="8"/>
        <v>3.4979423868312418E-2</v>
      </c>
      <c r="U28">
        <f t="shared" si="5"/>
        <v>4.4112217061961193E-4</v>
      </c>
      <c r="W28" s="20" t="s">
        <v>144</v>
      </c>
      <c r="X28" s="28">
        <f>AE21+AE22+AE23</f>
        <v>2.8107914780083899E-6</v>
      </c>
      <c r="Y28" s="55" t="s">
        <v>150</v>
      </c>
      <c r="Z28" s="55"/>
      <c r="AA28" s="55"/>
      <c r="AB28" s="55"/>
      <c r="AC28" s="55"/>
    </row>
    <row r="29" spans="1:35" x14ac:dyDescent="0.3">
      <c r="A29">
        <v>26</v>
      </c>
      <c r="C29">
        <f>-27.3433439761464</f>
        <v>-27.3433439761464</v>
      </c>
      <c r="D29">
        <f t="shared" si="0"/>
        <v>-2.7343343976146399E-2</v>
      </c>
      <c r="E29">
        <v>-0.17095534118251199</v>
      </c>
      <c r="F29" s="11">
        <f t="shared" si="6"/>
        <v>1.7202848595614863E-2</v>
      </c>
      <c r="G29" s="11">
        <f t="shared" si="1"/>
        <v>-2.9409188509744361E-3</v>
      </c>
      <c r="J29">
        <v>-24.092945855228301</v>
      </c>
      <c r="K29">
        <f t="shared" si="2"/>
        <v>-2.4092945855228302E-2</v>
      </c>
      <c r="L29">
        <v>1.82479400839403E-2</v>
      </c>
      <c r="M29">
        <f t="shared" si="7"/>
        <v>1.9667933967729232E-3</v>
      </c>
      <c r="N29">
        <f t="shared" si="3"/>
        <v>3.5889928061801726E-5</v>
      </c>
      <c r="Q29">
        <v>3.88888888888888</v>
      </c>
      <c r="R29">
        <f t="shared" si="4"/>
        <v>3.8888888888888801E-3</v>
      </c>
      <c r="S29">
        <v>1.2647886857348E-2</v>
      </c>
      <c r="T29">
        <f t="shared" si="8"/>
        <v>3.6008230452676052E-2</v>
      </c>
      <c r="U29">
        <f t="shared" si="5"/>
        <v>4.5542802469875949E-4</v>
      </c>
      <c r="W29" s="20" t="s">
        <v>145</v>
      </c>
      <c r="X29" s="28">
        <f>X24</f>
        <v>-2.8072224742377587E-6</v>
      </c>
      <c r="Y29" s="55" t="s">
        <v>151</v>
      </c>
      <c r="Z29" s="55"/>
      <c r="AA29" s="55"/>
      <c r="AB29" s="55"/>
      <c r="AC29" s="55"/>
    </row>
    <row r="30" spans="1:35" x14ac:dyDescent="0.3">
      <c r="A30">
        <v>27</v>
      </c>
      <c r="C30">
        <f>-27.2624017670255</f>
        <v>-27.262401767025501</v>
      </c>
      <c r="D30">
        <f t="shared" si="0"/>
        <v>-2.7262401767025501E-2</v>
      </c>
      <c r="E30">
        <v>-0.17056991057304999</v>
      </c>
      <c r="F30" s="11">
        <f t="shared" si="6"/>
        <v>1.7726979893005253E-2</v>
      </c>
      <c r="G30" s="11">
        <f t="shared" si="1"/>
        <v>-3.0236893750801614E-3</v>
      </c>
      <c r="J30">
        <v>-24.045742813705701</v>
      </c>
      <c r="K30">
        <f t="shared" si="2"/>
        <v>-2.4045742813705702E-2</v>
      </c>
      <c r="L30">
        <v>1.8131144576722599E-2</v>
      </c>
      <c r="M30">
        <f t="shared" si="7"/>
        <v>1.9667933967729952E-3</v>
      </c>
      <c r="N30">
        <f t="shared" si="3"/>
        <v>3.5660215429434512E-5</v>
      </c>
      <c r="Q30">
        <v>4</v>
      </c>
      <c r="R30">
        <f t="shared" si="4"/>
        <v>4.0000000000000001E-3</v>
      </c>
      <c r="S30">
        <v>1.26849777614595E-2</v>
      </c>
      <c r="T30">
        <f t="shared" si="8"/>
        <v>3.7037037037038235E-2</v>
      </c>
      <c r="U30">
        <f t="shared" si="5"/>
        <v>4.6981399116518185E-4</v>
      </c>
    </row>
    <row r="31" spans="1:35" x14ac:dyDescent="0.3">
      <c r="A31">
        <v>28</v>
      </c>
      <c r="C31">
        <f>-27.1814595579045</f>
        <v>-27.1814595579045</v>
      </c>
      <c r="D31">
        <f t="shared" si="0"/>
        <v>-2.7181459557904498E-2</v>
      </c>
      <c r="E31">
        <v>-0.170185343670437</v>
      </c>
      <c r="F31" s="11">
        <f t="shared" si="6"/>
        <v>1.7403511640373955E-2</v>
      </c>
      <c r="G31" s="11">
        <f t="shared" si="1"/>
        <v>-2.9618226095894924E-3</v>
      </c>
      <c r="J31">
        <v>-23.9985397721832</v>
      </c>
      <c r="K31">
        <f t="shared" si="2"/>
        <v>-2.3998539772183199E-2</v>
      </c>
      <c r="L31">
        <v>1.8015096616375601E-2</v>
      </c>
      <c r="M31">
        <f t="shared" si="7"/>
        <v>2.0692275745208743E-3</v>
      </c>
      <c r="N31">
        <f t="shared" si="3"/>
        <v>3.7277334676262095E-5</v>
      </c>
      <c r="Q31">
        <v>4.1111111111111098</v>
      </c>
      <c r="R31">
        <f t="shared" si="4"/>
        <v>4.1111111111111097E-3</v>
      </c>
      <c r="S31">
        <v>1.27221774375091E-2</v>
      </c>
      <c r="T31">
        <f t="shared" si="8"/>
        <v>3.8065843621398636E-2</v>
      </c>
      <c r="U31">
        <f t="shared" si="5"/>
        <v>4.842804168599074E-4</v>
      </c>
    </row>
    <row r="32" spans="1:35" x14ac:dyDescent="0.3">
      <c r="A32">
        <v>29</v>
      </c>
      <c r="C32">
        <f>-27.1080354203479</f>
        <v>-27.1080354203479</v>
      </c>
      <c r="D32">
        <f t="shared" si="0"/>
        <v>-2.7108035420347901E-2</v>
      </c>
      <c r="E32">
        <v>-0.16996090526798499</v>
      </c>
      <c r="F32" s="11">
        <f t="shared" si="6"/>
        <v>1.6987200408426606E-2</v>
      </c>
      <c r="G32" s="11">
        <f t="shared" si="1"/>
        <v>-2.8871599593848704E-3</v>
      </c>
      <c r="J32">
        <v>-23.946419890128698</v>
      </c>
      <c r="K32">
        <f t="shared" si="2"/>
        <v>-2.39464198901287E-2</v>
      </c>
      <c r="L32">
        <v>1.7908438485045901E-2</v>
      </c>
      <c r="M32">
        <f t="shared" si="7"/>
        <v>2.1716617522707774E-3</v>
      </c>
      <c r="N32">
        <f t="shared" si="3"/>
        <v>3.8891070900868209E-5</v>
      </c>
      <c r="Q32">
        <v>4.2222222222222197</v>
      </c>
      <c r="R32">
        <f t="shared" si="4"/>
        <v>4.2222222222222192E-3</v>
      </c>
      <c r="S32">
        <v>1.27667873620702E-2</v>
      </c>
      <c r="T32">
        <f t="shared" si="8"/>
        <v>3.909465020576107E-2</v>
      </c>
      <c r="U32">
        <f t="shared" si="5"/>
        <v>4.9911308617146561E-4</v>
      </c>
    </row>
    <row r="33" spans="1:31" x14ac:dyDescent="0.3">
      <c r="A33">
        <v>30</v>
      </c>
      <c r="C33">
        <f>-27.0346112827912</f>
        <v>-27.0346112827912</v>
      </c>
      <c r="D33">
        <f t="shared" si="0"/>
        <v>-2.70346112827912E-2</v>
      </c>
      <c r="E33">
        <v>-0.169736760665852</v>
      </c>
      <c r="F33" s="11">
        <f t="shared" si="6"/>
        <v>1.7418488726502323E-2</v>
      </c>
      <c r="G33" s="11">
        <f t="shared" si="1"/>
        <v>-2.9565578521311658E-3</v>
      </c>
      <c r="J33">
        <v>-23.8943000080742</v>
      </c>
      <c r="K33">
        <f t="shared" si="2"/>
        <v>-2.3894300008074201E-2</v>
      </c>
      <c r="L33">
        <v>1.7802411821713299E-2</v>
      </c>
      <c r="M33">
        <f t="shared" si="7"/>
        <v>2.1716617522686815E-3</v>
      </c>
      <c r="N33">
        <f t="shared" si="3"/>
        <v>3.8660816851350591E-5</v>
      </c>
      <c r="Q33">
        <v>4.3333333333333304</v>
      </c>
      <c r="R33">
        <f t="shared" si="4"/>
        <v>4.3333333333333305E-3</v>
      </c>
      <c r="S33">
        <v>1.2811553709962E-2</v>
      </c>
      <c r="T33">
        <f t="shared" si="8"/>
        <v>4.0123456790123205E-2</v>
      </c>
      <c r="U33">
        <f t="shared" si="5"/>
        <v>5.1404382169600296E-4</v>
      </c>
    </row>
    <row r="34" spans="1:31" ht="14.4" customHeight="1" x14ac:dyDescent="0.3">
      <c r="A34">
        <v>31</v>
      </c>
      <c r="C34">
        <f>-26.9611871452346</f>
        <v>-26.9611871452346</v>
      </c>
      <c r="D34">
        <f t="shared" si="0"/>
        <v>-2.69611871452346E-2</v>
      </c>
      <c r="E34">
        <v>-0.16951290948184999</v>
      </c>
      <c r="F34" s="11">
        <f t="shared" si="6"/>
        <v>1.7849777044576663E-2</v>
      </c>
      <c r="G34" s="11">
        <f t="shared" si="1"/>
        <v>-3.0257676404285279E-3</v>
      </c>
      <c r="J34">
        <v>-23.842180126019802</v>
      </c>
      <c r="K34">
        <f t="shared" si="2"/>
        <v>-2.3842180126019803E-2</v>
      </c>
      <c r="L34">
        <v>1.7697012887780299E-2</v>
      </c>
      <c r="M34">
        <f t="shared" si="7"/>
        <v>2.1716617522687534E-3</v>
      </c>
      <c r="N34">
        <f t="shared" si="3"/>
        <v>3.8431926017799677E-5</v>
      </c>
      <c r="Q34">
        <v>4.4444444444444402</v>
      </c>
      <c r="R34">
        <f t="shared" si="4"/>
        <v>4.4444444444444401E-3</v>
      </c>
      <c r="S34">
        <v>1.28564770296783E-2</v>
      </c>
      <c r="T34">
        <f t="shared" si="8"/>
        <v>4.1152263374484993E-2</v>
      </c>
      <c r="U34">
        <f t="shared" si="5"/>
        <v>5.2907312879333789E-4</v>
      </c>
      <c r="W34" s="7"/>
      <c r="X34" s="7"/>
      <c r="Y34" s="7"/>
      <c r="Z34" s="7"/>
      <c r="AA34" s="7"/>
      <c r="AB34" s="7"/>
      <c r="AC34" s="7"/>
      <c r="AD34" s="7"/>
      <c r="AE34" s="7"/>
    </row>
    <row r="35" spans="1:31" x14ac:dyDescent="0.3">
      <c r="A35">
        <v>32</v>
      </c>
      <c r="C35">
        <f>-26.8877630076779</f>
        <v>-26.887763007677901</v>
      </c>
      <c r="D35">
        <f t="shared" ref="D35:D66" si="10">C35/1000</f>
        <v>-2.6887763007677902E-2</v>
      </c>
      <c r="E35">
        <v>-0.16928935133428299</v>
      </c>
      <c r="F35" s="11">
        <f t="shared" si="6"/>
        <v>1.7432074606652605E-2</v>
      </c>
      <c r="G35" s="11">
        <f t="shared" ref="G35:G66" si="11">E35*F35</f>
        <v>-2.9510646025710458E-3</v>
      </c>
      <c r="J35">
        <v>-23.7900602439653</v>
      </c>
      <c r="K35">
        <f t="shared" si="2"/>
        <v>-2.3790060243965301E-2</v>
      </c>
      <c r="L35">
        <v>1.7592237966783698E-2</v>
      </c>
      <c r="M35">
        <f t="shared" si="7"/>
        <v>2.2847663953771765E-3</v>
      </c>
      <c r="N35">
        <f t="shared" si="3"/>
        <v>4.0194154125985901E-5</v>
      </c>
      <c r="Q35">
        <v>4.55555555555555</v>
      </c>
      <c r="R35">
        <f t="shared" si="4"/>
        <v>4.5555555555555497E-3</v>
      </c>
      <c r="S35">
        <v>1.29015578716357E-2</v>
      </c>
      <c r="T35">
        <f t="shared" si="8"/>
        <v>4.2181069958847191E-2</v>
      </c>
      <c r="U35">
        <f t="shared" si="5"/>
        <v>5.4420151516158116E-4</v>
      </c>
      <c r="W35" s="7"/>
      <c r="X35" s="7"/>
      <c r="Y35" s="7"/>
      <c r="Z35" s="7"/>
      <c r="AA35" s="7"/>
      <c r="AB35" s="7"/>
      <c r="AC35" s="7"/>
      <c r="AD35" s="7"/>
      <c r="AE35" s="7"/>
    </row>
    <row r="36" spans="1:31" x14ac:dyDescent="0.3">
      <c r="A36">
        <v>33</v>
      </c>
      <c r="C36">
        <f>-26.8211586492552</f>
        <v>-26.821158649255199</v>
      </c>
      <c r="D36">
        <f t="shared" si="10"/>
        <v>-2.6821158649255199E-2</v>
      </c>
      <c r="E36">
        <v>-0.16921628380845699</v>
      </c>
      <c r="F36" s="11">
        <f t="shared" ref="F36:F67" si="12">((D36-D$3)/Y$6)*(((D37-D$3)/Y$6)-((D35-D$3)/Y$6))</f>
        <v>1.6937975095513209E-2</v>
      </c>
      <c r="G36" s="11">
        <f t="shared" si="11"/>
        <v>-2.8661812009029394E-3</v>
      </c>
      <c r="J36">
        <v>-23.7325113390417</v>
      </c>
      <c r="K36">
        <f t="shared" si="2"/>
        <v>-2.3732511339041699E-2</v>
      </c>
      <c r="L36">
        <v>1.74962778176323E-2</v>
      </c>
      <c r="M36">
        <f t="shared" si="7"/>
        <v>2.3978710384833586E-3</v>
      </c>
      <c r="N36">
        <f t="shared" si="3"/>
        <v>4.1953817860159313E-5</v>
      </c>
      <c r="Q36">
        <v>4.6666666666666599</v>
      </c>
      <c r="R36">
        <f t="shared" si="4"/>
        <v>4.6666666666666601E-3</v>
      </c>
      <c r="S36">
        <v>1.29665501535167E-2</v>
      </c>
      <c r="T36">
        <f t="shared" si="8"/>
        <v>4.3209876543209395E-2</v>
      </c>
      <c r="U36">
        <f t="shared" si="5"/>
        <v>5.602830313247894E-4</v>
      </c>
      <c r="W36" s="7"/>
      <c r="X36" s="7"/>
      <c r="Y36" s="7"/>
      <c r="Z36" s="7"/>
      <c r="AA36" s="7"/>
      <c r="AB36" s="7"/>
      <c r="AC36" s="7"/>
      <c r="AD36" s="7"/>
      <c r="AE36" s="7"/>
    </row>
    <row r="37" spans="1:31" x14ac:dyDescent="0.3">
      <c r="A37">
        <v>34</v>
      </c>
      <c r="C37">
        <f>-26.7545542908325</f>
        <v>-26.754554290832498</v>
      </c>
      <c r="D37">
        <f t="shared" si="10"/>
        <v>-2.6754554290832497E-2</v>
      </c>
      <c r="E37">
        <v>-0.16914324731928801</v>
      </c>
      <c r="F37" s="11">
        <f t="shared" si="12"/>
        <v>1.7292866340397305E-2</v>
      </c>
      <c r="G37" s="11">
        <f t="shared" si="11"/>
        <v>-2.9249715682732121E-3</v>
      </c>
      <c r="J37">
        <v>-23.6749624341181</v>
      </c>
      <c r="K37">
        <f t="shared" si="2"/>
        <v>-2.36749624341181E-2</v>
      </c>
      <c r="L37">
        <v>1.7400841101044898E-2</v>
      </c>
      <c r="M37">
        <f t="shared" si="7"/>
        <v>2.3978710384832862E-3</v>
      </c>
      <c r="N37">
        <f t="shared" si="3"/>
        <v>4.1724972921445179E-5</v>
      </c>
      <c r="Q37">
        <v>4.7777777777777697</v>
      </c>
      <c r="R37">
        <f t="shared" si="4"/>
        <v>4.7777777777777697E-3</v>
      </c>
      <c r="S37">
        <v>1.30318698374639E-2</v>
      </c>
      <c r="T37">
        <f t="shared" si="8"/>
        <v>4.423868312757151E-2</v>
      </c>
      <c r="U37">
        <f t="shared" si="5"/>
        <v>5.7651276029932236E-4</v>
      </c>
      <c r="W37" s="7"/>
      <c r="X37" s="7"/>
      <c r="Y37" s="7"/>
      <c r="Z37" s="7"/>
      <c r="AA37" s="7"/>
      <c r="AB37" s="7"/>
      <c r="AC37" s="7"/>
      <c r="AD37" s="7"/>
      <c r="AE37" s="7"/>
    </row>
    <row r="38" spans="1:31" x14ac:dyDescent="0.3">
      <c r="A38">
        <v>35</v>
      </c>
      <c r="C38">
        <f>-26.6879499324097</f>
        <v>-26.687949932409701</v>
      </c>
      <c r="D38">
        <f t="shared" si="10"/>
        <v>-2.6687949932409701E-2</v>
      </c>
      <c r="E38">
        <v>-0.16907024185375899</v>
      </c>
      <c r="F38" s="11">
        <f t="shared" si="12"/>
        <v>1.7647757585269597E-2</v>
      </c>
      <c r="G38" s="11">
        <f t="shared" si="11"/>
        <v>-2.9837106431180403E-3</v>
      </c>
      <c r="J38">
        <v>-23.617413529194501</v>
      </c>
      <c r="K38">
        <f t="shared" si="2"/>
        <v>-2.3617413529194501E-2</v>
      </c>
      <c r="L38">
        <v>1.73059249618609E-2</v>
      </c>
      <c r="M38">
        <f t="shared" si="7"/>
        <v>2.3978710384832862E-3</v>
      </c>
      <c r="N38">
        <f t="shared" si="3"/>
        <v>4.149737626021122E-5</v>
      </c>
      <c r="Q38">
        <v>4.8888888888888804</v>
      </c>
      <c r="R38">
        <f t="shared" si="4"/>
        <v>4.8888888888888801E-3</v>
      </c>
      <c r="S38">
        <v>1.3097518572782499E-2</v>
      </c>
      <c r="T38">
        <f t="shared" si="8"/>
        <v>4.5267489711935713E-2</v>
      </c>
      <c r="U38">
        <f t="shared" si="5"/>
        <v>5.9289178724531875E-4</v>
      </c>
      <c r="W38" s="7"/>
      <c r="X38" s="7"/>
      <c r="Y38" s="7"/>
      <c r="Z38" s="7"/>
      <c r="AA38" s="7"/>
      <c r="AB38" s="7"/>
      <c r="AC38" s="7"/>
      <c r="AD38" s="7"/>
      <c r="AE38" s="7"/>
    </row>
    <row r="39" spans="1:31" x14ac:dyDescent="0.3">
      <c r="A39">
        <v>36</v>
      </c>
      <c r="C39">
        <f>-26.621345573987</f>
        <v>-26.621345573987</v>
      </c>
      <c r="D39">
        <f t="shared" si="10"/>
        <v>-2.6621345573987001E-2</v>
      </c>
      <c r="E39">
        <v>-0.16899726739885701</v>
      </c>
      <c r="F39" s="11">
        <f t="shared" si="12"/>
        <v>1.7166587957633414E-2</v>
      </c>
      <c r="G39" s="11">
        <f t="shared" si="11"/>
        <v>-2.9011064554021727E-3</v>
      </c>
      <c r="J39">
        <v>-23.559864624270901</v>
      </c>
      <c r="K39">
        <f t="shared" si="2"/>
        <v>-2.3559864624270902E-2</v>
      </c>
      <c r="L39">
        <v>1.7211526560493299E-2</v>
      </c>
      <c r="M39">
        <f t="shared" si="7"/>
        <v>2.5227566540353898E-3</v>
      </c>
      <c r="N39">
        <f t="shared" si="3"/>
        <v>4.3420493156591316E-5</v>
      </c>
      <c r="Q39">
        <v>5</v>
      </c>
      <c r="R39">
        <f t="shared" si="4"/>
        <v>5.0000000000000001E-3</v>
      </c>
      <c r="S39">
        <v>1.31634980170863E-2</v>
      </c>
      <c r="T39">
        <f>(AA$12+(AA$13*((R39-Y$4)/($Y$7-Y$4))))*(((R39-Y$4)/(Y$7-Y$4))-((R38-Y$4)/(Y$7-Y$4)))</f>
        <v>2.3148148148150006E-2</v>
      </c>
      <c r="U39">
        <f t="shared" si="5"/>
        <v>3.047106022473925E-4</v>
      </c>
      <c r="W39" s="7"/>
      <c r="X39" s="7"/>
      <c r="Y39" s="7"/>
      <c r="Z39" s="7"/>
      <c r="AA39" s="7"/>
      <c r="AB39" s="7"/>
      <c r="AC39" s="7"/>
      <c r="AD39" s="7"/>
      <c r="AE39" s="7"/>
    </row>
    <row r="40" spans="1:31" x14ac:dyDescent="0.3">
      <c r="A40">
        <v>37</v>
      </c>
      <c r="C40">
        <f>-26.5609275605339</f>
        <v>-26.560927560533901</v>
      </c>
      <c r="D40">
        <f t="shared" si="10"/>
        <v>-2.6560927560533902E-2</v>
      </c>
      <c r="E40">
        <v>-0.169056029582137</v>
      </c>
      <c r="F40" s="11">
        <f t="shared" si="12"/>
        <v>1.6622553993094296E-2</v>
      </c>
      <c r="G40" s="11">
        <f t="shared" si="11"/>
        <v>-2.8101429795872189E-3</v>
      </c>
      <c r="J40">
        <v>-23.496321209800801</v>
      </c>
      <c r="K40">
        <f t="shared" si="2"/>
        <v>-2.3496321209800802E-2</v>
      </c>
      <c r="L40">
        <v>1.71241024078683E-2</v>
      </c>
      <c r="M40">
        <f t="shared" si="7"/>
        <v>2.6476422695875653E-3</v>
      </c>
      <c r="N40">
        <f t="shared" si="3"/>
        <v>4.5338497363818321E-5</v>
      </c>
      <c r="W40" s="7"/>
      <c r="X40" s="7"/>
      <c r="Y40" s="7"/>
      <c r="Z40" s="7"/>
      <c r="AA40" s="7"/>
      <c r="AB40" s="7"/>
      <c r="AC40" s="7"/>
      <c r="AD40" s="7"/>
      <c r="AE40" s="7"/>
    </row>
    <row r="41" spans="1:31" x14ac:dyDescent="0.3">
      <c r="A41">
        <v>38</v>
      </c>
      <c r="C41">
        <f>-26.5005095470809</f>
        <v>-26.500509547080899</v>
      </c>
      <c r="D41">
        <f t="shared" si="10"/>
        <v>-2.65005095470809E-2</v>
      </c>
      <c r="E41">
        <v>-0.169114812196484</v>
      </c>
      <c r="F41" s="11">
        <f t="shared" si="12"/>
        <v>1.6914580901063105E-2</v>
      </c>
      <c r="G41" s="11">
        <f t="shared" si="11"/>
        <v>-2.860506172465522E-3</v>
      </c>
      <c r="J41">
        <v>-23.432777795330701</v>
      </c>
      <c r="K41">
        <f t="shared" si="2"/>
        <v>-2.3432777795330699E-2</v>
      </c>
      <c r="L41">
        <v>1.7037122317101298E-2</v>
      </c>
      <c r="M41">
        <f t="shared" si="7"/>
        <v>2.6476422695875653E-3</v>
      </c>
      <c r="N41">
        <f t="shared" si="3"/>
        <v>4.5108205198891044E-5</v>
      </c>
      <c r="W41" s="7"/>
      <c r="X41" s="7"/>
      <c r="Y41" s="7"/>
      <c r="Z41" s="7"/>
      <c r="AA41" s="7"/>
      <c r="AB41" s="7"/>
      <c r="AC41" s="7"/>
      <c r="AD41" s="7"/>
      <c r="AE41" s="7"/>
    </row>
    <row r="42" spans="1:31" ht="15.6" x14ac:dyDescent="0.3">
      <c r="A42">
        <v>39</v>
      </c>
      <c r="C42">
        <f>-26.4400915336278</f>
        <v>-26.4400915336278</v>
      </c>
      <c r="D42">
        <f t="shared" si="10"/>
        <v>-2.6440091533627801E-2</v>
      </c>
      <c r="E42">
        <v>-0.16917361524899799</v>
      </c>
      <c r="F42" s="11">
        <f t="shared" si="12"/>
        <v>1.7206607809031906E-2</v>
      </c>
      <c r="G42" s="11">
        <f t="shared" si="11"/>
        <v>-2.9109040492255678E-3</v>
      </c>
      <c r="J42">
        <v>-23.3692343808606</v>
      </c>
      <c r="K42">
        <f t="shared" si="2"/>
        <v>-2.3369234380860599E-2</v>
      </c>
      <c r="L42">
        <v>1.6950584032626299E-2</v>
      </c>
      <c r="M42">
        <f t="shared" si="7"/>
        <v>2.6476422695874934E-3</v>
      </c>
      <c r="N42">
        <f t="shared" si="3"/>
        <v>4.4879082778976221E-5</v>
      </c>
      <c r="Q42" s="52" t="s">
        <v>127</v>
      </c>
      <c r="R42" s="52"/>
      <c r="S42" s="52"/>
      <c r="T42" s="52"/>
      <c r="U42" s="52"/>
      <c r="W42" s="7"/>
      <c r="X42" s="7"/>
      <c r="Y42" s="7"/>
      <c r="Z42" s="7"/>
      <c r="AA42" s="7"/>
      <c r="AB42" s="7"/>
      <c r="AC42" s="7"/>
      <c r="AD42" s="7"/>
      <c r="AE42" s="7"/>
    </row>
    <row r="43" spans="1:31" x14ac:dyDescent="0.3">
      <c r="A43">
        <v>40</v>
      </c>
      <c r="C43">
        <f>-26.3796735201748</f>
        <v>-26.379673520174801</v>
      </c>
      <c r="D43">
        <f t="shared" si="10"/>
        <v>-2.6379673520174802E-2</v>
      </c>
      <c r="E43">
        <v>-0.16923243874678701</v>
      </c>
      <c r="F43" s="11">
        <f t="shared" si="12"/>
        <v>1.6685980792661894E-2</v>
      </c>
      <c r="G43" s="11">
        <f t="shared" si="11"/>
        <v>-2.8238092224242184E-3</v>
      </c>
      <c r="J43">
        <v>-23.3056909663905</v>
      </c>
      <c r="K43">
        <f t="shared" si="2"/>
        <v>-2.3305690966390499E-2</v>
      </c>
      <c r="L43">
        <v>1.68644853103345E-2</v>
      </c>
      <c r="M43">
        <f t="shared" si="7"/>
        <v>2.7855362834708409E-3</v>
      </c>
      <c r="N43">
        <f t="shared" si="3"/>
        <v>4.6976635733997752E-5</v>
      </c>
      <c r="Q43" s="25" t="s">
        <v>123</v>
      </c>
      <c r="R43" s="25" t="s">
        <v>131</v>
      </c>
      <c r="S43" s="25" t="s">
        <v>133</v>
      </c>
      <c r="T43" s="25" t="s">
        <v>121</v>
      </c>
      <c r="U43" s="25" t="s">
        <v>130</v>
      </c>
      <c r="W43" s="7"/>
      <c r="X43" s="7"/>
      <c r="Y43" s="7"/>
      <c r="Z43" s="7"/>
      <c r="AA43" s="7"/>
      <c r="AB43" s="7"/>
      <c r="AC43" s="7"/>
      <c r="AD43" s="7"/>
      <c r="AE43" s="7"/>
    </row>
    <row r="44" spans="1:31" x14ac:dyDescent="0.3">
      <c r="A44">
        <v>41</v>
      </c>
      <c r="C44">
        <f>-26.3248672514695</f>
        <v>-26.324867251469499</v>
      </c>
      <c r="D44">
        <f t="shared" si="10"/>
        <v>-2.63248672514695E-2</v>
      </c>
      <c r="E44">
        <v>-0.16940132927791801</v>
      </c>
      <c r="F44" s="11">
        <f t="shared" si="12"/>
        <v>1.6113625035474616E-2</v>
      </c>
      <c r="G44" s="11">
        <f t="shared" si="11"/>
        <v>-2.7296695004953389E-3</v>
      </c>
      <c r="J44">
        <v>-23.235528639253999</v>
      </c>
      <c r="K44">
        <f t="shared" si="2"/>
        <v>-2.3235528639253999E-2</v>
      </c>
      <c r="L44">
        <v>1.67842071472326E-2</v>
      </c>
      <c r="M44">
        <f t="shared" si="7"/>
        <v>2.9234302973541884E-3</v>
      </c>
      <c r="N44">
        <f t="shared" si="3"/>
        <v>4.9067459691288496E-5</v>
      </c>
      <c r="Q44">
        <v>-1</v>
      </c>
      <c r="R44">
        <f t="shared" ref="R44:R56" si="13">Q44/1000</f>
        <v>-1E-3</v>
      </c>
      <c r="S44">
        <v>1.31634980170863E-2</v>
      </c>
      <c r="T44">
        <f>AD$12*(R45-R44)</f>
        <v>4.1666666666667011E-2</v>
      </c>
      <c r="U44">
        <f t="shared" ref="U44:U56" si="14">T44*S44</f>
        <v>5.484790840452671E-4</v>
      </c>
      <c r="W44" s="7"/>
      <c r="X44" s="7"/>
      <c r="Y44" s="7"/>
      <c r="Z44" s="7"/>
      <c r="AA44" s="7"/>
      <c r="AB44" s="7"/>
      <c r="AC44" s="7"/>
      <c r="AD44" s="7"/>
      <c r="AE44" s="7"/>
    </row>
    <row r="45" spans="1:31" x14ac:dyDescent="0.3">
      <c r="A45">
        <v>42</v>
      </c>
      <c r="C45">
        <f>-26.2700609827643</f>
        <v>-26.270060982764299</v>
      </c>
      <c r="D45">
        <f t="shared" si="10"/>
        <v>-2.6270060982764298E-2</v>
      </c>
      <c r="E45">
        <v>-0.16957038808309199</v>
      </c>
      <c r="F45" s="11">
        <f t="shared" si="12"/>
        <v>1.6353923202610289E-2</v>
      </c>
      <c r="G45" s="11">
        <f t="shared" si="11"/>
        <v>-2.7731411041477094E-3</v>
      </c>
      <c r="J45">
        <v>-23.165366312117499</v>
      </c>
      <c r="K45">
        <f t="shared" si="2"/>
        <v>-2.3165366312117498E-2</v>
      </c>
      <c r="L45">
        <v>1.6704311123481801E-2</v>
      </c>
      <c r="M45">
        <f t="shared" si="7"/>
        <v>2.9234302973541165E-3</v>
      </c>
      <c r="N45">
        <f t="shared" si="3"/>
        <v>4.8833889234816076E-5</v>
      </c>
      <c r="Q45">
        <v>-0.91666666666666596</v>
      </c>
      <c r="R45">
        <f t="shared" si="13"/>
        <v>-9.16666666666666E-4</v>
      </c>
      <c r="S45">
        <v>1.31615265647632E-2</v>
      </c>
      <c r="T45">
        <f t="shared" ref="T45:T55" si="15">AD$12*(R46-R44)</f>
        <v>8.3333333333333481E-2</v>
      </c>
      <c r="U45">
        <f t="shared" si="14"/>
        <v>1.0967938803969352E-3</v>
      </c>
      <c r="W45" s="7"/>
      <c r="X45" s="7"/>
      <c r="Y45" s="7"/>
      <c r="Z45" s="7"/>
      <c r="AA45" s="7"/>
      <c r="AB45" s="7"/>
      <c r="AC45" s="7"/>
      <c r="AD45" s="7"/>
      <c r="AE45" s="7"/>
    </row>
    <row r="46" spans="1:31" x14ac:dyDescent="0.3">
      <c r="A46">
        <v>43</v>
      </c>
      <c r="C46">
        <f>-26.2152547140591</f>
        <v>-26.2152547140591</v>
      </c>
      <c r="D46">
        <f t="shared" si="10"/>
        <v>-2.62152547140591E-2</v>
      </c>
      <c r="E46">
        <v>-0.16973961532971399</v>
      </c>
      <c r="F46" s="11">
        <f t="shared" si="12"/>
        <v>1.6594221369775911E-2</v>
      </c>
      <c r="G46" s="11">
        <f t="shared" si="11"/>
        <v>-2.8166967520018827E-3</v>
      </c>
      <c r="J46">
        <v>-23.095203984981001</v>
      </c>
      <c r="K46">
        <f t="shared" si="2"/>
        <v>-2.3095203984981001E-2</v>
      </c>
      <c r="L46">
        <v>1.66247954200258E-2</v>
      </c>
      <c r="M46">
        <f t="shared" si="7"/>
        <v>2.9234302973541165E-3</v>
      </c>
      <c r="N46">
        <f t="shared" si="3"/>
        <v>4.8601430618217378E-5</v>
      </c>
      <c r="Q46">
        <v>-0.83333333333333304</v>
      </c>
      <c r="R46">
        <f t="shared" si="13"/>
        <v>-8.3333333333333306E-4</v>
      </c>
      <c r="S46">
        <v>1.31595554076979E-2</v>
      </c>
      <c r="T46">
        <f t="shared" si="15"/>
        <v>8.3333333333332996E-2</v>
      </c>
      <c r="U46">
        <f t="shared" si="14"/>
        <v>1.0966296173081538E-3</v>
      </c>
    </row>
    <row r="47" spans="1:31" x14ac:dyDescent="0.3">
      <c r="A47">
        <v>44</v>
      </c>
      <c r="C47">
        <f>-26.1604484453538</f>
        <v>-26.160448445353801</v>
      </c>
      <c r="D47">
        <f t="shared" si="10"/>
        <v>-2.6160448445353802E-2</v>
      </c>
      <c r="E47">
        <v>-0.169909011185359</v>
      </c>
      <c r="F47" s="11">
        <f t="shared" si="12"/>
        <v>1.6052707963004929E-2</v>
      </c>
      <c r="G47" s="11">
        <f t="shared" si="11"/>
        <v>-2.7274997368415062E-3</v>
      </c>
      <c r="J47">
        <v>-23.025041657844501</v>
      </c>
      <c r="K47">
        <f t="shared" si="2"/>
        <v>-2.3025041657844501E-2</v>
      </c>
      <c r="L47">
        <v>1.6545658226467499E-2</v>
      </c>
      <c r="M47">
        <f t="shared" si="7"/>
        <v>3.0756878615541992E-3</v>
      </c>
      <c r="N47">
        <f t="shared" si="3"/>
        <v>5.0889280168570466E-5</v>
      </c>
      <c r="Q47">
        <v>-0.75</v>
      </c>
      <c r="R47">
        <f t="shared" si="13"/>
        <v>-7.5000000000000002E-4</v>
      </c>
      <c r="S47">
        <v>1.3157584545846099E-2</v>
      </c>
      <c r="T47">
        <f t="shared" si="15"/>
        <v>8.3333333333333537E-2</v>
      </c>
      <c r="U47">
        <f t="shared" si="14"/>
        <v>1.096465378820511E-3</v>
      </c>
    </row>
    <row r="48" spans="1:31" x14ac:dyDescent="0.3">
      <c r="A48">
        <v>45</v>
      </c>
      <c r="C48">
        <f>-26.1107326902333</f>
        <v>-26.110732690233299</v>
      </c>
      <c r="D48">
        <f t="shared" si="10"/>
        <v>-2.6110732690233299E-2</v>
      </c>
      <c r="E48">
        <v>-0.170187154406855</v>
      </c>
      <c r="F48" s="11">
        <f t="shared" si="12"/>
        <v>1.5468628893657686E-2</v>
      </c>
      <c r="G48" s="11">
        <f t="shared" si="11"/>
        <v>-2.6325619339872593E-3</v>
      </c>
      <c r="J48">
        <v>-22.947570967626401</v>
      </c>
      <c r="K48">
        <f t="shared" si="2"/>
        <v>-2.29475709676264E-2</v>
      </c>
      <c r="L48">
        <v>1.6472477867705601E-2</v>
      </c>
      <c r="M48">
        <f t="shared" si="7"/>
        <v>3.227945425754138E-3</v>
      </c>
      <c r="N48">
        <f t="shared" si="3"/>
        <v>5.3172259583896572E-5</v>
      </c>
      <c r="Q48">
        <v>-0.66666666666666596</v>
      </c>
      <c r="R48">
        <f t="shared" si="13"/>
        <v>-6.6666666666666599E-4</v>
      </c>
      <c r="S48">
        <v>1.31556139791635E-2</v>
      </c>
      <c r="T48">
        <f t="shared" si="15"/>
        <v>8.3333333333333481E-2</v>
      </c>
      <c r="U48">
        <f t="shared" si="14"/>
        <v>1.0963011649302936E-3</v>
      </c>
      <c r="W48" s="7"/>
      <c r="X48" s="9"/>
      <c r="Y48" s="9"/>
      <c r="Z48" s="9"/>
      <c r="AA48" s="9"/>
      <c r="AB48" s="9"/>
      <c r="AC48" s="9"/>
      <c r="AD48" s="9"/>
      <c r="AE48" s="9"/>
    </row>
    <row r="49" spans="1:31" x14ac:dyDescent="0.3">
      <c r="A49">
        <v>46</v>
      </c>
      <c r="C49">
        <f>-26.0610169351127</f>
        <v>-26.061016935112701</v>
      </c>
      <c r="D49">
        <f t="shared" si="10"/>
        <v>-2.6061016935112702E-2</v>
      </c>
      <c r="E49">
        <v>-0.170465751800117</v>
      </c>
      <c r="F49" s="11">
        <f t="shared" si="12"/>
        <v>1.566636139823439E-2</v>
      </c>
      <c r="G49" s="11">
        <f t="shared" si="11"/>
        <v>-2.6705780737223575E-3</v>
      </c>
      <c r="J49">
        <v>-22.870100277408302</v>
      </c>
      <c r="K49">
        <f t="shared" si="2"/>
        <v>-2.2870100277408302E-2</v>
      </c>
      <c r="L49">
        <v>1.6399621180860201E-2</v>
      </c>
      <c r="M49">
        <f t="shared" si="7"/>
        <v>3.2279454257562339E-3</v>
      </c>
      <c r="N49">
        <f t="shared" si="3"/>
        <v>5.2937082174892736E-5</v>
      </c>
      <c r="Q49">
        <v>-0.58333333333333304</v>
      </c>
      <c r="R49">
        <f t="shared" si="13"/>
        <v>-5.8333333333333306E-4</v>
      </c>
      <c r="S49">
        <v>1.31531043272198E-2</v>
      </c>
      <c r="T49">
        <f t="shared" si="15"/>
        <v>8.3333333333332996E-2</v>
      </c>
      <c r="U49">
        <f t="shared" si="14"/>
        <v>1.0960920272683123E-3</v>
      </c>
      <c r="W49" s="9"/>
      <c r="X49" s="9"/>
      <c r="Y49" s="9"/>
      <c r="Z49" s="9"/>
      <c r="AA49" s="9"/>
      <c r="AB49" s="9"/>
      <c r="AC49" s="9"/>
      <c r="AD49" s="9"/>
      <c r="AE49" s="9"/>
    </row>
    <row r="50" spans="1:31" x14ac:dyDescent="0.3">
      <c r="A50">
        <v>47</v>
      </c>
      <c r="C50">
        <f>-26.0113011799922</f>
        <v>-26.011301179992198</v>
      </c>
      <c r="D50">
        <f t="shared" si="10"/>
        <v>-2.6011301179992199E-2</v>
      </c>
      <c r="E50">
        <v>-0.170744804105048</v>
      </c>
      <c r="F50" s="11">
        <f t="shared" si="12"/>
        <v>1.5864093902795223E-2</v>
      </c>
      <c r="G50" s="11">
        <f t="shared" si="11"/>
        <v>-2.7087116057368569E-3</v>
      </c>
      <c r="J50">
        <v>-22.792629587190099</v>
      </c>
      <c r="K50">
        <f t="shared" si="2"/>
        <v>-2.27926295871901E-2</v>
      </c>
      <c r="L50">
        <v>1.6327086734351699E-2</v>
      </c>
      <c r="M50">
        <f t="shared" si="7"/>
        <v>3.2279454257563064E-3</v>
      </c>
      <c r="N50">
        <f t="shared" si="3"/>
        <v>5.2702944940077037E-5</v>
      </c>
      <c r="Q50">
        <v>-0.5</v>
      </c>
      <c r="R50">
        <f t="shared" si="13"/>
        <v>-5.0000000000000001E-4</v>
      </c>
      <c r="S50">
        <v>1.3150595154034E-2</v>
      </c>
      <c r="T50">
        <f t="shared" si="15"/>
        <v>8.3333333333333509E-2</v>
      </c>
      <c r="U50">
        <f t="shared" si="14"/>
        <v>1.0958829295028357E-3</v>
      </c>
      <c r="W50" s="9"/>
      <c r="X50" s="9"/>
      <c r="Y50" s="9"/>
      <c r="Z50" s="9"/>
      <c r="AA50" s="9"/>
      <c r="AB50" s="9"/>
      <c r="AC50" s="9"/>
      <c r="AD50" s="9"/>
      <c r="AE50" s="9"/>
    </row>
    <row r="51" spans="1:31" x14ac:dyDescent="0.3">
      <c r="A51">
        <v>48</v>
      </c>
      <c r="C51">
        <f>-25.9615854248717</f>
        <v>-25.9615854248717</v>
      </c>
      <c r="D51">
        <f t="shared" si="10"/>
        <v>-2.5961585424871699E-2</v>
      </c>
      <c r="E51">
        <v>-0.17102431206275201</v>
      </c>
      <c r="F51" s="11">
        <f t="shared" si="12"/>
        <v>1.5315899940377773E-2</v>
      </c>
      <c r="G51" s="11">
        <f t="shared" si="11"/>
        <v>-2.6193912509250533E-3</v>
      </c>
      <c r="J51">
        <v>-22.715158896972</v>
      </c>
      <c r="K51">
        <f t="shared" si="2"/>
        <v>-2.2715158896971999E-2</v>
      </c>
      <c r="L51">
        <v>1.6254873102932301E-2</v>
      </c>
      <c r="M51">
        <f t="shared" si="7"/>
        <v>3.3896633388583609E-3</v>
      </c>
      <c r="N51">
        <f t="shared" si="3"/>
        <v>5.5098547434804471E-5</v>
      </c>
      <c r="Q51">
        <v>-0.41666666666666602</v>
      </c>
      <c r="R51">
        <f t="shared" si="13"/>
        <v>-4.1666666666666604E-4</v>
      </c>
      <c r="S51">
        <v>1.31480864595147E-2</v>
      </c>
      <c r="T51">
        <f t="shared" si="15"/>
        <v>8.3333333333333509E-2</v>
      </c>
      <c r="U51">
        <f t="shared" si="14"/>
        <v>1.0956738716262273E-3</v>
      </c>
      <c r="W51" s="9"/>
      <c r="X51" s="9"/>
      <c r="Y51" s="9"/>
      <c r="Z51" s="9"/>
      <c r="AA51" s="9"/>
      <c r="AB51" s="9"/>
      <c r="AC51" s="9"/>
      <c r="AD51" s="9"/>
      <c r="AE51" s="9"/>
    </row>
    <row r="52" spans="1:31" x14ac:dyDescent="0.3">
      <c r="A52">
        <v>49</v>
      </c>
      <c r="C52">
        <f>-25.9164873634842</f>
        <v>-25.916487363484201</v>
      </c>
      <c r="D52">
        <f t="shared" si="10"/>
        <v>-2.59164873634842E-2</v>
      </c>
      <c r="E52">
        <v>-0.171399803368362</v>
      </c>
      <c r="F52" s="11">
        <f t="shared" si="12"/>
        <v>1.473268028464118E-2</v>
      </c>
      <c r="G52" s="11">
        <f t="shared" si="11"/>
        <v>-2.5251785038764418E-3</v>
      </c>
      <c r="J52">
        <v>-22.629925746924901</v>
      </c>
      <c r="K52">
        <f t="shared" si="2"/>
        <v>-2.2629925746924899E-2</v>
      </c>
      <c r="L52">
        <v>1.61876723627132E-2</v>
      </c>
      <c r="M52">
        <f t="shared" si="7"/>
        <v>3.5513812519625113E-3</v>
      </c>
      <c r="N52">
        <f t="shared" si="3"/>
        <v>5.7488596141851347E-5</v>
      </c>
      <c r="Q52">
        <v>-0.33333333333333298</v>
      </c>
      <c r="R52">
        <f t="shared" si="13"/>
        <v>-3.33333333333333E-4</v>
      </c>
      <c r="S52">
        <v>1.31455782435705E-2</v>
      </c>
      <c r="T52">
        <f t="shared" si="15"/>
        <v>8.3333333333333023E-2</v>
      </c>
      <c r="U52">
        <f t="shared" si="14"/>
        <v>1.0954648536308711E-3</v>
      </c>
      <c r="W52" s="9"/>
      <c r="X52" s="9"/>
      <c r="Y52" s="9"/>
      <c r="Z52" s="9"/>
      <c r="AA52" s="9"/>
      <c r="AB52" s="9"/>
      <c r="AC52" s="9"/>
      <c r="AD52" s="9"/>
      <c r="AE52" s="9"/>
    </row>
    <row r="53" spans="1:31" x14ac:dyDescent="0.3">
      <c r="A53">
        <v>50</v>
      </c>
      <c r="C53">
        <f>-25.8713893020968</f>
        <v>-25.871389302096802</v>
      </c>
      <c r="D53">
        <f t="shared" si="10"/>
        <v>-2.5871389302096801E-2</v>
      </c>
      <c r="E53">
        <v>-0.17177611666904999</v>
      </c>
      <c r="F53" s="11">
        <f t="shared" si="12"/>
        <v>1.4895387095897447E-2</v>
      </c>
      <c r="G53" s="11">
        <f t="shared" si="11"/>
        <v>-2.5586717516155417E-3</v>
      </c>
      <c r="J53">
        <v>-22.544692596877798</v>
      </c>
      <c r="K53">
        <f t="shared" si="2"/>
        <v>-2.2544692596877799E-2</v>
      </c>
      <c r="L53">
        <v>1.6120749443148698E-2</v>
      </c>
      <c r="M53">
        <f t="shared" si="7"/>
        <v>3.5513812519625113E-3</v>
      </c>
      <c r="N53">
        <f t="shared" si="3"/>
        <v>5.7250927339983384E-5</v>
      </c>
      <c r="Q53">
        <v>-0.25</v>
      </c>
      <c r="R53">
        <f t="shared" si="13"/>
        <v>-2.5000000000000001E-4</v>
      </c>
      <c r="S53">
        <v>1.3145202745895399E-2</v>
      </c>
      <c r="T53">
        <f t="shared" si="15"/>
        <v>8.3333333333333509E-2</v>
      </c>
      <c r="U53">
        <f t="shared" si="14"/>
        <v>1.0954335621579522E-3</v>
      </c>
      <c r="W53" s="9"/>
      <c r="X53" s="9"/>
      <c r="Y53" s="9"/>
      <c r="Z53" s="9"/>
      <c r="AA53" s="9"/>
      <c r="AB53" s="9"/>
      <c r="AC53" s="9"/>
      <c r="AD53" s="9"/>
      <c r="AE53" s="9"/>
    </row>
    <row r="54" spans="1:31" x14ac:dyDescent="0.3">
      <c r="A54">
        <v>51</v>
      </c>
      <c r="C54">
        <f>-25.8262912407094</f>
        <v>-25.826291240709399</v>
      </c>
      <c r="D54">
        <f t="shared" si="10"/>
        <v>-2.5826291240709398E-2</v>
      </c>
      <c r="E54">
        <v>-0.172153253759525</v>
      </c>
      <c r="F54" s="11">
        <f t="shared" si="12"/>
        <v>1.5058093907186369E-2</v>
      </c>
      <c r="G54" s="11">
        <f t="shared" si="11"/>
        <v>-2.5922998615386123E-3</v>
      </c>
      <c r="J54">
        <v>-22.459459446830699</v>
      </c>
      <c r="K54">
        <f t="shared" si="2"/>
        <v>-2.2459459446830699E-2</v>
      </c>
      <c r="L54">
        <v>1.6054103195675299E-2</v>
      </c>
      <c r="M54">
        <f t="shared" si="7"/>
        <v>3.5513812519604154E-3</v>
      </c>
      <c r="N54">
        <f t="shared" si="3"/>
        <v>5.7014241106159052E-5</v>
      </c>
      <c r="Q54">
        <v>-0.16666666666666599</v>
      </c>
      <c r="R54">
        <f t="shared" si="13"/>
        <v>-1.6666666666666598E-4</v>
      </c>
      <c r="S54">
        <v>1.31448272589464E-2</v>
      </c>
      <c r="T54">
        <f t="shared" si="15"/>
        <v>8.3333333333333343E-2</v>
      </c>
      <c r="U54">
        <f t="shared" si="14"/>
        <v>1.0954022715788669E-3</v>
      </c>
      <c r="W54" s="9"/>
      <c r="X54" s="9"/>
      <c r="Y54" s="9"/>
      <c r="Z54" s="9"/>
      <c r="AA54" s="9"/>
      <c r="AB54" s="9"/>
      <c r="AC54" s="9"/>
      <c r="AD54" s="9"/>
      <c r="AE54" s="9"/>
    </row>
    <row r="55" spans="1:31" x14ac:dyDescent="0.3">
      <c r="A55">
        <v>52</v>
      </c>
      <c r="C55">
        <f>-25.7811931793219</f>
        <v>-25.7811931793219</v>
      </c>
      <c r="D55">
        <f t="shared" si="10"/>
        <v>-2.5781193179321898E-2</v>
      </c>
      <c r="E55">
        <v>-0.172531216438399</v>
      </c>
      <c r="F55" s="11">
        <f t="shared" si="12"/>
        <v>1.4513930406119447E-2</v>
      </c>
      <c r="G55" s="11">
        <f t="shared" si="11"/>
        <v>-2.5041060682700544E-3</v>
      </c>
      <c r="J55">
        <v>-22.3742262967837</v>
      </c>
      <c r="K55">
        <f t="shared" si="2"/>
        <v>-2.2374226296783699E-2</v>
      </c>
      <c r="L55">
        <v>1.59877324764779E-2</v>
      </c>
      <c r="M55">
        <f t="shared" si="7"/>
        <v>3.7079483688478637E-3</v>
      </c>
      <c r="N55">
        <f t="shared" si="3"/>
        <v>5.9281686557732246E-5</v>
      </c>
      <c r="Q55">
        <v>-8.3333333333333301E-2</v>
      </c>
      <c r="R55">
        <f t="shared" si="13"/>
        <v>-8.3333333333333303E-5</v>
      </c>
      <c r="S55">
        <v>1.31444517827229E-2</v>
      </c>
      <c r="T55">
        <f t="shared" si="15"/>
        <v>8.3333333333332996E-2</v>
      </c>
      <c r="U55">
        <f t="shared" si="14"/>
        <v>1.0953709818935706E-3</v>
      </c>
      <c r="W55" s="9"/>
      <c r="X55" s="9"/>
      <c r="Y55" s="9"/>
      <c r="Z55" s="9"/>
      <c r="AA55" s="9"/>
      <c r="AB55" s="9"/>
      <c r="AC55" s="9"/>
      <c r="AD55" s="9"/>
      <c r="AE55" s="9"/>
    </row>
    <row r="56" spans="1:31" x14ac:dyDescent="0.3">
      <c r="A56">
        <v>53</v>
      </c>
      <c r="C56">
        <f>-25.7402839226273</f>
        <v>-25.740283922627299</v>
      </c>
      <c r="D56">
        <f t="shared" si="10"/>
        <v>-2.57402839226273E-2</v>
      </c>
      <c r="E56">
        <v>-0.17301478046233201</v>
      </c>
      <c r="F56" s="11">
        <f t="shared" si="12"/>
        <v>1.394094547642772E-2</v>
      </c>
      <c r="G56" s="11">
        <f t="shared" si="11"/>
        <v>-2.4119896210414824E-3</v>
      </c>
      <c r="J56">
        <v>-22.281477925126001</v>
      </c>
      <c r="K56">
        <f t="shared" si="2"/>
        <v>-2.2281477925126001E-2</v>
      </c>
      <c r="L56">
        <v>1.5926594747123501E-2</v>
      </c>
      <c r="M56">
        <f t="shared" si="7"/>
        <v>3.8645154857354569E-3</v>
      </c>
      <c r="N56">
        <f t="shared" si="3"/>
        <v>6.1548572035291749E-5</v>
      </c>
      <c r="Q56">
        <v>0</v>
      </c>
      <c r="R56">
        <f t="shared" si="13"/>
        <v>0</v>
      </c>
      <c r="S56">
        <v>1.3144076317224701E-2</v>
      </c>
      <c r="T56">
        <f>AD$12*(R56-R55)</f>
        <v>4.166666666666665E-2</v>
      </c>
      <c r="U56">
        <f t="shared" si="14"/>
        <v>5.4766984655102902E-4</v>
      </c>
      <c r="W56" s="9"/>
      <c r="X56" s="9"/>
      <c r="Y56" s="9"/>
      <c r="Z56" s="9"/>
      <c r="AA56" s="9"/>
      <c r="AB56" s="9"/>
      <c r="AC56" s="9"/>
      <c r="AD56" s="9"/>
      <c r="AE56" s="9"/>
    </row>
    <row r="57" spans="1:31" x14ac:dyDescent="0.3">
      <c r="A57">
        <v>54</v>
      </c>
      <c r="C57">
        <f>-25.6993746659327</f>
        <v>-25.699374665932702</v>
      </c>
      <c r="D57">
        <f t="shared" si="10"/>
        <v>-2.5699374665932702E-2</v>
      </c>
      <c r="E57">
        <v>-0.17349969549015301</v>
      </c>
      <c r="F57" s="11">
        <f t="shared" si="12"/>
        <v>1.407483085907537E-2</v>
      </c>
      <c r="G57" s="11">
        <f t="shared" si="11"/>
        <v>-2.4419788681249856E-3</v>
      </c>
      <c r="J57">
        <v>-22.188729553468399</v>
      </c>
      <c r="K57">
        <f t="shared" si="2"/>
        <v>-2.2188729553468397E-2</v>
      </c>
      <c r="L57">
        <v>1.5865690810894902E-2</v>
      </c>
      <c r="M57">
        <f t="shared" si="7"/>
        <v>3.8645154857333609E-3</v>
      </c>
      <c r="N57">
        <f t="shared" si="3"/>
        <v>6.1313207830560826E-5</v>
      </c>
      <c r="W57" s="9"/>
      <c r="X57" s="9"/>
      <c r="Y57" s="9"/>
      <c r="Z57" s="9"/>
      <c r="AA57" s="9"/>
      <c r="AB57" s="9"/>
      <c r="AC57" s="9"/>
      <c r="AD57" s="9"/>
      <c r="AE57" s="9"/>
    </row>
    <row r="58" spans="1:31" x14ac:dyDescent="0.3">
      <c r="A58">
        <v>55</v>
      </c>
      <c r="C58">
        <f>-25.6584654092382</f>
        <v>-25.6584654092382</v>
      </c>
      <c r="D58">
        <f t="shared" si="10"/>
        <v>-2.5658465409238201E-2</v>
      </c>
      <c r="E58">
        <v>-0.17398596528560101</v>
      </c>
      <c r="F58" s="11">
        <f t="shared" si="12"/>
        <v>1.420871624173993E-2</v>
      </c>
      <c r="G58" s="11">
        <f t="shared" si="11"/>
        <v>-2.4721172107883185E-3</v>
      </c>
      <c r="J58">
        <v>-22.095981181810799</v>
      </c>
      <c r="K58">
        <f t="shared" si="2"/>
        <v>-2.20959811818108E-2</v>
      </c>
      <c r="L58">
        <v>1.5805019773757801E-2</v>
      </c>
      <c r="M58">
        <f t="shared" si="7"/>
        <v>3.8645154857332885E-3</v>
      </c>
      <c r="N58">
        <f t="shared" si="3"/>
        <v>6.1078743668007858E-5</v>
      </c>
    </row>
    <row r="59" spans="1:31" x14ac:dyDescent="0.3">
      <c r="A59">
        <v>56</v>
      </c>
      <c r="C59">
        <f>-25.6175561525436</f>
        <v>-25.6175561525436</v>
      </c>
      <c r="D59">
        <f t="shared" si="10"/>
        <v>-2.5617556152543599E-2</v>
      </c>
      <c r="E59">
        <v>-0.17447359362287501</v>
      </c>
      <c r="F59" s="11">
        <f t="shared" si="12"/>
        <v>1.3676517859125988E-2</v>
      </c>
      <c r="G59" s="11">
        <f t="shared" si="11"/>
        <v>-2.3861912191291404E-3</v>
      </c>
      <c r="J59">
        <v>-22.0032328101532</v>
      </c>
      <c r="K59">
        <f t="shared" si="2"/>
        <v>-2.2003232810153199E-2</v>
      </c>
      <c r="L59">
        <v>1.5744580745096898E-2</v>
      </c>
      <c r="M59">
        <f t="shared" si="7"/>
        <v>4.0179259163291804E-3</v>
      </c>
      <c r="N59">
        <f t="shared" si="3"/>
        <v>6.3260559017462231E-5</v>
      </c>
    </row>
    <row r="60" spans="1:31" x14ac:dyDescent="0.3">
      <c r="A60">
        <v>57</v>
      </c>
      <c r="C60">
        <f>-25.5804466237433</f>
        <v>-25.580446623743299</v>
      </c>
      <c r="D60">
        <f t="shared" si="10"/>
        <v>-2.55804466237433E-2</v>
      </c>
      <c r="E60">
        <v>-0.17507300759191799</v>
      </c>
      <c r="F60" s="11">
        <f t="shared" si="12"/>
        <v>1.3120603464034769E-2</v>
      </c>
      <c r="G60" s="11">
        <f t="shared" si="11"/>
        <v>-2.2970635098695045E-3</v>
      </c>
      <c r="J60">
        <v>-21.903120737826999</v>
      </c>
      <c r="K60">
        <f t="shared" si="2"/>
        <v>-2.1903120737826999E-2</v>
      </c>
      <c r="L60">
        <v>1.5689535720820099E-2</v>
      </c>
      <c r="M60">
        <f t="shared" si="7"/>
        <v>4.1713363469229039E-3</v>
      </c>
      <c r="N60">
        <f t="shared" si="3"/>
        <v>6.5446330618602126E-5</v>
      </c>
    </row>
    <row r="61" spans="1:31" x14ac:dyDescent="0.3">
      <c r="A61">
        <v>58</v>
      </c>
      <c r="C61">
        <f>-25.5433370949431</f>
        <v>-25.543337094943102</v>
      </c>
      <c r="D61">
        <f t="shared" si="10"/>
        <v>-2.5543337094943101E-2</v>
      </c>
      <c r="E61">
        <v>-0.175674474000032</v>
      </c>
      <c r="F61" s="11">
        <f t="shared" si="12"/>
        <v>1.3230772834239421E-2</v>
      </c>
      <c r="G61" s="11">
        <f t="shared" si="11"/>
        <v>-2.3243090582689228E-3</v>
      </c>
      <c r="J61">
        <v>-21.803008665500901</v>
      </c>
      <c r="K61">
        <f t="shared" si="2"/>
        <v>-2.18030086655009E-2</v>
      </c>
      <c r="L61">
        <v>1.56346831408356E-2</v>
      </c>
      <c r="M61">
        <f t="shared" si="7"/>
        <v>4.1713363469229039E-3</v>
      </c>
      <c r="N61">
        <f t="shared" si="3"/>
        <v>6.5217522057990285E-5</v>
      </c>
    </row>
    <row r="62" spans="1:31" x14ac:dyDescent="0.3">
      <c r="A62">
        <v>59</v>
      </c>
      <c r="C62">
        <f>-25.5062275661429</f>
        <v>-25.506227566142901</v>
      </c>
      <c r="D62">
        <f t="shared" si="10"/>
        <v>-2.5506227566142899E-2</v>
      </c>
      <c r="E62">
        <v>-0.176277999853937</v>
      </c>
      <c r="F62" s="11">
        <f t="shared" si="12"/>
        <v>1.3340942204479418E-2</v>
      </c>
      <c r="G62" s="11">
        <f t="shared" si="11"/>
        <v>-2.3517146079726045E-3</v>
      </c>
      <c r="J62">
        <v>-21.7028965931747</v>
      </c>
      <c r="K62">
        <f t="shared" si="2"/>
        <v>-2.17028965931747E-2</v>
      </c>
      <c r="L62">
        <v>1.5580022332333901E-2</v>
      </c>
      <c r="M62">
        <f t="shared" si="7"/>
        <v>4.1713363469250003E-3</v>
      </c>
      <c r="N62">
        <f t="shared" si="3"/>
        <v>6.4989513440767615E-5</v>
      </c>
    </row>
    <row r="63" spans="1:31" x14ac:dyDescent="0.3">
      <c r="A63">
        <v>60</v>
      </c>
      <c r="C63">
        <f>-25.4691180373426</f>
        <v>-25.4691180373426</v>
      </c>
      <c r="D63">
        <f t="shared" si="10"/>
        <v>-2.54691180373426E-2</v>
      </c>
      <c r="E63">
        <v>-0.17688359218420799</v>
      </c>
      <c r="F63" s="11">
        <f t="shared" si="12"/>
        <v>1.2826428384715663E-2</v>
      </c>
      <c r="G63" s="11">
        <f t="shared" si="11"/>
        <v>-2.2687847275819949E-3</v>
      </c>
      <c r="J63">
        <v>-21.602784520848498</v>
      </c>
      <c r="K63">
        <f t="shared" si="2"/>
        <v>-2.16027845208485E-2</v>
      </c>
      <c r="L63">
        <v>1.5525552624858E-2</v>
      </c>
      <c r="M63">
        <f t="shared" si="7"/>
        <v>4.3304210500146045E-3</v>
      </c>
      <c r="N63">
        <f t="shared" si="3"/>
        <v>6.7232179899794574E-5</v>
      </c>
    </row>
    <row r="64" spans="1:31" x14ac:dyDescent="0.3">
      <c r="A64">
        <v>61</v>
      </c>
      <c r="C64">
        <f>-25.4354553164439</f>
        <v>-25.4354553164439</v>
      </c>
      <c r="D64">
        <f t="shared" si="10"/>
        <v>-2.5435455316443898E-2</v>
      </c>
      <c r="E64">
        <v>-0.177628681232646</v>
      </c>
      <c r="F64" s="11">
        <f t="shared" si="12"/>
        <v>1.229239949697563E-2</v>
      </c>
      <c r="G64" s="11">
        <f t="shared" si="11"/>
        <v>-2.183482711832622E-3</v>
      </c>
      <c r="J64">
        <v>-21.495036382774</v>
      </c>
      <c r="K64">
        <f t="shared" si="2"/>
        <v>-2.1495036382773999E-2</v>
      </c>
      <c r="L64">
        <v>1.5475498493791699E-2</v>
      </c>
      <c r="M64">
        <f t="shared" si="7"/>
        <v>4.4895057531041359E-3</v>
      </c>
      <c r="N64">
        <f t="shared" si="3"/>
        <v>6.9477339520032219E-5</v>
      </c>
    </row>
    <row r="65" spans="1:14" x14ac:dyDescent="0.3">
      <c r="A65">
        <v>62</v>
      </c>
      <c r="C65">
        <f>-25.4017925955452</f>
        <v>-25.401792595545199</v>
      </c>
      <c r="D65">
        <f t="shared" si="10"/>
        <v>-2.5401792595545199E-2</v>
      </c>
      <c r="E65">
        <v>-0.178376897971354</v>
      </c>
      <c r="F65" s="11">
        <f t="shared" si="12"/>
        <v>1.2383053799257797E-2</v>
      </c>
      <c r="G65" s="11">
        <f t="shared" si="11"/>
        <v>-2.2088507241239956E-3</v>
      </c>
      <c r="J65">
        <v>-21.387288244699501</v>
      </c>
      <c r="K65">
        <f t="shared" si="2"/>
        <v>-2.1387288244699501E-2</v>
      </c>
      <c r="L65">
        <v>1.54256057364361E-2</v>
      </c>
      <c r="M65">
        <f t="shared" si="7"/>
        <v>4.4895057531041359E-3</v>
      </c>
      <c r="N65">
        <f t="shared" si="3"/>
        <v>6.9253345698846037E-5</v>
      </c>
    </row>
    <row r="66" spans="1:14" x14ac:dyDescent="0.3">
      <c r="A66">
        <v>63</v>
      </c>
      <c r="C66">
        <f>-25.3681298746464</f>
        <v>-25.368129874646399</v>
      </c>
      <c r="D66">
        <f t="shared" si="10"/>
        <v>-2.53681298746464E-2</v>
      </c>
      <c r="E66">
        <v>-0.17912825548904801</v>
      </c>
      <c r="F66" s="11">
        <f t="shared" si="12"/>
        <v>1.2473708101523217E-2</v>
      </c>
      <c r="G66" s="11">
        <f t="shared" si="11"/>
        <v>-2.2343935717054589E-3</v>
      </c>
      <c r="J66">
        <v>-21.279540106624999</v>
      </c>
      <c r="K66">
        <f t="shared" si="2"/>
        <v>-2.1279540106625E-2</v>
      </c>
      <c r="L66">
        <v>1.53758738325249E-2</v>
      </c>
      <c r="M66">
        <f t="shared" si="7"/>
        <v>4.4895057531041359E-3</v>
      </c>
      <c r="N66">
        <f t="shared" si="3"/>
        <v>6.9030074030123877E-5</v>
      </c>
    </row>
    <row r="67" spans="1:14" x14ac:dyDescent="0.3">
      <c r="A67">
        <v>64</v>
      </c>
      <c r="C67">
        <f>-25.3344671537477</f>
        <v>-25.334467153747699</v>
      </c>
      <c r="D67">
        <f t="shared" ref="D67:D79" si="16">C67/1000</f>
        <v>-2.5334467153747698E-2</v>
      </c>
      <c r="E67">
        <v>-0.17988276692906599</v>
      </c>
      <c r="F67" s="11">
        <f t="shared" si="12"/>
        <v>1.1980857346327291E-2</v>
      </c>
      <c r="G67" s="11">
        <f t="shared" ref="G67:G79" si="17">E67*F67</f>
        <v>-2.1551497696397802E-3</v>
      </c>
      <c r="J67">
        <v>-21.171791968550501</v>
      </c>
      <c r="K67">
        <f t="shared" ref="K67:K130" si="18">J67/1000</f>
        <v>-2.1171791968550503E-2</v>
      </c>
      <c r="L67">
        <v>1.5326302263469101E-2</v>
      </c>
      <c r="M67">
        <f t="shared" si="7"/>
        <v>4.5791040022292078E-3</v>
      </c>
      <c r="N67">
        <f t="shared" ref="N67:N130" si="19">M67*L67</f>
        <v>7.0180732034025921E-5</v>
      </c>
    </row>
    <row r="68" spans="1:14" x14ac:dyDescent="0.3">
      <c r="A68">
        <v>65</v>
      </c>
      <c r="C68">
        <f>-25.3039311124624</f>
        <v>-25.303931112462401</v>
      </c>
      <c r="D68">
        <f t="shared" si="16"/>
        <v>-2.5303931112462402E-2</v>
      </c>
      <c r="E68">
        <v>-0.18081811441648901</v>
      </c>
      <c r="F68" s="11">
        <f t="shared" ref="F68:F78" si="20">((D68-D$3)/Y$6)*(((D69-D$3)/Y$6)-((D67-D$3)/Y$6))</f>
        <v>1.1471948274276587E-2</v>
      </c>
      <c r="G68" s="11">
        <f t="shared" si="17"/>
        <v>-2.0743360556381876E-3</v>
      </c>
      <c r="J68">
        <v>-21.059743114518</v>
      </c>
      <c r="K68">
        <f t="shared" si="18"/>
        <v>-2.1059743114517998E-2</v>
      </c>
      <c r="L68">
        <v>1.52813489292557E-2</v>
      </c>
      <c r="M68">
        <f t="shared" ref="M68:M131" si="21">$X$12*(K69-K67)</f>
        <v>4.6687022513542797E-3</v>
      </c>
      <c r="N68">
        <f t="shared" si="19"/>
        <v>7.1344068149746398E-5</v>
      </c>
    </row>
    <row r="69" spans="1:14" x14ac:dyDescent="0.3">
      <c r="A69">
        <v>66</v>
      </c>
      <c r="C69">
        <f>-25.2733950711771</f>
        <v>-25.273395071177099</v>
      </c>
      <c r="D69">
        <f t="shared" si="16"/>
        <v>-2.52733950711771E-2</v>
      </c>
      <c r="E69">
        <v>-0.18175830825863301</v>
      </c>
      <c r="F69" s="11">
        <f t="shared" si="20"/>
        <v>1.1546544259667425E-2</v>
      </c>
      <c r="G69" s="11">
        <f t="shared" si="17"/>
        <v>-2.0986803508705812E-3</v>
      </c>
      <c r="J69">
        <v>-20.947694260485498</v>
      </c>
      <c r="K69">
        <f t="shared" si="18"/>
        <v>-2.0947694260485497E-2</v>
      </c>
      <c r="L69">
        <v>1.5236527446954201E-2</v>
      </c>
      <c r="M69">
        <f t="shared" si="21"/>
        <v>4.6687022513561584E-3</v>
      </c>
      <c r="N69">
        <f t="shared" si="19"/>
        <v>7.1134809994444971E-5</v>
      </c>
    </row>
    <row r="70" spans="1:14" x14ac:dyDescent="0.3">
      <c r="A70">
        <v>67</v>
      </c>
      <c r="C70">
        <f>-25.2428590298918</f>
        <v>-25.2428590298918</v>
      </c>
      <c r="D70">
        <f t="shared" si="16"/>
        <v>-2.52428590298918E-2</v>
      </c>
      <c r="E70">
        <v>-0.18270337348687399</v>
      </c>
      <c r="F70" s="11">
        <f t="shared" si="20"/>
        <v>1.1621140245057629E-2</v>
      </c>
      <c r="G70" s="11">
        <f t="shared" si="17"/>
        <v>-2.1232215265361062E-3</v>
      </c>
      <c r="J70">
        <v>-20.835645406452901</v>
      </c>
      <c r="K70">
        <f t="shared" si="18"/>
        <v>-2.0835645406452902E-2</v>
      </c>
      <c r="L70">
        <v>1.5191837429832E-2</v>
      </c>
      <c r="M70">
        <f t="shared" si="21"/>
        <v>4.6687022513561584E-3</v>
      </c>
      <c r="N70">
        <f t="shared" si="19"/>
        <v>7.0926165610893412E-5</v>
      </c>
    </row>
    <row r="71" spans="1:14" x14ac:dyDescent="0.3">
      <c r="A71">
        <v>68</v>
      </c>
      <c r="C71">
        <f>-25.2123229886065</f>
        <v>-25.212322988606498</v>
      </c>
      <c r="D71">
        <f t="shared" si="16"/>
        <v>-2.5212322988606498E-2</v>
      </c>
      <c r="E71">
        <v>-0.18365333526151401</v>
      </c>
      <c r="F71" s="11">
        <f t="shared" si="20"/>
        <v>1.1152571613682747E-2</v>
      </c>
      <c r="G71" s="11">
        <f t="shared" si="17"/>
        <v>-2.0482069735957217E-3</v>
      </c>
      <c r="J71">
        <v>-20.7235965524204</v>
      </c>
      <c r="K71">
        <f t="shared" si="18"/>
        <v>-2.0723596552420401E-2</v>
      </c>
      <c r="L71">
        <v>1.51472784922905E-2</v>
      </c>
      <c r="M71">
        <f t="shared" si="21"/>
        <v>4.6690571569771092E-3</v>
      </c>
      <c r="N71">
        <f t="shared" si="19"/>
        <v>7.07235090531544E-5</v>
      </c>
    </row>
    <row r="72" spans="1:14" x14ac:dyDescent="0.3">
      <c r="A72">
        <v>69</v>
      </c>
      <c r="C72">
        <f>-25.1846232112101</f>
        <v>-25.184623211210099</v>
      </c>
      <c r="D72">
        <f t="shared" si="16"/>
        <v>-2.5184623211210098E-2</v>
      </c>
      <c r="E72">
        <v>-0.18491764324395699</v>
      </c>
      <c r="F72" s="11">
        <f t="shared" si="20"/>
        <v>1.0670789210321618E-2</v>
      </c>
      <c r="G72" s="11">
        <f t="shared" si="17"/>
        <v>-1.9732171923257185E-3</v>
      </c>
      <c r="J72">
        <v>-20.611530662918</v>
      </c>
      <c r="K72">
        <f t="shared" si="18"/>
        <v>-2.0611530662918001E-2</v>
      </c>
      <c r="L72">
        <v>1.5108767635778101E-2</v>
      </c>
      <c r="M72">
        <f t="shared" si="21"/>
        <v>4.6694120626000115E-3</v>
      </c>
      <c r="N72">
        <f t="shared" si="19"/>
        <v>7.0549061849522918E-5</v>
      </c>
    </row>
    <row r="73" spans="1:14" x14ac:dyDescent="0.3">
      <c r="A73">
        <v>70</v>
      </c>
      <c r="C73">
        <f>-25.1569234338138</f>
        <v>-25.156923433813802</v>
      </c>
      <c r="D73">
        <f t="shared" si="16"/>
        <v>-2.5156923433813802E-2</v>
      </c>
      <c r="E73">
        <v>-0.186190623548875</v>
      </c>
      <c r="F73" s="11">
        <f t="shared" si="20"/>
        <v>1.0732171423726507E-2</v>
      </c>
      <c r="G73" s="11">
        <f t="shared" si="17"/>
        <v>-1.9982296894170558E-3</v>
      </c>
      <c r="J73">
        <v>-20.4994647734156</v>
      </c>
      <c r="K73">
        <f t="shared" si="18"/>
        <v>-2.0499464773415601E-2</v>
      </c>
      <c r="L73">
        <v>1.5070354690324099E-2</v>
      </c>
      <c r="M73">
        <f t="shared" si="21"/>
        <v>4.6694120626000115E-3</v>
      </c>
      <c r="N73">
        <f t="shared" si="19"/>
        <v>7.0369695978660015E-5</v>
      </c>
    </row>
    <row r="74" spans="1:14" x14ac:dyDescent="0.3">
      <c r="A74">
        <v>71</v>
      </c>
      <c r="C74">
        <f>-25.1292236564175</f>
        <v>-25.129223656417501</v>
      </c>
      <c r="D74">
        <f t="shared" si="16"/>
        <v>-2.5129223656417503E-2</v>
      </c>
      <c r="E74">
        <v>-0.18747233547151099</v>
      </c>
      <c r="F74" s="11">
        <f t="shared" si="20"/>
        <v>1.0793553637171197E-2</v>
      </c>
      <c r="G74" s="11">
        <f t="shared" si="17"/>
        <v>-2.023492708397506E-3</v>
      </c>
      <c r="J74">
        <v>-20.3873988839132</v>
      </c>
      <c r="K74">
        <f t="shared" si="18"/>
        <v>-2.0387398883913201E-2</v>
      </c>
      <c r="L74">
        <v>1.50320394069968E-2</v>
      </c>
      <c r="M74">
        <f t="shared" si="21"/>
        <v>4.6694120625979879E-3</v>
      </c>
      <c r="N74">
        <f t="shared" si="19"/>
        <v>7.0190786132479159E-5</v>
      </c>
    </row>
    <row r="75" spans="1:14" x14ac:dyDescent="0.3">
      <c r="A75">
        <v>72</v>
      </c>
      <c r="C75">
        <f>-25.1015238790211</f>
        <v>-25.101523879021101</v>
      </c>
      <c r="D75">
        <f t="shared" si="16"/>
        <v>-2.5101523879021103E-2</v>
      </c>
      <c r="E75">
        <v>-0.18876283871135899</v>
      </c>
      <c r="F75" s="11">
        <f t="shared" si="20"/>
        <v>1.0400590896253333E-2</v>
      </c>
      <c r="G75" s="11">
        <f t="shared" si="17"/>
        <v>-1.9632450618522965E-3</v>
      </c>
      <c r="J75">
        <v>-20.275332994410899</v>
      </c>
      <c r="K75">
        <f t="shared" si="18"/>
        <v>-2.0275332994410897E-2</v>
      </c>
      <c r="L75">
        <v>1.49938215374972E-2</v>
      </c>
      <c r="M75">
        <f t="shared" si="21"/>
        <v>4.669412062597916E-3</v>
      </c>
      <c r="N75">
        <f t="shared" si="19"/>
        <v>7.001233115162986E-5</v>
      </c>
    </row>
    <row r="76" spans="1:14" x14ac:dyDescent="0.3">
      <c r="A76">
        <v>73</v>
      </c>
      <c r="C76">
        <f>-25.0761429092658</f>
        <v>-25.076142909265801</v>
      </c>
      <c r="D76">
        <f t="shared" si="16"/>
        <v>-2.5076142909265801E-2</v>
      </c>
      <c r="E76">
        <v>-0.190836662254004</v>
      </c>
      <c r="F76" s="11">
        <f t="shared" si="20"/>
        <v>9.9977814319477786E-3</v>
      </c>
      <c r="G76" s="11">
        <f t="shared" si="17"/>
        <v>-1.9079432384179707E-3</v>
      </c>
      <c r="J76">
        <v>-20.163267104908499</v>
      </c>
      <c r="K76">
        <f t="shared" si="18"/>
        <v>-2.0163267104908501E-2</v>
      </c>
      <c r="L76">
        <v>1.4960127796619699E-2</v>
      </c>
      <c r="M76">
        <f t="shared" si="21"/>
        <v>4.6694120625999395E-3</v>
      </c>
      <c r="N76">
        <f t="shared" si="19"/>
        <v>6.985500119157268E-5</v>
      </c>
    </row>
    <row r="77" spans="1:14" x14ac:dyDescent="0.3">
      <c r="A77">
        <v>74</v>
      </c>
      <c r="C77">
        <f>-25.0507619395105</f>
        <v>-25.050761939510501</v>
      </c>
      <c r="D77">
        <f t="shared" si="16"/>
        <v>-2.5050761939510502E-2</v>
      </c>
      <c r="E77">
        <v>-0.19293318602749801</v>
      </c>
      <c r="F77" s="11">
        <f t="shared" si="20"/>
        <v>1.0049316922005225E-2</v>
      </c>
      <c r="G77" s="11">
        <f t="shared" si="17"/>
        <v>-1.9388467311625178E-3</v>
      </c>
      <c r="J77">
        <v>-20.051201215406099</v>
      </c>
      <c r="K77">
        <f t="shared" si="18"/>
        <v>-2.00512012154061E-2</v>
      </c>
      <c r="L77">
        <v>1.49265097714742E-2</v>
      </c>
      <c r="M77">
        <f t="shared" si="21"/>
        <v>4.6694120626000115E-3</v>
      </c>
      <c r="N77">
        <f t="shared" si="19"/>
        <v>6.9698024779438574E-5</v>
      </c>
    </row>
    <row r="78" spans="1:14" x14ac:dyDescent="0.3">
      <c r="A78">
        <v>75</v>
      </c>
      <c r="C78">
        <f>-25.0253809697552</f>
        <v>-25.025380969755201</v>
      </c>
      <c r="D78">
        <f t="shared" si="16"/>
        <v>-2.50253809697552E-2</v>
      </c>
      <c r="E78">
        <v>-0.195052657699572</v>
      </c>
      <c r="F78" s="11">
        <f t="shared" si="20"/>
        <v>1.0100852412042793E-2</v>
      </c>
      <c r="G78" s="11">
        <f t="shared" si="17"/>
        <v>-1.9701981080000792E-3</v>
      </c>
      <c r="J78">
        <v>-19.939135325903699</v>
      </c>
      <c r="K78">
        <f t="shared" si="18"/>
        <v>-1.99391353259037E-2</v>
      </c>
      <c r="L78">
        <v>1.48929672919143E-2</v>
      </c>
      <c r="M78">
        <f t="shared" si="21"/>
        <v>4.6694120626000115E-3</v>
      </c>
      <c r="N78">
        <f t="shared" si="19"/>
        <v>6.9541401120772059E-5</v>
      </c>
    </row>
    <row r="79" spans="1:14" x14ac:dyDescent="0.3">
      <c r="A79">
        <v>76</v>
      </c>
      <c r="C79">
        <f>-25</f>
        <v>-25</v>
      </c>
      <c r="D79">
        <f t="shared" si="16"/>
        <v>-2.5000000000000001E-2</v>
      </c>
      <c r="E79">
        <v>-9.9583640454267403E-2</v>
      </c>
      <c r="F79" s="11">
        <f>((D79-D$3)/Y$6)*(((D79-D$3)/Y$6)-((D78-D$3)/Y$6))</f>
        <v>5.0761939510396399E-3</v>
      </c>
      <c r="G79" s="11">
        <f t="shared" si="17"/>
        <v>-5.0550587329645854E-4</v>
      </c>
      <c r="J79">
        <v>-19.827069436401299</v>
      </c>
      <c r="K79">
        <f t="shared" si="18"/>
        <v>-1.98270694364013E-2</v>
      </c>
      <c r="L79">
        <v>1.4859500188175801E-2</v>
      </c>
      <c r="M79">
        <f t="shared" si="21"/>
        <v>4.6694120626000115E-3</v>
      </c>
      <c r="N79">
        <f t="shared" si="19"/>
        <v>6.9385129422875222E-5</v>
      </c>
    </row>
    <row r="80" spans="1:14" x14ac:dyDescent="0.3">
      <c r="A80">
        <v>77</v>
      </c>
      <c r="E80" s="11"/>
      <c r="F80" s="11"/>
      <c r="G80" s="11"/>
      <c r="J80">
        <v>-19.715003546898899</v>
      </c>
      <c r="K80">
        <f t="shared" si="18"/>
        <v>-1.9715003546898899E-2</v>
      </c>
      <c r="L80">
        <v>1.4830003920985799E-2</v>
      </c>
      <c r="M80">
        <f t="shared" si="21"/>
        <v>4.6694120626000115E-3</v>
      </c>
      <c r="N80">
        <f t="shared" si="19"/>
        <v>6.9247399197056565E-5</v>
      </c>
    </row>
    <row r="81" spans="1:14" x14ac:dyDescent="0.3">
      <c r="A81">
        <v>78</v>
      </c>
      <c r="E81" s="11"/>
      <c r="F81" s="11"/>
      <c r="G81" s="11"/>
      <c r="J81">
        <v>-19.602937657396499</v>
      </c>
      <c r="K81">
        <f t="shared" si="18"/>
        <v>-1.9602937657396499E-2</v>
      </c>
      <c r="L81">
        <v>1.4800566204202399E-2</v>
      </c>
      <c r="M81">
        <f t="shared" si="21"/>
        <v>4.6694120626000115E-3</v>
      </c>
      <c r="N81">
        <f t="shared" si="19"/>
        <v>6.9109942367212752E-5</v>
      </c>
    </row>
    <row r="82" spans="1:14" x14ac:dyDescent="0.3">
      <c r="A82">
        <v>79</v>
      </c>
      <c r="E82" s="11"/>
      <c r="F82" s="11"/>
      <c r="G82" s="11"/>
      <c r="J82">
        <v>-19.490871767894099</v>
      </c>
      <c r="K82">
        <f t="shared" si="18"/>
        <v>-1.9490871767894099E-2</v>
      </c>
      <c r="L82">
        <v>1.47711869216025E-2</v>
      </c>
      <c r="M82">
        <f t="shared" si="21"/>
        <v>4.6694120626000115E-3</v>
      </c>
      <c r="N82">
        <f t="shared" si="19"/>
        <v>6.8972758390650236E-5</v>
      </c>
    </row>
    <row r="83" spans="1:14" x14ac:dyDescent="0.3">
      <c r="A83">
        <v>80</v>
      </c>
      <c r="E83" s="11"/>
      <c r="F83" s="11"/>
      <c r="G83" s="11"/>
      <c r="J83">
        <v>-19.378805878391699</v>
      </c>
      <c r="K83">
        <f t="shared" si="18"/>
        <v>-1.9378805878391699E-2</v>
      </c>
      <c r="L83">
        <v>1.47418659571935E-2</v>
      </c>
      <c r="M83">
        <f t="shared" si="21"/>
        <v>4.6694120626000115E-3</v>
      </c>
      <c r="N83">
        <f t="shared" si="19"/>
        <v>6.8835846725751797E-5</v>
      </c>
    </row>
    <row r="84" spans="1:14" x14ac:dyDescent="0.3">
      <c r="A84">
        <v>81</v>
      </c>
      <c r="E84" s="11"/>
      <c r="F84" s="11"/>
      <c r="G84" s="11"/>
      <c r="J84">
        <v>-19.266739988889299</v>
      </c>
      <c r="K84">
        <f t="shared" si="18"/>
        <v>-1.9266739988889298E-2</v>
      </c>
      <c r="L84">
        <v>1.47152114470703E-2</v>
      </c>
      <c r="M84">
        <f t="shared" si="21"/>
        <v>4.6694120625978431E-3</v>
      </c>
      <c r="N84">
        <f t="shared" si="19"/>
        <v>6.8711385834627919E-5</v>
      </c>
    </row>
    <row r="85" spans="1:14" x14ac:dyDescent="0.3">
      <c r="A85">
        <v>82</v>
      </c>
      <c r="E85" s="11"/>
      <c r="F85" s="11"/>
      <c r="G85" s="11"/>
      <c r="J85">
        <v>-19.154674099387002</v>
      </c>
      <c r="K85">
        <f t="shared" si="18"/>
        <v>-1.9154674099387002E-2</v>
      </c>
      <c r="L85">
        <v>1.46886051305008E-2</v>
      </c>
      <c r="M85">
        <f t="shared" si="21"/>
        <v>4.6694120625978431E-3</v>
      </c>
      <c r="N85">
        <f t="shared" si="19"/>
        <v>6.8587149979096998E-5</v>
      </c>
    </row>
    <row r="86" spans="1:14" x14ac:dyDescent="0.3">
      <c r="A86">
        <v>83</v>
      </c>
      <c r="E86" s="11"/>
      <c r="F86" s="11"/>
      <c r="G86" s="11"/>
      <c r="J86">
        <v>-19.042608209884602</v>
      </c>
      <c r="K86">
        <f t="shared" si="18"/>
        <v>-1.9042608209884602E-2</v>
      </c>
      <c r="L86">
        <v>1.4662046920347199E-2</v>
      </c>
      <c r="M86">
        <f t="shared" si="21"/>
        <v>4.6694120626000115E-3</v>
      </c>
      <c r="N86">
        <f t="shared" si="19"/>
        <v>6.8463138752276567E-5</v>
      </c>
    </row>
    <row r="87" spans="1:14" x14ac:dyDescent="0.3">
      <c r="A87">
        <v>84</v>
      </c>
      <c r="E87" s="11"/>
      <c r="F87" s="11"/>
      <c r="G87" s="11"/>
      <c r="J87">
        <v>-18.930542320382202</v>
      </c>
      <c r="K87">
        <f t="shared" si="18"/>
        <v>-1.8930542320382202E-2</v>
      </c>
      <c r="L87">
        <v>1.46355367296291E-2</v>
      </c>
      <c r="M87">
        <f t="shared" si="21"/>
        <v>4.6694120626000115E-3</v>
      </c>
      <c r="N87">
        <f t="shared" si="19"/>
        <v>6.8339351747955643E-5</v>
      </c>
    </row>
    <row r="88" spans="1:14" x14ac:dyDescent="0.3">
      <c r="A88">
        <v>85</v>
      </c>
      <c r="E88" s="11"/>
      <c r="F88" s="11"/>
      <c r="G88" s="11"/>
      <c r="J88">
        <v>-18.818476430879802</v>
      </c>
      <c r="K88">
        <f t="shared" si="18"/>
        <v>-1.8818476430879801E-2</v>
      </c>
      <c r="L88">
        <v>1.4611865376405299E-2</v>
      </c>
      <c r="M88">
        <f t="shared" si="21"/>
        <v>4.6694120626000115E-3</v>
      </c>
      <c r="N88">
        <f t="shared" si="19"/>
        <v>6.8228820445674355E-5</v>
      </c>
    </row>
    <row r="89" spans="1:14" x14ac:dyDescent="0.3">
      <c r="A89">
        <v>86</v>
      </c>
      <c r="E89" s="11"/>
      <c r="F89" s="11"/>
      <c r="G89" s="11"/>
      <c r="J89">
        <v>-18.706410541377402</v>
      </c>
      <c r="K89">
        <f t="shared" si="18"/>
        <v>-1.8706410541377401E-2</v>
      </c>
      <c r="L89">
        <v>1.45882323089632E-2</v>
      </c>
      <c r="M89">
        <f t="shared" si="21"/>
        <v>4.6694120626000115E-3</v>
      </c>
      <c r="N89">
        <f t="shared" si="19"/>
        <v>6.8118467915483989E-5</v>
      </c>
    </row>
    <row r="90" spans="1:14" x14ac:dyDescent="0.3">
      <c r="A90">
        <v>87</v>
      </c>
      <c r="E90" s="11"/>
      <c r="F90" s="11"/>
      <c r="G90" s="11"/>
      <c r="J90">
        <v>-18.594344651875002</v>
      </c>
      <c r="K90">
        <f t="shared" si="18"/>
        <v>-1.8594344651875001E-2</v>
      </c>
      <c r="L90">
        <v>1.45646374653797E-2</v>
      </c>
      <c r="M90">
        <f t="shared" si="21"/>
        <v>4.6694120626000115E-3</v>
      </c>
      <c r="N90">
        <f t="shared" si="19"/>
        <v>6.8008293868240035E-5</v>
      </c>
    </row>
    <row r="91" spans="1:14" x14ac:dyDescent="0.3">
      <c r="A91">
        <v>88</v>
      </c>
      <c r="E91" s="11"/>
      <c r="F91" s="11"/>
      <c r="G91" s="11"/>
      <c r="J91">
        <v>-18.482278762372601</v>
      </c>
      <c r="K91">
        <f t="shared" si="18"/>
        <v>-1.84822787623726E-2</v>
      </c>
      <c r="L91">
        <v>1.45410807838321E-2</v>
      </c>
      <c r="M91">
        <f t="shared" si="21"/>
        <v>4.6694120626000115E-3</v>
      </c>
      <c r="N91">
        <f t="shared" si="19"/>
        <v>6.7898298015266835E-5</v>
      </c>
    </row>
    <row r="92" spans="1:14" x14ac:dyDescent="0.3">
      <c r="A92">
        <v>89</v>
      </c>
      <c r="E92" s="11"/>
      <c r="F92" s="11"/>
      <c r="G92" s="11"/>
      <c r="J92">
        <v>-18.370212872870201</v>
      </c>
      <c r="K92">
        <f t="shared" si="18"/>
        <v>-1.83702128728702E-2</v>
      </c>
      <c r="L92">
        <v>1.4519557817010399E-2</v>
      </c>
      <c r="M92">
        <f t="shared" si="21"/>
        <v>4.6694120626000115E-3</v>
      </c>
      <c r="N92">
        <f t="shared" si="19"/>
        <v>6.7797798414366645E-5</v>
      </c>
    </row>
    <row r="93" spans="1:14" x14ac:dyDescent="0.3">
      <c r="A93">
        <v>90</v>
      </c>
      <c r="E93" s="11"/>
      <c r="F93" s="11"/>
      <c r="G93" s="11"/>
      <c r="J93">
        <v>-18.258146983367801</v>
      </c>
      <c r="K93">
        <f t="shared" si="18"/>
        <v>-1.82581469833678E-2</v>
      </c>
      <c r="L93">
        <v>1.4498066707387401E-2</v>
      </c>
      <c r="M93">
        <f t="shared" si="21"/>
        <v>4.6694120625999395E-3</v>
      </c>
      <c r="N93">
        <f t="shared" si="19"/>
        <v>6.7697447567853316E-5</v>
      </c>
    </row>
    <row r="94" spans="1:14" x14ac:dyDescent="0.3">
      <c r="A94">
        <v>91</v>
      </c>
      <c r="E94" s="11"/>
      <c r="F94" s="11"/>
      <c r="G94" s="11"/>
      <c r="J94">
        <v>-18.146081093865401</v>
      </c>
      <c r="K94">
        <f t="shared" si="18"/>
        <v>-1.8146081093865403E-2</v>
      </c>
      <c r="L94">
        <v>1.4476607407809801E-2</v>
      </c>
      <c r="M94">
        <f t="shared" si="21"/>
        <v>4.669412062597916E-3</v>
      </c>
      <c r="N94">
        <f t="shared" si="19"/>
        <v>6.7597245255521428E-5</v>
      </c>
    </row>
    <row r="95" spans="1:14" x14ac:dyDescent="0.3">
      <c r="A95">
        <v>92</v>
      </c>
      <c r="E95" s="11"/>
      <c r="F95" s="11"/>
      <c r="G95" s="11"/>
      <c r="J95">
        <v>-18.034015204363101</v>
      </c>
      <c r="K95">
        <f t="shared" si="18"/>
        <v>-1.80340152043631E-2</v>
      </c>
      <c r="L95">
        <v>1.4455179871193999E-2</v>
      </c>
      <c r="M95">
        <f t="shared" si="21"/>
        <v>4.6694120625979879E-3</v>
      </c>
      <c r="N95">
        <f t="shared" si="19"/>
        <v>6.7497191257576895E-5</v>
      </c>
    </row>
    <row r="96" spans="1:14" x14ac:dyDescent="0.3">
      <c r="A96">
        <v>93</v>
      </c>
      <c r="E96" s="11"/>
      <c r="F96" s="11"/>
      <c r="G96" s="11"/>
      <c r="J96">
        <v>-17.921949314860701</v>
      </c>
      <c r="K96">
        <f t="shared" si="18"/>
        <v>-1.79219493148607E-2</v>
      </c>
      <c r="L96">
        <v>1.44355885616933E-2</v>
      </c>
      <c r="M96">
        <f t="shared" si="21"/>
        <v>4.6694120626000115E-3</v>
      </c>
      <c r="N96">
        <f t="shared" si="19"/>
        <v>6.7405711360701446E-5</v>
      </c>
    </row>
    <row r="97" spans="1:14" x14ac:dyDescent="0.3">
      <c r="A97">
        <v>94</v>
      </c>
      <c r="E97" s="11"/>
      <c r="F97" s="11"/>
      <c r="G97" s="11"/>
      <c r="J97">
        <v>-17.809883425358301</v>
      </c>
      <c r="K97">
        <f t="shared" si="18"/>
        <v>-1.7809883425358299E-2</v>
      </c>
      <c r="L97">
        <v>1.4416023804571101E-2</v>
      </c>
      <c r="M97">
        <f t="shared" si="21"/>
        <v>4.6694120626000115E-3</v>
      </c>
      <c r="N97">
        <f t="shared" si="19"/>
        <v>6.7314355447793214E-5</v>
      </c>
    </row>
    <row r="98" spans="1:14" x14ac:dyDescent="0.3">
      <c r="A98">
        <v>95</v>
      </c>
      <c r="E98" s="11"/>
      <c r="F98" s="11"/>
      <c r="G98" s="11"/>
      <c r="J98">
        <v>-17.697817535855901</v>
      </c>
      <c r="K98">
        <f t="shared" si="18"/>
        <v>-1.7697817535855899E-2</v>
      </c>
      <c r="L98">
        <v>1.43964855638407E-2</v>
      </c>
      <c r="M98">
        <f t="shared" si="21"/>
        <v>4.6694120625999395E-3</v>
      </c>
      <c r="N98">
        <f t="shared" si="19"/>
        <v>6.7223123350843662E-5</v>
      </c>
    </row>
    <row r="99" spans="1:14" x14ac:dyDescent="0.3">
      <c r="A99">
        <v>96</v>
      </c>
      <c r="E99" s="11"/>
      <c r="F99" s="11"/>
      <c r="G99" s="11"/>
      <c r="J99">
        <v>-17.585751646353501</v>
      </c>
      <c r="K99">
        <f t="shared" si="18"/>
        <v>-1.7585751646353502E-2</v>
      </c>
      <c r="L99">
        <v>1.4376973803563901E-2</v>
      </c>
      <c r="M99">
        <f t="shared" si="21"/>
        <v>4.6694120625999395E-3</v>
      </c>
      <c r="N99">
        <f t="shared" si="19"/>
        <v>6.7132014902044612E-5</v>
      </c>
    </row>
    <row r="100" spans="1:14" x14ac:dyDescent="0.3">
      <c r="A100">
        <v>97</v>
      </c>
      <c r="E100" s="11"/>
      <c r="F100" s="11"/>
      <c r="G100" s="11"/>
      <c r="J100">
        <v>-17.473685756851101</v>
      </c>
      <c r="K100">
        <f t="shared" si="18"/>
        <v>-1.7473685756851102E-2</v>
      </c>
      <c r="L100">
        <v>1.4358806014464201E-2</v>
      </c>
      <c r="M100">
        <f t="shared" si="21"/>
        <v>4.6694120626000115E-3</v>
      </c>
      <c r="N100">
        <f t="shared" si="19"/>
        <v>6.704718200847273E-5</v>
      </c>
    </row>
    <row r="101" spans="1:14" x14ac:dyDescent="0.3">
      <c r="A101">
        <v>98</v>
      </c>
      <c r="E101" s="11"/>
      <c r="F101" s="11"/>
      <c r="G101" s="11"/>
      <c r="J101">
        <v>-17.361619867348701</v>
      </c>
      <c r="K101">
        <f t="shared" si="18"/>
        <v>-1.7361619867348702E-2</v>
      </c>
      <c r="L101">
        <v>1.43406611835033E-2</v>
      </c>
      <c r="M101">
        <f t="shared" si="21"/>
        <v>4.6694120626000115E-3</v>
      </c>
      <c r="N101">
        <f t="shared" si="19"/>
        <v>6.6962456315910066E-5</v>
      </c>
    </row>
    <row r="102" spans="1:14" x14ac:dyDescent="0.3">
      <c r="A102">
        <v>99</v>
      </c>
      <c r="E102" s="11"/>
      <c r="F102" s="11"/>
      <c r="G102" s="11"/>
      <c r="J102">
        <v>-17.249553977846301</v>
      </c>
      <c r="K102">
        <f t="shared" si="18"/>
        <v>-1.7249553977846301E-2</v>
      </c>
      <c r="L102">
        <v>1.43225392816696E-2</v>
      </c>
      <c r="M102">
        <f t="shared" si="21"/>
        <v>4.6694120626000115E-3</v>
      </c>
      <c r="N102">
        <f t="shared" si="19"/>
        <v>6.6877837688890534E-5</v>
      </c>
    </row>
    <row r="103" spans="1:14" x14ac:dyDescent="0.3">
      <c r="A103">
        <v>100</v>
      </c>
      <c r="E103" s="11"/>
      <c r="F103" s="11"/>
      <c r="G103" s="11"/>
      <c r="J103">
        <v>-17.1374880883439</v>
      </c>
      <c r="K103">
        <f t="shared" si="18"/>
        <v>-1.7137488088343901E-2</v>
      </c>
      <c r="L103">
        <v>1.43044402799884E-2</v>
      </c>
      <c r="M103">
        <f t="shared" si="21"/>
        <v>4.6694120626000115E-3</v>
      </c>
      <c r="N103">
        <f t="shared" si="19"/>
        <v>6.6793325992119321E-5</v>
      </c>
    </row>
    <row r="104" spans="1:14" x14ac:dyDescent="0.3">
      <c r="A104">
        <v>101</v>
      </c>
      <c r="E104" s="11"/>
      <c r="F104" s="11"/>
      <c r="G104" s="11"/>
      <c r="J104">
        <v>-17.0254221988415</v>
      </c>
      <c r="K104">
        <f t="shared" si="18"/>
        <v>-1.7025422198841501E-2</v>
      </c>
      <c r="L104">
        <v>1.4287797131859299E-2</v>
      </c>
      <c r="M104">
        <f t="shared" si="21"/>
        <v>4.6694120626000115E-3</v>
      </c>
      <c r="N104">
        <f t="shared" si="19"/>
        <v>6.6715612275485657E-5</v>
      </c>
    </row>
    <row r="105" spans="1:14" x14ac:dyDescent="0.3">
      <c r="A105">
        <v>102</v>
      </c>
      <c r="E105" s="11"/>
      <c r="F105" s="11"/>
      <c r="G105" s="11"/>
      <c r="J105">
        <v>-16.9133563093391</v>
      </c>
      <c r="K105">
        <f t="shared" si="18"/>
        <v>-1.69133563093391E-2</v>
      </c>
      <c r="L105">
        <v>1.42711733479537E-2</v>
      </c>
      <c r="M105">
        <f t="shared" si="21"/>
        <v>4.669412062597916E-3</v>
      </c>
      <c r="N105">
        <f t="shared" si="19"/>
        <v>6.6637988978360895E-5</v>
      </c>
    </row>
    <row r="106" spans="1:14" x14ac:dyDescent="0.3">
      <c r="A106">
        <v>103</v>
      </c>
      <c r="E106" s="11"/>
      <c r="F106" s="11"/>
      <c r="G106" s="11"/>
      <c r="J106">
        <v>-16.8012904198368</v>
      </c>
      <c r="K106">
        <f t="shared" si="18"/>
        <v>-1.6801290419836801E-2</v>
      </c>
      <c r="L106">
        <v>1.42545689057416E-2</v>
      </c>
      <c r="M106">
        <f t="shared" si="21"/>
        <v>4.669412062597916E-3</v>
      </c>
      <c r="N106">
        <f t="shared" si="19"/>
        <v>6.6560455995602998E-5</v>
      </c>
    </row>
    <row r="107" spans="1:14" x14ac:dyDescent="0.3">
      <c r="A107">
        <v>104</v>
      </c>
      <c r="E107" s="11"/>
      <c r="F107" s="11"/>
      <c r="G107" s="11"/>
      <c r="J107">
        <v>-16.6892245303344</v>
      </c>
      <c r="K107">
        <f t="shared" si="18"/>
        <v>-1.66892245303344E-2</v>
      </c>
      <c r="L107">
        <v>1.4237983782718899E-2</v>
      </c>
      <c r="M107">
        <f t="shared" si="21"/>
        <v>4.6694120626000115E-3</v>
      </c>
      <c r="N107">
        <f t="shared" si="19"/>
        <v>6.6483013222130971E-5</v>
      </c>
    </row>
    <row r="108" spans="1:14" x14ac:dyDescent="0.3">
      <c r="A108">
        <v>105</v>
      </c>
      <c r="E108" s="11"/>
      <c r="F108" s="11"/>
      <c r="G108" s="11"/>
      <c r="J108">
        <v>-16.577158640832</v>
      </c>
      <c r="K108">
        <f t="shared" si="18"/>
        <v>-1.6577158640832E-2</v>
      </c>
      <c r="L108">
        <v>1.42222876766497E-2</v>
      </c>
      <c r="M108">
        <f t="shared" si="21"/>
        <v>4.6694120626000115E-3</v>
      </c>
      <c r="N108">
        <f t="shared" si="19"/>
        <v>6.6409721635115603E-5</v>
      </c>
    </row>
    <row r="109" spans="1:14" x14ac:dyDescent="0.3">
      <c r="A109">
        <v>106</v>
      </c>
      <c r="E109" s="11"/>
      <c r="F109" s="11"/>
      <c r="G109" s="11"/>
      <c r="J109">
        <v>-16.4650927513296</v>
      </c>
      <c r="K109">
        <f t="shared" si="18"/>
        <v>-1.64650927513296E-2</v>
      </c>
      <c r="L109">
        <v>1.42066088741362E-2</v>
      </c>
      <c r="M109">
        <f t="shared" si="21"/>
        <v>4.6694120626000115E-3</v>
      </c>
      <c r="N109">
        <f t="shared" si="19"/>
        <v>6.6336510845531942E-5</v>
      </c>
    </row>
    <row r="110" spans="1:14" x14ac:dyDescent="0.3">
      <c r="A110">
        <v>107</v>
      </c>
      <c r="E110" s="11"/>
      <c r="F110" s="11"/>
      <c r="G110" s="11"/>
      <c r="J110">
        <v>-16.3530268618272</v>
      </c>
      <c r="K110">
        <f t="shared" si="18"/>
        <v>-1.63530268618272E-2</v>
      </c>
      <c r="L110">
        <v>1.4190947356102801E-2</v>
      </c>
      <c r="M110">
        <f t="shared" si="21"/>
        <v>4.6694120626000115E-3</v>
      </c>
      <c r="N110">
        <f t="shared" si="19"/>
        <v>6.6263380764308157E-5</v>
      </c>
    </row>
    <row r="111" spans="1:14" x14ac:dyDescent="0.3">
      <c r="A111">
        <v>108</v>
      </c>
      <c r="E111" s="11"/>
      <c r="F111" s="11"/>
      <c r="G111" s="11"/>
      <c r="J111">
        <v>-16.2409609723248</v>
      </c>
      <c r="K111">
        <f t="shared" si="18"/>
        <v>-1.6240960972324799E-2</v>
      </c>
      <c r="L111">
        <v>1.41753031034949E-2</v>
      </c>
      <c r="M111">
        <f t="shared" si="21"/>
        <v>4.6694120626000115E-3</v>
      </c>
      <c r="N111">
        <f t="shared" si="19"/>
        <v>6.6190331302470472E-5</v>
      </c>
    </row>
    <row r="112" spans="1:14" x14ac:dyDescent="0.3">
      <c r="A112">
        <v>109</v>
      </c>
      <c r="E112" s="11"/>
      <c r="F112" s="11"/>
      <c r="G112" s="11"/>
      <c r="J112">
        <v>-16.1288950828224</v>
      </c>
      <c r="K112">
        <f t="shared" si="18"/>
        <v>-1.6128895082822399E-2</v>
      </c>
      <c r="L112">
        <v>1.4160747362337901E-2</v>
      </c>
      <c r="M112">
        <f t="shared" si="21"/>
        <v>4.6694120626000115E-3</v>
      </c>
      <c r="N112">
        <f t="shared" si="19"/>
        <v>6.6122364549131891E-5</v>
      </c>
    </row>
    <row r="113" spans="1:14" x14ac:dyDescent="0.3">
      <c r="A113">
        <v>110</v>
      </c>
      <c r="E113" s="11"/>
      <c r="F113" s="11"/>
      <c r="G113" s="11"/>
      <c r="J113">
        <v>-16.01682919332</v>
      </c>
      <c r="K113">
        <f t="shared" si="18"/>
        <v>-1.6016829193319999E-2</v>
      </c>
      <c r="L113">
        <v>1.4146206567570299E-2</v>
      </c>
      <c r="M113">
        <f t="shared" si="21"/>
        <v>4.6694120626000115E-3</v>
      </c>
      <c r="N113">
        <f t="shared" si="19"/>
        <v>6.6054467586644264E-5</v>
      </c>
    </row>
    <row r="114" spans="1:14" x14ac:dyDescent="0.3">
      <c r="A114">
        <v>111</v>
      </c>
      <c r="E114" s="11"/>
      <c r="F114" s="11"/>
      <c r="G114" s="11"/>
      <c r="J114">
        <v>-15.9047633038176</v>
      </c>
      <c r="K114">
        <f t="shared" si="18"/>
        <v>-1.5904763303817598E-2</v>
      </c>
      <c r="L114">
        <v>1.41316807038446E-2</v>
      </c>
      <c r="M114">
        <f t="shared" si="21"/>
        <v>4.6694120626000115E-3</v>
      </c>
      <c r="N114">
        <f t="shared" si="19"/>
        <v>6.5986640343343794E-5</v>
      </c>
    </row>
    <row r="115" spans="1:14" x14ac:dyDescent="0.3">
      <c r="A115">
        <v>112</v>
      </c>
      <c r="E115" s="11"/>
      <c r="F115" s="11"/>
      <c r="G115" s="11"/>
      <c r="J115">
        <v>-15.792697414315199</v>
      </c>
      <c r="K115">
        <f t="shared" si="18"/>
        <v>-1.5792697414315198E-2</v>
      </c>
      <c r="L115">
        <v>1.4117169755829001E-2</v>
      </c>
      <c r="M115">
        <f t="shared" si="21"/>
        <v>4.6694120625978431E-3</v>
      </c>
      <c r="N115">
        <f t="shared" si="19"/>
        <v>6.5918882747609386E-5</v>
      </c>
    </row>
    <row r="116" spans="1:14" x14ac:dyDescent="0.3">
      <c r="A116">
        <v>113</v>
      </c>
      <c r="E116" s="11"/>
      <c r="F116" s="11"/>
      <c r="G116" s="11"/>
      <c r="J116">
        <v>-15.680631524812901</v>
      </c>
      <c r="K116">
        <f t="shared" si="18"/>
        <v>-1.5680631524812902E-2</v>
      </c>
      <c r="L116">
        <v>1.41033796306599E-2</v>
      </c>
      <c r="M116">
        <f t="shared" si="21"/>
        <v>4.6694120625978795E-3</v>
      </c>
      <c r="N116">
        <f t="shared" si="19"/>
        <v>6.5854490970800565E-5</v>
      </c>
    </row>
    <row r="117" spans="1:14" x14ac:dyDescent="0.3">
      <c r="A117">
        <v>114</v>
      </c>
      <c r="E117" s="11"/>
      <c r="F117" s="11"/>
      <c r="G117" s="11"/>
      <c r="J117">
        <v>-15.568565635310501</v>
      </c>
      <c r="K117">
        <f t="shared" si="18"/>
        <v>-1.55685656353105E-2</v>
      </c>
      <c r="L117">
        <v>1.4089602976147799E-2</v>
      </c>
      <c r="M117">
        <f t="shared" si="21"/>
        <v>4.6694120626000115E-3</v>
      </c>
      <c r="N117">
        <f t="shared" si="19"/>
        <v>6.5790162094069563E-5</v>
      </c>
    </row>
    <row r="118" spans="1:14" x14ac:dyDescent="0.3">
      <c r="A118">
        <v>115</v>
      </c>
      <c r="E118" s="11"/>
      <c r="F118" s="11"/>
      <c r="G118" s="11"/>
      <c r="J118">
        <v>-15.456499745808101</v>
      </c>
      <c r="K118">
        <f t="shared" si="18"/>
        <v>-1.5456499745808101E-2</v>
      </c>
      <c r="L118">
        <v>1.40758397791342E-2</v>
      </c>
      <c r="M118">
        <f t="shared" si="21"/>
        <v>4.6694120625999759E-3</v>
      </c>
      <c r="N118">
        <f t="shared" si="19"/>
        <v>6.5725896055913806E-5</v>
      </c>
    </row>
    <row r="119" spans="1:14" x14ac:dyDescent="0.3">
      <c r="A119">
        <v>116</v>
      </c>
      <c r="E119" s="11"/>
      <c r="F119" s="11"/>
      <c r="G119" s="11"/>
      <c r="J119">
        <v>-15.344433856305701</v>
      </c>
      <c r="K119">
        <f t="shared" si="18"/>
        <v>-1.5344433856305701E-2</v>
      </c>
      <c r="L119">
        <v>1.4062090026473399E-2</v>
      </c>
      <c r="M119">
        <f t="shared" si="21"/>
        <v>4.6694120626000115E-3</v>
      </c>
      <c r="N119">
        <f t="shared" si="19"/>
        <v>6.566169279498221E-5</v>
      </c>
    </row>
    <row r="120" spans="1:14" x14ac:dyDescent="0.3">
      <c r="A120">
        <v>117</v>
      </c>
      <c r="E120" s="11"/>
      <c r="F120" s="11"/>
      <c r="G120" s="11"/>
      <c r="J120">
        <v>-15.232367966803301</v>
      </c>
      <c r="K120">
        <f t="shared" si="18"/>
        <v>-1.5232367966803301E-2</v>
      </c>
      <c r="L120">
        <v>1.4049115835498199E-2</v>
      </c>
      <c r="M120">
        <f t="shared" si="21"/>
        <v>4.6694120626000115E-3</v>
      </c>
      <c r="N120">
        <f t="shared" si="19"/>
        <v>6.5601110951140132E-5</v>
      </c>
    </row>
    <row r="121" spans="1:14" x14ac:dyDescent="0.3">
      <c r="A121">
        <v>118</v>
      </c>
      <c r="E121" s="11"/>
      <c r="F121" s="11"/>
      <c r="G121" s="11"/>
      <c r="J121">
        <v>-15.1203020773009</v>
      </c>
      <c r="K121">
        <f t="shared" si="18"/>
        <v>-1.51203020773009E-2</v>
      </c>
      <c r="L121">
        <v>1.40361536149791E-2</v>
      </c>
      <c r="M121">
        <f t="shared" si="21"/>
        <v>4.6694120626000115E-3</v>
      </c>
      <c r="N121">
        <f t="shared" si="19"/>
        <v>6.5540585002290167E-5</v>
      </c>
    </row>
    <row r="122" spans="1:14" x14ac:dyDescent="0.3">
      <c r="A122">
        <v>119</v>
      </c>
      <c r="E122" s="11"/>
      <c r="F122" s="11"/>
      <c r="G122" s="11"/>
      <c r="J122">
        <v>-15.0082361877985</v>
      </c>
      <c r="K122">
        <f t="shared" si="18"/>
        <v>-1.50082361877985E-2</v>
      </c>
      <c r="L122">
        <v>1.40232033538718E-2</v>
      </c>
      <c r="M122">
        <f t="shared" si="21"/>
        <v>4.6694120626000115E-3</v>
      </c>
      <c r="N122">
        <f t="shared" si="19"/>
        <v>6.5480114896861925E-5</v>
      </c>
    </row>
    <row r="123" spans="1:14" x14ac:dyDescent="0.3">
      <c r="A123">
        <v>120</v>
      </c>
      <c r="E123" s="11"/>
      <c r="F123" s="11"/>
      <c r="G123" s="11"/>
      <c r="J123">
        <v>-14.8961702982961</v>
      </c>
      <c r="K123">
        <f t="shared" si="18"/>
        <v>-1.48961702982961E-2</v>
      </c>
      <c r="L123">
        <v>1.4010265041142E-2</v>
      </c>
      <c r="M123">
        <f t="shared" si="21"/>
        <v>4.6694120626000115E-3</v>
      </c>
      <c r="N123">
        <f t="shared" si="19"/>
        <v>6.5419700583331709E-5</v>
      </c>
    </row>
    <row r="124" spans="1:14" x14ac:dyDescent="0.3">
      <c r="A124">
        <v>121</v>
      </c>
      <c r="E124" s="11"/>
      <c r="F124" s="11"/>
      <c r="G124" s="11"/>
      <c r="J124">
        <v>-14.7841044087937</v>
      </c>
      <c r="K124">
        <f t="shared" si="18"/>
        <v>-1.47841044087937E-2</v>
      </c>
      <c r="L124">
        <v>1.39977334218199E-2</v>
      </c>
      <c r="M124">
        <f t="shared" si="21"/>
        <v>4.6694120625999759E-3</v>
      </c>
      <c r="N124">
        <f t="shared" si="19"/>
        <v>6.5361185288904675E-5</v>
      </c>
    </row>
    <row r="125" spans="1:14" x14ac:dyDescent="0.3">
      <c r="A125">
        <v>122</v>
      </c>
      <c r="E125" s="11"/>
      <c r="F125" s="11"/>
      <c r="G125" s="11"/>
      <c r="J125">
        <v>-14.6720385192913</v>
      </c>
      <c r="K125">
        <f t="shared" si="18"/>
        <v>-1.4672038519291301E-2</v>
      </c>
      <c r="L125">
        <v>1.3985213011528001E-2</v>
      </c>
      <c r="M125">
        <f t="shared" si="21"/>
        <v>4.669412062597916E-3</v>
      </c>
      <c r="N125">
        <f t="shared" si="19"/>
        <v>6.5302722334030175E-5</v>
      </c>
    </row>
    <row r="126" spans="1:14" x14ac:dyDescent="0.3">
      <c r="A126">
        <v>123</v>
      </c>
      <c r="E126" s="11"/>
      <c r="F126" s="11"/>
      <c r="G126" s="11"/>
      <c r="J126">
        <v>-14.559972629789</v>
      </c>
      <c r="K126">
        <f t="shared" si="18"/>
        <v>-1.4559972629789E-2</v>
      </c>
      <c r="L126">
        <v>1.3972703800240099E-2</v>
      </c>
      <c r="M126">
        <f t="shared" si="21"/>
        <v>4.6694120625979515E-3</v>
      </c>
      <c r="N126">
        <f t="shared" si="19"/>
        <v>6.5244311671949358E-5</v>
      </c>
    </row>
    <row r="127" spans="1:14" x14ac:dyDescent="0.3">
      <c r="A127">
        <v>124</v>
      </c>
      <c r="E127" s="11"/>
      <c r="F127" s="11"/>
      <c r="G127" s="11"/>
      <c r="J127">
        <v>-14.4479067402866</v>
      </c>
      <c r="K127">
        <f t="shared" si="18"/>
        <v>-1.4447906740286599E-2</v>
      </c>
      <c r="L127">
        <v>1.3960205777939201E-2</v>
      </c>
      <c r="M127">
        <f t="shared" si="21"/>
        <v>4.6694120626000115E-3</v>
      </c>
      <c r="N127">
        <f t="shared" si="19"/>
        <v>6.5185953255887685E-5</v>
      </c>
    </row>
    <row r="128" spans="1:14" x14ac:dyDescent="0.3">
      <c r="A128">
        <v>125</v>
      </c>
      <c r="E128" s="11"/>
      <c r="F128" s="11"/>
      <c r="G128" s="11"/>
      <c r="J128">
        <v>-14.3358408507842</v>
      </c>
      <c r="K128">
        <f t="shared" si="18"/>
        <v>-1.4335840850784199E-2</v>
      </c>
      <c r="L128">
        <v>1.39483991943285E-2</v>
      </c>
      <c r="M128">
        <f t="shared" si="21"/>
        <v>4.6694120625999759E-3</v>
      </c>
      <c r="N128">
        <f t="shared" si="19"/>
        <v>6.5130823451957278E-5</v>
      </c>
    </row>
    <row r="129" spans="1:14" x14ac:dyDescent="0.3">
      <c r="A129">
        <v>126</v>
      </c>
      <c r="E129" s="11"/>
      <c r="F129" s="11"/>
      <c r="G129" s="11"/>
      <c r="J129">
        <v>-14.2237749612818</v>
      </c>
      <c r="K129">
        <f t="shared" si="18"/>
        <v>-1.42237749612818E-2</v>
      </c>
      <c r="L129">
        <v>1.3936602595915599E-2</v>
      </c>
      <c r="M129">
        <f t="shared" si="21"/>
        <v>4.6694120625999759E-3</v>
      </c>
      <c r="N129">
        <f t="shared" si="19"/>
        <v>6.5075740273030439E-5</v>
      </c>
    </row>
    <row r="130" spans="1:14" x14ac:dyDescent="0.3">
      <c r="A130">
        <v>127</v>
      </c>
      <c r="E130" s="11"/>
      <c r="F130" s="11"/>
      <c r="G130" s="11"/>
      <c r="J130">
        <v>-14.1117090717794</v>
      </c>
      <c r="K130">
        <f t="shared" si="18"/>
        <v>-1.41117090717794E-2</v>
      </c>
      <c r="L130">
        <v>1.3924815974255799E-2</v>
      </c>
      <c r="M130">
        <f t="shared" si="21"/>
        <v>4.6694120626000115E-3</v>
      </c>
      <c r="N130">
        <f t="shared" si="19"/>
        <v>6.5020703679675358E-5</v>
      </c>
    </row>
    <row r="131" spans="1:14" x14ac:dyDescent="0.3">
      <c r="A131">
        <v>128</v>
      </c>
      <c r="E131" s="11"/>
      <c r="F131" s="11"/>
      <c r="G131" s="11"/>
      <c r="J131">
        <v>-13.999643182277</v>
      </c>
      <c r="K131">
        <f t="shared" ref="K131:K194" si="22">J131/1000</f>
        <v>-1.3999643182277E-2</v>
      </c>
      <c r="L131">
        <v>1.39130393209114E-2</v>
      </c>
      <c r="M131">
        <f t="shared" si="21"/>
        <v>4.6694120626000115E-3</v>
      </c>
      <c r="N131">
        <f t="shared" ref="N131:N194" si="23">M131*L131</f>
        <v>6.4965713632491966E-5</v>
      </c>
    </row>
    <row r="132" spans="1:14" x14ac:dyDescent="0.3">
      <c r="A132">
        <v>129</v>
      </c>
      <c r="E132" s="11"/>
      <c r="F132" s="11"/>
      <c r="G132" s="11"/>
      <c r="J132">
        <v>-13.8875772927746</v>
      </c>
      <c r="K132">
        <f t="shared" si="22"/>
        <v>-1.38875772927746E-2</v>
      </c>
      <c r="L132">
        <v>1.39014365645655E-2</v>
      </c>
      <c r="M132">
        <f t="shared" ref="M132:M195" si="24">$X$12*(K133-K131)</f>
        <v>4.6694120626000115E-3</v>
      </c>
      <c r="N132">
        <f t="shared" si="23"/>
        <v>6.4911535582051015E-5</v>
      </c>
    </row>
    <row r="133" spans="1:14" x14ac:dyDescent="0.3">
      <c r="A133">
        <v>130</v>
      </c>
      <c r="E133" s="11"/>
      <c r="F133" s="11"/>
      <c r="G133" s="11"/>
      <c r="J133">
        <v>-13.775511403272199</v>
      </c>
      <c r="K133">
        <f t="shared" si="22"/>
        <v>-1.3775511403272199E-2</v>
      </c>
      <c r="L133">
        <v>1.3889843484319301E-2</v>
      </c>
      <c r="M133">
        <f t="shared" si="24"/>
        <v>4.6694120626000115E-3</v>
      </c>
      <c r="N133">
        <f t="shared" si="23"/>
        <v>6.4857402713306718E-5</v>
      </c>
    </row>
    <row r="134" spans="1:14" x14ac:dyDescent="0.3">
      <c r="A134">
        <v>131</v>
      </c>
      <c r="E134" s="11"/>
      <c r="F134" s="11"/>
      <c r="G134" s="11"/>
      <c r="J134">
        <v>-13.663445513769799</v>
      </c>
      <c r="K134">
        <f t="shared" si="22"/>
        <v>-1.3663445513769799E-2</v>
      </c>
      <c r="L134">
        <v>1.38782600721034E-2</v>
      </c>
      <c r="M134">
        <f t="shared" si="24"/>
        <v>4.6694120626000115E-3</v>
      </c>
      <c r="N134">
        <f t="shared" si="23"/>
        <v>6.4803314988579717E-5</v>
      </c>
    </row>
    <row r="135" spans="1:14" x14ac:dyDescent="0.3">
      <c r="A135">
        <v>132</v>
      </c>
      <c r="E135" s="11"/>
      <c r="F135" s="11"/>
      <c r="G135" s="11"/>
      <c r="J135">
        <v>-13.551379624267399</v>
      </c>
      <c r="K135">
        <f t="shared" si="22"/>
        <v>-1.3551379624267399E-2</v>
      </c>
      <c r="L135">
        <v>1.38666863198551E-2</v>
      </c>
      <c r="M135">
        <f t="shared" si="24"/>
        <v>4.6694120625978795E-3</v>
      </c>
      <c r="N135">
        <f t="shared" si="23"/>
        <v>6.4749272370192399E-5</v>
      </c>
    </row>
    <row r="136" spans="1:14" x14ac:dyDescent="0.3">
      <c r="A136">
        <v>133</v>
      </c>
      <c r="E136" s="11"/>
      <c r="F136" s="11"/>
      <c r="G136" s="11"/>
      <c r="J136">
        <v>-13.439313734765101</v>
      </c>
      <c r="K136">
        <f t="shared" si="22"/>
        <v>-1.3439313734765101E-2</v>
      </c>
      <c r="L136">
        <v>1.3855621799087401E-2</v>
      </c>
      <c r="M136">
        <f t="shared" si="24"/>
        <v>4.6694120625978795E-3</v>
      </c>
      <c r="N136">
        <f t="shared" si="23"/>
        <v>6.4697607563452843E-5</v>
      </c>
    </row>
    <row r="137" spans="1:14" x14ac:dyDescent="0.3">
      <c r="A137">
        <v>134</v>
      </c>
      <c r="J137">
        <v>-13.327247845262701</v>
      </c>
      <c r="K137">
        <f t="shared" si="22"/>
        <v>-1.3327247845262701E-2</v>
      </c>
      <c r="L137">
        <v>1.3844566106933701E-2</v>
      </c>
      <c r="M137">
        <f t="shared" si="24"/>
        <v>4.6694120626000115E-3</v>
      </c>
      <c r="N137">
        <f t="shared" si="23"/>
        <v>6.4645983981179497E-5</v>
      </c>
    </row>
    <row r="138" spans="1:14" x14ac:dyDescent="0.3">
      <c r="A138">
        <v>135</v>
      </c>
      <c r="J138">
        <v>-13.215181955760301</v>
      </c>
      <c r="K138">
        <f t="shared" si="22"/>
        <v>-1.32151819557603E-2</v>
      </c>
      <c r="L138">
        <v>1.38335192363493E-2</v>
      </c>
      <c r="M138">
        <f t="shared" si="24"/>
        <v>4.6694120626000115E-3</v>
      </c>
      <c r="N138">
        <f t="shared" si="23"/>
        <v>6.4594401590418728E-5</v>
      </c>
    </row>
    <row r="139" spans="1:14" x14ac:dyDescent="0.3">
      <c r="A139">
        <v>136</v>
      </c>
      <c r="J139">
        <v>-13.1031160662579</v>
      </c>
      <c r="K139">
        <f t="shared" si="22"/>
        <v>-1.31031160662579E-2</v>
      </c>
      <c r="L139">
        <v>1.3822481180295399E-2</v>
      </c>
      <c r="M139">
        <f t="shared" si="24"/>
        <v>4.6694120626000115E-3</v>
      </c>
      <c r="N139">
        <f t="shared" si="23"/>
        <v>6.4542860358332978E-5</v>
      </c>
    </row>
    <row r="140" spans="1:14" x14ac:dyDescent="0.3">
      <c r="A140">
        <v>137</v>
      </c>
      <c r="J140">
        <v>-12.9910501767555</v>
      </c>
      <c r="K140">
        <f t="shared" si="22"/>
        <v>-1.29910501767555E-2</v>
      </c>
      <c r="L140">
        <v>1.3811476905139499E-2</v>
      </c>
      <c r="M140">
        <f t="shared" si="24"/>
        <v>4.6694120625999759E-3</v>
      </c>
      <c r="N140">
        <f t="shared" si="23"/>
        <v>6.4491476863179359E-5</v>
      </c>
    </row>
    <row r="141" spans="1:14" x14ac:dyDescent="0.3">
      <c r="A141">
        <v>138</v>
      </c>
      <c r="J141">
        <v>-12.8789842872531</v>
      </c>
      <c r="K141">
        <f t="shared" si="22"/>
        <v>-1.2878984287253101E-2</v>
      </c>
      <c r="L141">
        <v>1.38004813906446E-2</v>
      </c>
      <c r="M141">
        <f t="shared" si="24"/>
        <v>4.6694120625999759E-3</v>
      </c>
      <c r="N141">
        <f t="shared" si="23"/>
        <v>6.4440134275162386E-5</v>
      </c>
    </row>
    <row r="142" spans="1:14" x14ac:dyDescent="0.3">
      <c r="A142">
        <v>139</v>
      </c>
      <c r="J142">
        <v>-12.7669183977507</v>
      </c>
      <c r="K142">
        <f t="shared" si="22"/>
        <v>-1.2766918397750701E-2</v>
      </c>
      <c r="L142">
        <v>1.3789494629836301E-2</v>
      </c>
      <c r="M142">
        <f t="shared" si="24"/>
        <v>4.6694120626000115E-3</v>
      </c>
      <c r="N142">
        <f t="shared" si="23"/>
        <v>6.4388832561715703E-5</v>
      </c>
    </row>
    <row r="143" spans="1:14" x14ac:dyDescent="0.3">
      <c r="A143">
        <v>140</v>
      </c>
      <c r="J143">
        <v>-12.6548525082483</v>
      </c>
      <c r="K143">
        <f t="shared" si="22"/>
        <v>-1.2654852508248301E-2</v>
      </c>
      <c r="L143">
        <v>1.3778516615745501E-2</v>
      </c>
      <c r="M143">
        <f t="shared" si="24"/>
        <v>4.6694120626000115E-3</v>
      </c>
      <c r="N143">
        <f t="shared" si="23"/>
        <v>6.4337571690296723E-5</v>
      </c>
    </row>
    <row r="144" spans="1:14" x14ac:dyDescent="0.3">
      <c r="A144">
        <v>141</v>
      </c>
      <c r="J144">
        <v>-12.5427866187459</v>
      </c>
      <c r="K144">
        <f t="shared" si="22"/>
        <v>-1.25427866187459E-2</v>
      </c>
      <c r="L144">
        <v>1.3767808226968501E-2</v>
      </c>
      <c r="M144">
        <f t="shared" si="24"/>
        <v>4.6694120626000115E-3</v>
      </c>
      <c r="N144">
        <f t="shared" si="23"/>
        <v>6.4287569810570394E-5</v>
      </c>
    </row>
    <row r="145" spans="1:14" x14ac:dyDescent="0.3">
      <c r="A145">
        <v>142</v>
      </c>
      <c r="J145">
        <v>-12.4307207292435</v>
      </c>
      <c r="K145">
        <f t="shared" si="22"/>
        <v>-1.24307207292435E-2</v>
      </c>
      <c r="L145">
        <v>1.3757108160538101E-2</v>
      </c>
      <c r="M145">
        <f t="shared" si="24"/>
        <v>4.669412062597916E-3</v>
      </c>
      <c r="N145">
        <f t="shared" si="23"/>
        <v>6.4237606791280838E-5</v>
      </c>
    </row>
    <row r="146" spans="1:14" x14ac:dyDescent="0.3">
      <c r="A146">
        <v>143</v>
      </c>
      <c r="J146">
        <v>-12.3186548397412</v>
      </c>
      <c r="K146">
        <f t="shared" si="22"/>
        <v>-1.23186548397412E-2</v>
      </c>
      <c r="L146">
        <v>1.37464164099862E-2</v>
      </c>
      <c r="M146">
        <f t="shared" si="24"/>
        <v>4.669412062597916E-3</v>
      </c>
      <c r="N146">
        <f t="shared" si="23"/>
        <v>6.4187682602283508E-5</v>
      </c>
    </row>
    <row r="147" spans="1:14" x14ac:dyDescent="0.3">
      <c r="A147">
        <v>144</v>
      </c>
      <c r="J147">
        <v>-12.2065889502388</v>
      </c>
      <c r="K147">
        <f t="shared" si="22"/>
        <v>-1.22065889502388E-2</v>
      </c>
      <c r="L147">
        <v>1.3735732968850001E-2</v>
      </c>
      <c r="M147">
        <f t="shared" si="24"/>
        <v>4.6694120626000115E-3</v>
      </c>
      <c r="N147">
        <f t="shared" si="23"/>
        <v>6.4137797213400857E-5</v>
      </c>
    </row>
    <row r="148" spans="1:14" x14ac:dyDescent="0.3">
      <c r="A148">
        <v>145</v>
      </c>
      <c r="J148">
        <v>-12.0945230607364</v>
      </c>
      <c r="K148">
        <f t="shared" si="22"/>
        <v>-1.20945230607364E-2</v>
      </c>
      <c r="L148">
        <v>1.3725008629466601E-2</v>
      </c>
      <c r="M148">
        <f t="shared" si="24"/>
        <v>4.6694120626000115E-3</v>
      </c>
      <c r="N148">
        <f t="shared" si="23"/>
        <v>6.4087720853720599E-5</v>
      </c>
    </row>
    <row r="149" spans="1:14" x14ac:dyDescent="0.3">
      <c r="A149">
        <v>146</v>
      </c>
      <c r="J149">
        <v>-11.982457171234</v>
      </c>
      <c r="K149">
        <f t="shared" si="22"/>
        <v>-1.1982457171233999E-2</v>
      </c>
      <c r="L149">
        <v>1.3714292663240601E-2</v>
      </c>
      <c r="M149">
        <f t="shared" si="24"/>
        <v>4.6694120626000115E-3</v>
      </c>
      <c r="N149">
        <f t="shared" si="23"/>
        <v>6.4037683591762498E-5</v>
      </c>
    </row>
    <row r="150" spans="1:14" x14ac:dyDescent="0.3">
      <c r="A150">
        <v>147</v>
      </c>
      <c r="J150">
        <v>-11.8703912817316</v>
      </c>
      <c r="K150">
        <f t="shared" si="22"/>
        <v>-1.1870391281731599E-2</v>
      </c>
      <c r="L150">
        <v>1.3703585063634701E-2</v>
      </c>
      <c r="M150">
        <f t="shared" si="24"/>
        <v>4.6694120626000115E-3</v>
      </c>
      <c r="N150">
        <f t="shared" si="23"/>
        <v>6.3987685397001221E-5</v>
      </c>
    </row>
    <row r="151" spans="1:14" x14ac:dyDescent="0.3">
      <c r="A151">
        <v>148</v>
      </c>
      <c r="J151">
        <v>-11.758325392229199</v>
      </c>
      <c r="K151">
        <f t="shared" si="22"/>
        <v>-1.1758325392229199E-2</v>
      </c>
      <c r="L151">
        <v>1.36928858241164E-2</v>
      </c>
      <c r="M151">
        <f t="shared" si="24"/>
        <v>4.6694120625999759E-3</v>
      </c>
      <c r="N151">
        <f t="shared" si="23"/>
        <v>6.3937726238933338E-5</v>
      </c>
    </row>
    <row r="152" spans="1:14" x14ac:dyDescent="0.3">
      <c r="A152">
        <v>149</v>
      </c>
      <c r="J152">
        <v>-11.646259502726799</v>
      </c>
      <c r="K152">
        <f t="shared" si="22"/>
        <v>-1.16462595027268E-2</v>
      </c>
      <c r="L152">
        <v>1.3682330756803701E-2</v>
      </c>
      <c r="M152">
        <f t="shared" si="24"/>
        <v>4.6694120625999759E-3</v>
      </c>
      <c r="N152">
        <f t="shared" si="23"/>
        <v>6.3888440280301863E-5</v>
      </c>
    </row>
    <row r="153" spans="1:14" x14ac:dyDescent="0.3">
      <c r="A153">
        <v>150</v>
      </c>
      <c r="J153">
        <v>-11.534193613224399</v>
      </c>
      <c r="K153">
        <f t="shared" si="22"/>
        <v>-1.15341936132244E-2</v>
      </c>
      <c r="L153">
        <v>1.36717838257924E-2</v>
      </c>
      <c r="M153">
        <f t="shared" si="24"/>
        <v>4.6694120626000115E-3</v>
      </c>
      <c r="N153">
        <f t="shared" si="23"/>
        <v>6.3839192313414769E-5</v>
      </c>
    </row>
    <row r="154" spans="1:14" x14ac:dyDescent="0.3">
      <c r="A154">
        <v>151</v>
      </c>
      <c r="J154">
        <v>-11.422127723721999</v>
      </c>
      <c r="K154">
        <f t="shared" si="22"/>
        <v>-1.1422127723722E-2</v>
      </c>
      <c r="L154">
        <v>1.3661245024810699E-2</v>
      </c>
      <c r="M154">
        <f t="shared" si="24"/>
        <v>4.6694120626000115E-3</v>
      </c>
      <c r="N154">
        <f t="shared" si="23"/>
        <v>6.3789982308985478E-5</v>
      </c>
    </row>
    <row r="155" spans="1:14" x14ac:dyDescent="0.3">
      <c r="A155">
        <v>152</v>
      </c>
      <c r="J155">
        <v>-11.310061834219599</v>
      </c>
      <c r="K155">
        <f t="shared" si="22"/>
        <v>-1.1310061834219599E-2</v>
      </c>
      <c r="L155">
        <v>1.3650714347591599E-2</v>
      </c>
      <c r="M155">
        <f t="shared" si="24"/>
        <v>4.669412062597916E-3</v>
      </c>
      <c r="N155">
        <f t="shared" si="23"/>
        <v>6.3740810237722655E-5</v>
      </c>
    </row>
    <row r="156" spans="1:14" x14ac:dyDescent="0.3">
      <c r="A156">
        <v>153</v>
      </c>
      <c r="J156">
        <v>-11.197995944717301</v>
      </c>
      <c r="K156">
        <f t="shared" si="22"/>
        <v>-1.11979959447173E-2</v>
      </c>
      <c r="L156">
        <v>1.36402282490164E-2</v>
      </c>
      <c r="M156">
        <f t="shared" si="24"/>
        <v>4.6694120625978795E-3</v>
      </c>
      <c r="N156">
        <f t="shared" si="23"/>
        <v>6.369184632254553E-5</v>
      </c>
    </row>
    <row r="157" spans="1:14" x14ac:dyDescent="0.3">
      <c r="A157">
        <v>154</v>
      </c>
      <c r="J157">
        <v>-11.0859300552149</v>
      </c>
      <c r="K157">
        <f t="shared" si="22"/>
        <v>-1.1085930055214901E-2</v>
      </c>
      <c r="L157">
        <v>1.362975020557E-2</v>
      </c>
      <c r="M157">
        <f t="shared" si="24"/>
        <v>4.6694120625999759E-3</v>
      </c>
      <c r="N157">
        <f t="shared" si="23"/>
        <v>6.3642920020113056E-5</v>
      </c>
    </row>
    <row r="158" spans="1:14" x14ac:dyDescent="0.3">
      <c r="A158">
        <v>155</v>
      </c>
      <c r="J158">
        <v>-10.9738641657125</v>
      </c>
      <c r="K158">
        <f t="shared" si="22"/>
        <v>-1.0973864165712501E-2</v>
      </c>
      <c r="L158">
        <v>1.3619280211064899E-2</v>
      </c>
      <c r="M158">
        <f t="shared" si="24"/>
        <v>4.6694120626000115E-3</v>
      </c>
      <c r="N158">
        <f t="shared" si="23"/>
        <v>6.3594031301476074E-5</v>
      </c>
    </row>
    <row r="159" spans="1:14" x14ac:dyDescent="0.3">
      <c r="A159">
        <v>156</v>
      </c>
      <c r="J159">
        <v>-10.8617982762101</v>
      </c>
      <c r="K159">
        <f t="shared" si="22"/>
        <v>-1.0861798276210101E-2</v>
      </c>
      <c r="L159">
        <v>1.36088182593179E-2</v>
      </c>
      <c r="M159">
        <f t="shared" si="24"/>
        <v>4.6694120626000115E-3</v>
      </c>
      <c r="N159">
        <f t="shared" si="23"/>
        <v>6.3545180137790293E-5</v>
      </c>
    </row>
    <row r="160" spans="1:14" x14ac:dyDescent="0.3">
      <c r="A160">
        <v>157</v>
      </c>
      <c r="J160">
        <v>-10.7497323867077</v>
      </c>
      <c r="K160">
        <f t="shared" si="22"/>
        <v>-1.07497323867077E-2</v>
      </c>
      <c r="L160">
        <v>1.3598360439307599E-2</v>
      </c>
      <c r="M160">
        <f t="shared" si="24"/>
        <v>4.6694120626000115E-3</v>
      </c>
      <c r="N160">
        <f t="shared" si="23"/>
        <v>6.3496348266885698E-5</v>
      </c>
    </row>
    <row r="161" spans="1:14" x14ac:dyDescent="0.3">
      <c r="A161">
        <v>158</v>
      </c>
      <c r="J161">
        <v>-10.6376664972053</v>
      </c>
      <c r="K161">
        <f t="shared" si="22"/>
        <v>-1.06376664972053E-2</v>
      </c>
      <c r="L161">
        <v>1.35879106557041E-2</v>
      </c>
      <c r="M161">
        <f t="shared" si="24"/>
        <v>4.6694120626000115E-3</v>
      </c>
      <c r="N161">
        <f t="shared" si="23"/>
        <v>6.3447553921275958E-5</v>
      </c>
    </row>
    <row r="162" spans="1:14" x14ac:dyDescent="0.3">
      <c r="A162">
        <v>159</v>
      </c>
      <c r="J162">
        <v>-10.5256006077029</v>
      </c>
      <c r="K162">
        <f t="shared" si="22"/>
        <v>-1.05256006077029E-2</v>
      </c>
      <c r="L162">
        <v>1.3577468902331699E-2</v>
      </c>
      <c r="M162">
        <f t="shared" si="24"/>
        <v>4.6694120626000115E-3</v>
      </c>
      <c r="N162">
        <f t="shared" si="23"/>
        <v>6.339879707212417E-5</v>
      </c>
    </row>
    <row r="163" spans="1:14" x14ac:dyDescent="0.3">
      <c r="A163">
        <v>160</v>
      </c>
      <c r="J163">
        <v>-10.4135347182005</v>
      </c>
      <c r="K163">
        <f t="shared" si="22"/>
        <v>-1.0413534718200499E-2</v>
      </c>
      <c r="L163">
        <v>1.35670351730196E-2</v>
      </c>
      <c r="M163">
        <f t="shared" si="24"/>
        <v>4.6694120625999759E-3</v>
      </c>
      <c r="N163">
        <f t="shared" si="23"/>
        <v>6.3350077690615871E-5</v>
      </c>
    </row>
    <row r="164" spans="1:14" x14ac:dyDescent="0.3">
      <c r="A164">
        <v>161</v>
      </c>
      <c r="J164">
        <v>-10.3014688286981</v>
      </c>
      <c r="K164">
        <f t="shared" si="22"/>
        <v>-1.0301468828698101E-2</v>
      </c>
      <c r="L164">
        <v>1.35564049852776E-2</v>
      </c>
      <c r="M164">
        <f t="shared" si="24"/>
        <v>4.6694120625999759E-3</v>
      </c>
      <c r="N164">
        <f t="shared" si="23"/>
        <v>6.3300440963745682E-5</v>
      </c>
    </row>
    <row r="165" spans="1:14" x14ac:dyDescent="0.3">
      <c r="A165">
        <v>162</v>
      </c>
      <c r="J165">
        <v>-10.1894029391957</v>
      </c>
      <c r="K165">
        <f t="shared" si="22"/>
        <v>-1.0189402939195701E-2</v>
      </c>
      <c r="L165">
        <v>1.35457831266135E-2</v>
      </c>
      <c r="M165">
        <f t="shared" si="24"/>
        <v>4.6694120625979515E-3</v>
      </c>
      <c r="N165">
        <f t="shared" si="23"/>
        <v>6.3250843128744873E-5</v>
      </c>
    </row>
    <row r="166" spans="1:14" x14ac:dyDescent="0.3">
      <c r="A166">
        <v>163</v>
      </c>
      <c r="J166">
        <v>-10.0773370496934</v>
      </c>
      <c r="K166">
        <f t="shared" si="22"/>
        <v>-1.0077337049693399E-2</v>
      </c>
      <c r="L166">
        <v>1.3535169590501E-2</v>
      </c>
      <c r="M166">
        <f t="shared" si="24"/>
        <v>4.6694120625976991E-3</v>
      </c>
      <c r="N166">
        <f t="shared" si="23"/>
        <v>6.3201284155190934E-5</v>
      </c>
    </row>
    <row r="167" spans="1:14" x14ac:dyDescent="0.3">
      <c r="A167">
        <v>164</v>
      </c>
      <c r="J167">
        <v>-9.9652711601910102</v>
      </c>
      <c r="K167">
        <f t="shared" si="22"/>
        <v>-9.965271160191011E-3</v>
      </c>
      <c r="L167">
        <v>1.35245643704193E-2</v>
      </c>
      <c r="M167">
        <f t="shared" si="24"/>
        <v>4.6694120625995423E-3</v>
      </c>
      <c r="N167">
        <f t="shared" si="23"/>
        <v>6.3151764012639862E-5</v>
      </c>
    </row>
    <row r="168" spans="1:14" x14ac:dyDescent="0.3">
      <c r="A168">
        <v>165</v>
      </c>
      <c r="J168">
        <v>-9.8532052706886208</v>
      </c>
      <c r="K168">
        <f t="shared" si="22"/>
        <v>-9.8532052706886211E-3</v>
      </c>
      <c r="L168">
        <v>1.3513729293598301E-2</v>
      </c>
      <c r="M168">
        <f t="shared" si="24"/>
        <v>4.6694120625996142E-3</v>
      </c>
      <c r="N168">
        <f t="shared" si="23"/>
        <v>6.310117057423367E-5</v>
      </c>
    </row>
    <row r="169" spans="1:14" x14ac:dyDescent="0.3">
      <c r="A169">
        <v>166</v>
      </c>
      <c r="J169">
        <v>-9.7411393811862297</v>
      </c>
      <c r="K169">
        <f t="shared" si="22"/>
        <v>-9.7411393811862295E-3</v>
      </c>
      <c r="L169">
        <v>1.3502902897196601E-2</v>
      </c>
      <c r="M169">
        <f t="shared" si="24"/>
        <v>4.6694120625996142E-3</v>
      </c>
      <c r="N169">
        <f t="shared" si="23"/>
        <v>6.3050617668281079E-5</v>
      </c>
    </row>
    <row r="170" spans="1:14" x14ac:dyDescent="0.3">
      <c r="A170">
        <v>167</v>
      </c>
      <c r="J170">
        <v>-9.6290734916838403</v>
      </c>
      <c r="K170">
        <f t="shared" si="22"/>
        <v>-9.6290734916838396E-3</v>
      </c>
      <c r="L170">
        <v>1.349208517426E-2</v>
      </c>
      <c r="M170">
        <f t="shared" si="24"/>
        <v>4.6694120625995778E-3</v>
      </c>
      <c r="N170">
        <f t="shared" si="23"/>
        <v>6.3000105262310573E-5</v>
      </c>
    </row>
    <row r="171" spans="1:14" x14ac:dyDescent="0.3">
      <c r="A171">
        <v>168</v>
      </c>
      <c r="J171">
        <v>-9.5170076021814491</v>
      </c>
      <c r="K171">
        <f t="shared" si="22"/>
        <v>-9.5170076021814497E-3</v>
      </c>
      <c r="L171">
        <v>1.3481276117839801E-2</v>
      </c>
      <c r="M171">
        <f t="shared" si="24"/>
        <v>4.6694120625995778E-3</v>
      </c>
      <c r="N171">
        <f t="shared" si="23"/>
        <v>6.2949633323876778E-5</v>
      </c>
    </row>
    <row r="172" spans="1:14" x14ac:dyDescent="0.3">
      <c r="A172">
        <v>169</v>
      </c>
      <c r="J172">
        <v>-9.4049417126790598</v>
      </c>
      <c r="K172">
        <f t="shared" si="22"/>
        <v>-9.4049417126790599E-3</v>
      </c>
      <c r="L172">
        <v>1.34701727316613E-2</v>
      </c>
      <c r="M172">
        <f t="shared" si="24"/>
        <v>4.6694120625995778E-3</v>
      </c>
      <c r="N172">
        <f t="shared" si="23"/>
        <v>6.2897787038519186E-5</v>
      </c>
    </row>
    <row r="173" spans="1:14" x14ac:dyDescent="0.3">
      <c r="A173">
        <v>170</v>
      </c>
      <c r="J173">
        <v>-9.2928758231766704</v>
      </c>
      <c r="K173">
        <f t="shared" si="22"/>
        <v>-9.29287582317667E-3</v>
      </c>
      <c r="L173">
        <v>1.34590784904023E-2</v>
      </c>
      <c r="M173">
        <f t="shared" si="24"/>
        <v>4.6694120625996142E-3</v>
      </c>
      <c r="N173">
        <f t="shared" si="23"/>
        <v>6.2845983454559501E-5</v>
      </c>
    </row>
    <row r="174" spans="1:14" x14ac:dyDescent="0.3">
      <c r="A174">
        <v>171</v>
      </c>
      <c r="J174">
        <v>-9.1808099336742792</v>
      </c>
      <c r="K174">
        <f t="shared" si="22"/>
        <v>-9.1808099336742784E-3</v>
      </c>
      <c r="L174">
        <v>1.3447993386530899E-2</v>
      </c>
      <c r="M174">
        <f t="shared" si="24"/>
        <v>4.6694120625995778E-3</v>
      </c>
      <c r="N174">
        <f t="shared" si="23"/>
        <v>6.279422253682673E-5</v>
      </c>
    </row>
    <row r="175" spans="1:14" x14ac:dyDescent="0.3">
      <c r="A175">
        <v>172</v>
      </c>
      <c r="J175">
        <v>-9.0687440441718898</v>
      </c>
      <c r="K175">
        <f t="shared" si="22"/>
        <v>-9.0687440441718902E-3</v>
      </c>
      <c r="L175">
        <v>1.34369174125214E-2</v>
      </c>
      <c r="M175">
        <f t="shared" si="24"/>
        <v>4.6694120625995423E-3</v>
      </c>
      <c r="N175">
        <f t="shared" si="23"/>
        <v>6.2742504250181259E-5</v>
      </c>
    </row>
    <row r="176" spans="1:14" x14ac:dyDescent="0.3">
      <c r="A176">
        <v>173</v>
      </c>
      <c r="J176">
        <v>-8.9566781546695005</v>
      </c>
      <c r="K176">
        <f t="shared" si="22"/>
        <v>-8.9566781546695003E-3</v>
      </c>
      <c r="L176">
        <v>1.34254276099646E-2</v>
      </c>
      <c r="M176">
        <f t="shared" si="24"/>
        <v>4.6694120625996142E-3</v>
      </c>
      <c r="N176">
        <f t="shared" si="23"/>
        <v>6.2688853627526609E-5</v>
      </c>
    </row>
    <row r="177" spans="1:14" x14ac:dyDescent="0.3">
      <c r="A177">
        <v>174</v>
      </c>
      <c r="J177">
        <v>-8.8446122651671093</v>
      </c>
      <c r="K177">
        <f t="shared" si="22"/>
        <v>-8.8446122651671087E-3</v>
      </c>
      <c r="L177">
        <v>1.34139476322478E-2</v>
      </c>
      <c r="M177">
        <f t="shared" si="24"/>
        <v>4.6694120625995778E-3</v>
      </c>
      <c r="N177">
        <f t="shared" si="23"/>
        <v>6.2635248881096924E-5</v>
      </c>
    </row>
    <row r="178" spans="1:14" x14ac:dyDescent="0.3">
      <c r="A178">
        <v>175</v>
      </c>
      <c r="J178">
        <v>-8.7325463756647199</v>
      </c>
      <c r="K178">
        <f t="shared" si="22"/>
        <v>-8.7325463756647206E-3</v>
      </c>
      <c r="L178">
        <v>1.34024774709697E-2</v>
      </c>
      <c r="M178">
        <f t="shared" si="24"/>
        <v>4.6694120625995423E-3</v>
      </c>
      <c r="N178">
        <f t="shared" si="23"/>
        <v>6.2581689971664522E-5</v>
      </c>
    </row>
    <row r="179" spans="1:14" x14ac:dyDescent="0.3">
      <c r="A179">
        <v>176</v>
      </c>
      <c r="J179">
        <v>-8.6204804861623305</v>
      </c>
      <c r="K179">
        <f t="shared" si="22"/>
        <v>-8.6204804861623307E-3</v>
      </c>
      <c r="L179">
        <v>1.3391017117736499E-2</v>
      </c>
      <c r="M179">
        <f t="shared" si="24"/>
        <v>4.6694120625996142E-3</v>
      </c>
      <c r="N179">
        <f t="shared" si="23"/>
        <v>6.2528176860036729E-5</v>
      </c>
    </row>
    <row r="180" spans="1:14" x14ac:dyDescent="0.3">
      <c r="A180">
        <v>177</v>
      </c>
      <c r="J180">
        <v>-8.5084145966599394</v>
      </c>
      <c r="K180">
        <f t="shared" si="22"/>
        <v>-8.5084145966599391E-3</v>
      </c>
      <c r="L180">
        <v>1.33791368772871E-2</v>
      </c>
      <c r="M180">
        <f t="shared" si="24"/>
        <v>4.6694120625996142E-3</v>
      </c>
      <c r="N180">
        <f t="shared" si="23"/>
        <v>6.2472703121975716E-5</v>
      </c>
    </row>
    <row r="181" spans="1:14" x14ac:dyDescent="0.3">
      <c r="A181">
        <v>178</v>
      </c>
      <c r="J181">
        <v>-8.39634870715755</v>
      </c>
      <c r="K181">
        <f t="shared" si="22"/>
        <v>-8.3963487071575492E-3</v>
      </c>
      <c r="L181">
        <v>1.33672671767476E-2</v>
      </c>
      <c r="M181">
        <f t="shared" si="24"/>
        <v>4.6694120625995423E-3</v>
      </c>
      <c r="N181">
        <f t="shared" si="23"/>
        <v>6.2417278599096167E-5</v>
      </c>
    </row>
    <row r="182" spans="1:14" x14ac:dyDescent="0.3">
      <c r="A182">
        <v>179</v>
      </c>
      <c r="J182">
        <v>-8.2842828176551606</v>
      </c>
      <c r="K182">
        <f t="shared" si="22"/>
        <v>-8.284282817655161E-3</v>
      </c>
      <c r="L182">
        <v>1.33554080067671E-2</v>
      </c>
      <c r="M182">
        <f t="shared" si="24"/>
        <v>4.6694120625995778E-3</v>
      </c>
      <c r="N182">
        <f t="shared" si="23"/>
        <v>6.2361903247737274E-5</v>
      </c>
    </row>
    <row r="183" spans="1:14" x14ac:dyDescent="0.3">
      <c r="A183">
        <v>180</v>
      </c>
      <c r="J183">
        <v>-8.1722169281527695</v>
      </c>
      <c r="K183">
        <f t="shared" si="22"/>
        <v>-8.1722169281527694E-3</v>
      </c>
      <c r="L183">
        <v>1.3343559358003101E-2</v>
      </c>
      <c r="M183">
        <f t="shared" si="24"/>
        <v>4.6694120625996142E-3</v>
      </c>
      <c r="N183">
        <f t="shared" si="23"/>
        <v>6.2306577024273641E-5</v>
      </c>
    </row>
    <row r="184" spans="1:14" x14ac:dyDescent="0.3">
      <c r="A184">
        <v>181</v>
      </c>
      <c r="J184">
        <v>-8.0601510386503801</v>
      </c>
      <c r="K184">
        <f t="shared" si="22"/>
        <v>-8.0601510386503795E-3</v>
      </c>
      <c r="L184">
        <v>1.33311023518619E-2</v>
      </c>
      <c r="M184">
        <f t="shared" si="24"/>
        <v>4.6694120625995778E-3</v>
      </c>
      <c r="N184">
        <f t="shared" si="23"/>
        <v>6.2248410129533556E-5</v>
      </c>
    </row>
    <row r="185" spans="1:14" x14ac:dyDescent="0.3">
      <c r="A185">
        <v>182</v>
      </c>
      <c r="J185">
        <v>-7.9480851491479898</v>
      </c>
      <c r="K185">
        <f t="shared" si="22"/>
        <v>-7.9480851491479897E-3</v>
      </c>
      <c r="L185">
        <v>1.33186569750767E-2</v>
      </c>
      <c r="M185">
        <f t="shared" si="24"/>
        <v>4.6694120625995778E-3</v>
      </c>
      <c r="N185">
        <f t="shared" si="23"/>
        <v>6.2190297537049143E-5</v>
      </c>
    </row>
    <row r="186" spans="1:14" x14ac:dyDescent="0.3">
      <c r="A186">
        <v>183</v>
      </c>
      <c r="J186">
        <v>-7.8360192596456004</v>
      </c>
      <c r="K186">
        <f t="shared" si="22"/>
        <v>-7.8360192596455998E-3</v>
      </c>
      <c r="L186">
        <v>1.3306223216790701E-2</v>
      </c>
      <c r="M186">
        <f t="shared" si="24"/>
        <v>4.6694120625995778E-3</v>
      </c>
      <c r="N186">
        <f t="shared" si="23"/>
        <v>6.2132239196125059E-5</v>
      </c>
    </row>
    <row r="187" spans="1:14" x14ac:dyDescent="0.3">
      <c r="A187">
        <v>184</v>
      </c>
      <c r="J187">
        <v>-7.7239533701432102</v>
      </c>
      <c r="K187">
        <f t="shared" si="22"/>
        <v>-7.7239533701432099E-3</v>
      </c>
      <c r="L187">
        <v>1.3293801066157501E-2</v>
      </c>
      <c r="M187">
        <f t="shared" si="24"/>
        <v>4.6694120625993792E-3</v>
      </c>
      <c r="N187">
        <f t="shared" si="23"/>
        <v>6.2074235056112326E-5</v>
      </c>
    </row>
    <row r="188" spans="1:14" x14ac:dyDescent="0.3">
      <c r="A188">
        <v>185</v>
      </c>
      <c r="J188">
        <v>-7.6118874806408297</v>
      </c>
      <c r="K188">
        <f t="shared" si="22"/>
        <v>-7.6118874806408296E-3</v>
      </c>
      <c r="L188">
        <v>1.32806323687204E-2</v>
      </c>
      <c r="M188">
        <f t="shared" si="24"/>
        <v>4.669412062599596E-3</v>
      </c>
      <c r="N188">
        <f t="shared" si="23"/>
        <v>6.2012744981453685E-5</v>
      </c>
    </row>
    <row r="189" spans="1:14" x14ac:dyDescent="0.3">
      <c r="A189">
        <v>186</v>
      </c>
      <c r="J189">
        <v>-7.4998215911384296</v>
      </c>
      <c r="K189">
        <f t="shared" si="22"/>
        <v>-7.4998215911384293E-3</v>
      </c>
      <c r="L189">
        <v>1.3267476716054501E-2</v>
      </c>
      <c r="M189">
        <f t="shared" si="24"/>
        <v>4.6694120625995778E-3</v>
      </c>
      <c r="N189">
        <f t="shared" si="23"/>
        <v>6.1951315818203922E-5</v>
      </c>
    </row>
    <row r="190" spans="1:14" x14ac:dyDescent="0.3">
      <c r="A190">
        <v>187</v>
      </c>
      <c r="J190">
        <v>-7.38775570163605</v>
      </c>
      <c r="K190">
        <f t="shared" si="22"/>
        <v>-7.3877557016360498E-3</v>
      </c>
      <c r="L190">
        <v>1.3254334095237699E-2</v>
      </c>
      <c r="M190">
        <f t="shared" si="24"/>
        <v>4.669412062599361E-3</v>
      </c>
      <c r="N190">
        <f t="shared" si="23"/>
        <v>6.1889947506024896E-5</v>
      </c>
    </row>
    <row r="191" spans="1:14" x14ac:dyDescent="0.3">
      <c r="A191">
        <v>188</v>
      </c>
      <c r="J191">
        <v>-7.2756898121336597</v>
      </c>
      <c r="K191">
        <f t="shared" si="22"/>
        <v>-7.2756898121336599E-3</v>
      </c>
      <c r="L191">
        <v>1.32412044933608E-2</v>
      </c>
      <c r="M191">
        <f t="shared" si="24"/>
        <v>4.6694120625995778E-3</v>
      </c>
      <c r="N191">
        <f t="shared" si="23"/>
        <v>6.1828639984646649E-5</v>
      </c>
    </row>
    <row r="192" spans="1:14" x14ac:dyDescent="0.3">
      <c r="A192">
        <v>189</v>
      </c>
      <c r="J192">
        <v>-7.1636239226312703</v>
      </c>
      <c r="K192">
        <f t="shared" si="22"/>
        <v>-7.16362392263127E-3</v>
      </c>
      <c r="L192">
        <v>1.32272978165701E-2</v>
      </c>
      <c r="M192">
        <f t="shared" si="24"/>
        <v>4.6694120625995778E-3</v>
      </c>
      <c r="N192">
        <f t="shared" si="23"/>
        <v>6.1763703980289479E-5</v>
      </c>
    </row>
    <row r="193" spans="1:14" x14ac:dyDescent="0.3">
      <c r="A193">
        <v>190</v>
      </c>
      <c r="J193">
        <v>-7.0515580331288801</v>
      </c>
      <c r="K193">
        <f t="shared" si="22"/>
        <v>-7.0515580331288802E-3</v>
      </c>
      <c r="L193">
        <v>1.32134057453737E-2</v>
      </c>
      <c r="M193">
        <f t="shared" si="24"/>
        <v>4.669412062599596E-3</v>
      </c>
      <c r="N193">
        <f t="shared" si="23"/>
        <v>6.1698836175470761E-5</v>
      </c>
    </row>
    <row r="194" spans="1:14" x14ac:dyDescent="0.3">
      <c r="A194">
        <v>191</v>
      </c>
      <c r="J194">
        <v>-6.9394921436264898</v>
      </c>
      <c r="K194">
        <f t="shared" si="22"/>
        <v>-6.9394921436264894E-3</v>
      </c>
      <c r="L194">
        <v>1.31995282644318E-2</v>
      </c>
      <c r="M194">
        <f t="shared" si="24"/>
        <v>4.6694120625995778E-3</v>
      </c>
      <c r="N194">
        <f t="shared" si="23"/>
        <v>6.1634036498561917E-5</v>
      </c>
    </row>
    <row r="195" spans="1:14" x14ac:dyDescent="0.3">
      <c r="A195">
        <v>192</v>
      </c>
      <c r="J195">
        <v>-6.8274262541241004</v>
      </c>
      <c r="K195">
        <f t="shared" ref="K195:K247" si="25">J195/1000</f>
        <v>-6.8274262541241004E-3</v>
      </c>
      <c r="L195">
        <v>1.3185665358421E-2</v>
      </c>
      <c r="M195">
        <f t="shared" si="24"/>
        <v>4.6694120625995605E-3</v>
      </c>
      <c r="N195">
        <f t="shared" ref="N195:N247" si="26">M195*L195</f>
        <v>6.1569304878012179E-5</v>
      </c>
    </row>
    <row r="196" spans="1:14" x14ac:dyDescent="0.3">
      <c r="A196">
        <v>193</v>
      </c>
      <c r="J196">
        <v>-6.7153603646217102</v>
      </c>
      <c r="K196">
        <f t="shared" si="25"/>
        <v>-6.7153603646217105E-3</v>
      </c>
      <c r="L196">
        <v>1.3170802422351399E-2</v>
      </c>
      <c r="M196">
        <f t="shared" ref="M196:M246" si="27">$X$12*(K197-K195)</f>
        <v>4.669412062599596E-3</v>
      </c>
      <c r="N196">
        <f t="shared" si="26"/>
        <v>6.1499903705043607E-5</v>
      </c>
    </row>
    <row r="197" spans="1:14" x14ac:dyDescent="0.3">
      <c r="A197">
        <v>194</v>
      </c>
      <c r="J197">
        <v>-6.6032944751193199</v>
      </c>
      <c r="K197">
        <f t="shared" si="25"/>
        <v>-6.6032944751193198E-3</v>
      </c>
      <c r="L197">
        <v>1.3155956239844301E-2</v>
      </c>
      <c r="M197">
        <f t="shared" si="27"/>
        <v>4.669412062599596E-3</v>
      </c>
      <c r="N197">
        <f t="shared" si="26"/>
        <v>6.1430580761361405E-5</v>
      </c>
    </row>
    <row r="198" spans="1:14" x14ac:dyDescent="0.3">
      <c r="A198">
        <v>195</v>
      </c>
      <c r="J198">
        <v>-6.4912285856169296</v>
      </c>
      <c r="K198">
        <f t="shared" si="25"/>
        <v>-6.4912285856169299E-3</v>
      </c>
      <c r="L198">
        <v>1.3141126792015101E-2</v>
      </c>
      <c r="M198">
        <f t="shared" si="27"/>
        <v>4.6694120625995778E-3</v>
      </c>
      <c r="N198">
        <f t="shared" si="26"/>
        <v>6.1361335958785799E-5</v>
      </c>
    </row>
    <row r="199" spans="1:14" x14ac:dyDescent="0.3">
      <c r="A199">
        <v>196</v>
      </c>
      <c r="J199">
        <v>-6.3791626961145402</v>
      </c>
      <c r="K199">
        <f t="shared" si="25"/>
        <v>-6.37916269611454E-3</v>
      </c>
      <c r="L199">
        <v>1.3126314060000199E-2</v>
      </c>
      <c r="M199">
        <f t="shared" si="27"/>
        <v>4.6694120625995778E-3</v>
      </c>
      <c r="N199">
        <f t="shared" si="26"/>
        <v>6.1292169209235364E-5</v>
      </c>
    </row>
    <row r="200" spans="1:14" x14ac:dyDescent="0.3">
      <c r="A200">
        <v>197</v>
      </c>
      <c r="J200">
        <v>-6.26709680661215</v>
      </c>
      <c r="K200">
        <f t="shared" si="25"/>
        <v>-6.2670968066121501E-3</v>
      </c>
      <c r="L200">
        <v>1.31103241437747E-2</v>
      </c>
      <c r="M200">
        <f t="shared" si="27"/>
        <v>4.669412062599596E-3</v>
      </c>
      <c r="N200">
        <f t="shared" si="26"/>
        <v>6.1217505701532306E-5</v>
      </c>
    </row>
    <row r="201" spans="1:14" x14ac:dyDescent="0.3">
      <c r="A201">
        <v>198</v>
      </c>
      <c r="J201">
        <v>-6.1550309171097597</v>
      </c>
      <c r="K201">
        <f t="shared" si="25"/>
        <v>-6.1550309171097594E-3</v>
      </c>
      <c r="L201">
        <v>1.3094353705783501E-2</v>
      </c>
      <c r="M201">
        <f t="shared" si="27"/>
        <v>4.6694120625995778E-3</v>
      </c>
      <c r="N201">
        <f t="shared" si="26"/>
        <v>6.1142933145730965E-5</v>
      </c>
    </row>
    <row r="202" spans="1:14" x14ac:dyDescent="0.3">
      <c r="A202">
        <v>199</v>
      </c>
      <c r="J202">
        <v>-6.0429650276073703</v>
      </c>
      <c r="K202">
        <f t="shared" si="25"/>
        <v>-6.0429650276073704E-3</v>
      </c>
      <c r="L202">
        <v>1.3078402722299E-2</v>
      </c>
      <c r="M202">
        <f t="shared" si="27"/>
        <v>4.6694120625995605E-3</v>
      </c>
      <c r="N202">
        <f t="shared" si="26"/>
        <v>6.1068451431037875E-5</v>
      </c>
    </row>
    <row r="203" spans="1:14" x14ac:dyDescent="0.3">
      <c r="A203">
        <v>200</v>
      </c>
      <c r="J203">
        <v>-5.93089913810498</v>
      </c>
      <c r="K203">
        <f t="shared" si="25"/>
        <v>-5.9308991381049805E-3</v>
      </c>
      <c r="L203">
        <v>1.30624711696227E-2</v>
      </c>
      <c r="M203">
        <f t="shared" si="27"/>
        <v>4.669412062599596E-3</v>
      </c>
      <c r="N203">
        <f t="shared" si="26"/>
        <v>6.0994060446795693E-5</v>
      </c>
    </row>
    <row r="204" spans="1:14" x14ac:dyDescent="0.3">
      <c r="A204">
        <v>201</v>
      </c>
      <c r="J204">
        <v>-5.8188332486025898</v>
      </c>
      <c r="K204">
        <f t="shared" si="25"/>
        <v>-5.8188332486025897E-3</v>
      </c>
      <c r="L204">
        <v>1.30452406361977E-2</v>
      </c>
      <c r="M204">
        <f t="shared" si="27"/>
        <v>4.6694120625995778E-3</v>
      </c>
      <c r="N204">
        <f t="shared" si="26"/>
        <v>6.0913603986175734E-5</v>
      </c>
    </row>
    <row r="205" spans="1:14" x14ac:dyDescent="0.3">
      <c r="A205">
        <v>202</v>
      </c>
      <c r="J205">
        <v>-5.7067673591002004</v>
      </c>
      <c r="K205">
        <f t="shared" si="25"/>
        <v>-5.7067673591002007E-3</v>
      </c>
      <c r="L205">
        <v>1.3028032831342099E-2</v>
      </c>
      <c r="M205">
        <f t="shared" si="27"/>
        <v>4.6694120625995778E-3</v>
      </c>
      <c r="N205">
        <f t="shared" si="26"/>
        <v>6.0833253654612131E-5</v>
      </c>
    </row>
    <row r="206" spans="1:14" x14ac:dyDescent="0.3">
      <c r="A206">
        <v>203</v>
      </c>
      <c r="J206">
        <v>-5.5947014695978101</v>
      </c>
      <c r="K206">
        <f t="shared" si="25"/>
        <v>-5.59470146959781E-3</v>
      </c>
      <c r="L206">
        <v>1.30108477250749E-2</v>
      </c>
      <c r="M206">
        <f t="shared" si="27"/>
        <v>4.669412062599596E-3</v>
      </c>
      <c r="N206">
        <f t="shared" si="26"/>
        <v>6.0753009312111248E-5</v>
      </c>
    </row>
    <row r="207" spans="1:14" x14ac:dyDescent="0.3">
      <c r="A207">
        <v>204</v>
      </c>
      <c r="J207">
        <v>-5.4826355800954198</v>
      </c>
      <c r="K207">
        <f t="shared" si="25"/>
        <v>-5.4826355800954201E-3</v>
      </c>
      <c r="L207">
        <v>1.29936852874547E-2</v>
      </c>
      <c r="M207">
        <f t="shared" si="27"/>
        <v>4.669412062599596E-3</v>
      </c>
      <c r="N207">
        <f t="shared" si="26"/>
        <v>6.0672870818863875E-5</v>
      </c>
    </row>
    <row r="208" spans="1:14" x14ac:dyDescent="0.3">
      <c r="A208">
        <v>205</v>
      </c>
      <c r="J208">
        <v>-5.3705696905930296</v>
      </c>
      <c r="K208">
        <f t="shared" si="25"/>
        <v>-5.3705696905930293E-3</v>
      </c>
      <c r="L208">
        <v>1.29749068940838E-2</v>
      </c>
      <c r="M208">
        <f t="shared" si="27"/>
        <v>4.6694120625995778E-3</v>
      </c>
      <c r="N208">
        <f t="shared" si="26"/>
        <v>6.058518676234132E-5</v>
      </c>
    </row>
    <row r="209" spans="1:14" x14ac:dyDescent="0.3">
      <c r="A209">
        <v>206</v>
      </c>
      <c r="J209">
        <v>-5.2585038010906402</v>
      </c>
      <c r="K209">
        <f t="shared" si="25"/>
        <v>-5.2585038010906403E-3</v>
      </c>
      <c r="L209">
        <v>1.2956155639130501E-2</v>
      </c>
      <c r="M209">
        <f t="shared" si="27"/>
        <v>4.6694120625995778E-3</v>
      </c>
      <c r="N209">
        <f t="shared" si="26"/>
        <v>6.0497629426273506E-5</v>
      </c>
    </row>
    <row r="210" spans="1:14" x14ac:dyDescent="0.3">
      <c r="A210">
        <v>207</v>
      </c>
      <c r="J210">
        <v>-5.1464379115882499</v>
      </c>
      <c r="K210">
        <f t="shared" si="25"/>
        <v>-5.1464379115882496E-3</v>
      </c>
      <c r="L210">
        <v>1.2937431483374499E-2</v>
      </c>
      <c r="M210">
        <f t="shared" si="27"/>
        <v>4.669412062599596E-3</v>
      </c>
      <c r="N210">
        <f t="shared" si="26"/>
        <v>6.0410198627524672E-5</v>
      </c>
    </row>
    <row r="211" spans="1:14" x14ac:dyDescent="0.3">
      <c r="A211">
        <v>208</v>
      </c>
      <c r="J211">
        <v>-5.0343720220858597</v>
      </c>
      <c r="K211">
        <f t="shared" si="25"/>
        <v>-5.0343720220858597E-3</v>
      </c>
      <c r="L211">
        <v>1.29187343876523E-2</v>
      </c>
      <c r="M211">
        <f t="shared" si="27"/>
        <v>4.6694120625995605E-3</v>
      </c>
      <c r="N211">
        <f t="shared" si="26"/>
        <v>6.0322894183223399E-5</v>
      </c>
    </row>
    <row r="212" spans="1:14" x14ac:dyDescent="0.3">
      <c r="A212">
        <v>209</v>
      </c>
      <c r="J212">
        <v>-4.9223061325834703</v>
      </c>
      <c r="K212">
        <f t="shared" si="25"/>
        <v>-4.9223061325834707E-3</v>
      </c>
      <c r="L212">
        <v>1.28981500167219E-2</v>
      </c>
      <c r="M212">
        <f t="shared" si="27"/>
        <v>4.6694120625995778E-3</v>
      </c>
      <c r="N212">
        <f t="shared" si="26"/>
        <v>6.0226777273300189E-5</v>
      </c>
    </row>
    <row r="213" spans="1:14" x14ac:dyDescent="0.3">
      <c r="A213">
        <v>210</v>
      </c>
      <c r="J213">
        <v>-4.81024024308108</v>
      </c>
      <c r="K213">
        <f t="shared" si="25"/>
        <v>-4.8102402430810799E-3</v>
      </c>
      <c r="L213">
        <v>1.2877598444385701E-2</v>
      </c>
      <c r="M213">
        <f t="shared" si="27"/>
        <v>4.669412062599596E-3</v>
      </c>
      <c r="N213">
        <f t="shared" si="26"/>
        <v>6.0130813513528381E-5</v>
      </c>
    </row>
    <row r="214" spans="1:14" x14ac:dyDescent="0.3">
      <c r="A214">
        <v>211</v>
      </c>
      <c r="J214">
        <v>-4.6981743535786897</v>
      </c>
      <c r="K214">
        <f t="shared" si="25"/>
        <v>-4.69817435357869E-3</v>
      </c>
      <c r="L214">
        <v>1.28570796183833E-2</v>
      </c>
      <c r="M214">
        <f t="shared" si="27"/>
        <v>4.6694120625995778E-3</v>
      </c>
      <c r="N214">
        <f t="shared" si="26"/>
        <v>6.0035002659882158E-5</v>
      </c>
    </row>
    <row r="215" spans="1:14" x14ac:dyDescent="0.3">
      <c r="A215">
        <v>212</v>
      </c>
      <c r="J215">
        <v>-4.5861084640763004</v>
      </c>
      <c r="K215">
        <f t="shared" si="25"/>
        <v>-4.5861084640763002E-3</v>
      </c>
      <c r="L215">
        <v>1.28365934865375E-2</v>
      </c>
      <c r="M215">
        <f t="shared" si="27"/>
        <v>4.6694120625995778E-3</v>
      </c>
      <c r="N215">
        <f t="shared" si="26"/>
        <v>5.9939344468725371E-5</v>
      </c>
    </row>
    <row r="216" spans="1:14" x14ac:dyDescent="0.3">
      <c r="A216">
        <v>213</v>
      </c>
      <c r="J216">
        <v>-4.4740425745739101</v>
      </c>
      <c r="K216">
        <f t="shared" si="25"/>
        <v>-4.4740425745739103E-3</v>
      </c>
      <c r="L216">
        <v>1.28140081596244E-2</v>
      </c>
      <c r="M216">
        <f t="shared" si="27"/>
        <v>4.669412062599596E-3</v>
      </c>
      <c r="N216">
        <f t="shared" si="26"/>
        <v>5.9833884270799828E-5</v>
      </c>
    </row>
    <row r="217" spans="1:14" x14ac:dyDescent="0.3">
      <c r="A217">
        <v>214</v>
      </c>
      <c r="J217">
        <v>-4.3619766850715198</v>
      </c>
      <c r="K217">
        <f t="shared" si="25"/>
        <v>-4.3619766850715195E-3</v>
      </c>
      <c r="L217">
        <v>1.2791462570433801E-2</v>
      </c>
      <c r="M217">
        <f t="shared" si="27"/>
        <v>4.6694120625995778E-3</v>
      </c>
      <c r="N217">
        <f t="shared" si="26"/>
        <v>5.9728609624674588E-5</v>
      </c>
    </row>
    <row r="218" spans="1:14" x14ac:dyDescent="0.3">
      <c r="A218">
        <v>215</v>
      </c>
      <c r="J218">
        <v>-4.2499107955691304</v>
      </c>
      <c r="K218">
        <f t="shared" si="25"/>
        <v>-4.2499107955691305E-3</v>
      </c>
      <c r="L218">
        <v>1.27689566490495E-2</v>
      </c>
      <c r="M218">
        <f t="shared" si="27"/>
        <v>4.6694120625995778E-3</v>
      </c>
      <c r="N218">
        <f t="shared" si="26"/>
        <v>5.962352020388282E-5</v>
      </c>
    </row>
    <row r="219" spans="1:14" x14ac:dyDescent="0.3">
      <c r="A219">
        <v>216</v>
      </c>
      <c r="J219">
        <v>-4.1378449060667402</v>
      </c>
      <c r="K219">
        <f t="shared" si="25"/>
        <v>-4.1378449060667398E-3</v>
      </c>
      <c r="L219">
        <v>1.27464903256778E-2</v>
      </c>
      <c r="M219">
        <f t="shared" si="27"/>
        <v>4.669412062599596E-3</v>
      </c>
      <c r="N219">
        <f t="shared" si="26"/>
        <v>5.9518615682528975E-5</v>
      </c>
    </row>
    <row r="220" spans="1:14" x14ac:dyDescent="0.3">
      <c r="A220">
        <v>217</v>
      </c>
      <c r="J220">
        <v>-4.0257790165643499</v>
      </c>
      <c r="K220">
        <f t="shared" si="25"/>
        <v>-4.0257790165643499E-3</v>
      </c>
      <c r="L220">
        <v>1.2721566620802399E-2</v>
      </c>
      <c r="M220">
        <f t="shared" si="27"/>
        <v>4.6694120625995778E-3</v>
      </c>
      <c r="N220">
        <f t="shared" si="26"/>
        <v>5.9402236634338872E-5</v>
      </c>
    </row>
    <row r="221" spans="1:14" x14ac:dyDescent="0.3">
      <c r="A221">
        <v>218</v>
      </c>
      <c r="J221">
        <v>-3.9137131270619601</v>
      </c>
      <c r="K221">
        <f t="shared" si="25"/>
        <v>-3.91371312706196E-3</v>
      </c>
      <c r="L221">
        <v>1.2696691650209899E-2</v>
      </c>
      <c r="M221">
        <f t="shared" si="27"/>
        <v>4.6694120625995874E-3</v>
      </c>
      <c r="N221">
        <f t="shared" si="26"/>
        <v>5.9286085146597565E-5</v>
      </c>
    </row>
    <row r="222" spans="1:14" x14ac:dyDescent="0.3">
      <c r="A222">
        <v>219</v>
      </c>
      <c r="J222">
        <v>-3.8016472375595698</v>
      </c>
      <c r="K222">
        <f t="shared" si="25"/>
        <v>-3.8016472375595697E-3</v>
      </c>
      <c r="L222">
        <v>1.2671865318608099E-2</v>
      </c>
      <c r="M222">
        <f t="shared" si="27"/>
        <v>4.6694120625995874E-3</v>
      </c>
      <c r="N222">
        <f t="shared" si="26"/>
        <v>5.9170160774346023E-5</v>
      </c>
    </row>
    <row r="223" spans="1:14" x14ac:dyDescent="0.3">
      <c r="A223">
        <v>220</v>
      </c>
      <c r="J223">
        <v>-3.68958134805718</v>
      </c>
      <c r="K223">
        <f t="shared" si="25"/>
        <v>-3.6895813480571798E-3</v>
      </c>
      <c r="L223">
        <v>1.26470875308915E-2</v>
      </c>
      <c r="M223">
        <f t="shared" si="27"/>
        <v>4.6694120625995691E-3</v>
      </c>
      <c r="N223">
        <f t="shared" si="26"/>
        <v>5.9054463073497375E-5</v>
      </c>
    </row>
    <row r="224" spans="1:14" x14ac:dyDescent="0.3">
      <c r="A224">
        <v>221</v>
      </c>
      <c r="J224">
        <v>-3.5775154585547901</v>
      </c>
      <c r="K224">
        <f t="shared" si="25"/>
        <v>-3.5775154585547904E-3</v>
      </c>
      <c r="L224">
        <v>1.26194686071791E-2</v>
      </c>
      <c r="M224">
        <f t="shared" si="27"/>
        <v>4.6694120625995778E-3</v>
      </c>
      <c r="N224">
        <f t="shared" si="26"/>
        <v>5.8925498937958788E-5</v>
      </c>
    </row>
    <row r="225" spans="1:14" x14ac:dyDescent="0.3">
      <c r="A225">
        <v>222</v>
      </c>
      <c r="J225">
        <v>-3.4654495690523999</v>
      </c>
      <c r="K225">
        <f t="shared" si="25"/>
        <v>-3.4654495690524E-3</v>
      </c>
      <c r="L225">
        <v>1.2591909998139601E-2</v>
      </c>
      <c r="M225">
        <f t="shared" si="27"/>
        <v>4.6694120625995874E-3</v>
      </c>
      <c r="N225">
        <f t="shared" si="26"/>
        <v>5.87968164364814E-5</v>
      </c>
    </row>
    <row r="226" spans="1:14" x14ac:dyDescent="0.3">
      <c r="A226">
        <v>223</v>
      </c>
      <c r="J226">
        <v>-3.35338367955001</v>
      </c>
      <c r="K226">
        <f t="shared" si="25"/>
        <v>-3.3533836795500102E-3</v>
      </c>
      <c r="L226">
        <v>1.25644115720567E-2</v>
      </c>
      <c r="M226">
        <f t="shared" si="27"/>
        <v>4.6694120625995778E-3</v>
      </c>
      <c r="N226">
        <f t="shared" si="26"/>
        <v>5.8668414954027277E-5</v>
      </c>
    </row>
    <row r="227" spans="1:14" x14ac:dyDescent="0.3">
      <c r="A227">
        <v>224</v>
      </c>
      <c r="J227">
        <v>-3.2413177900476202</v>
      </c>
      <c r="K227">
        <f t="shared" si="25"/>
        <v>-3.2413177900476203E-3</v>
      </c>
      <c r="L227">
        <v>1.2536973197502001E-2</v>
      </c>
      <c r="M227">
        <f t="shared" si="27"/>
        <v>4.6694120625995874E-3</v>
      </c>
      <c r="N227">
        <f t="shared" si="26"/>
        <v>5.8540293876903564E-5</v>
      </c>
    </row>
    <row r="228" spans="1:14" x14ac:dyDescent="0.3">
      <c r="A228">
        <v>225</v>
      </c>
      <c r="J228">
        <v>-3.1292519005452299</v>
      </c>
      <c r="K228">
        <f t="shared" si="25"/>
        <v>-3.12925190054523E-3</v>
      </c>
      <c r="L228">
        <v>1.25064513958127E-2</v>
      </c>
      <c r="M228">
        <f t="shared" si="27"/>
        <v>4.6694120625995874E-3</v>
      </c>
      <c r="N228">
        <f t="shared" si="26"/>
        <v>5.8397775007923272E-5</v>
      </c>
    </row>
    <row r="229" spans="1:14" x14ac:dyDescent="0.3">
      <c r="A229">
        <v>226</v>
      </c>
      <c r="J229">
        <v>-3.0171860110428401</v>
      </c>
      <c r="K229">
        <f t="shared" si="25"/>
        <v>-3.0171860110428401E-3</v>
      </c>
      <c r="L229">
        <v>1.2476003900765399E-2</v>
      </c>
      <c r="M229">
        <f t="shared" si="27"/>
        <v>4.6694120625995874E-3</v>
      </c>
      <c r="N229">
        <f t="shared" si="26"/>
        <v>5.8255603107273463E-5</v>
      </c>
    </row>
    <row r="230" spans="1:14" x14ac:dyDescent="0.3">
      <c r="A230">
        <v>227</v>
      </c>
      <c r="J230">
        <v>-2.9051201215404499</v>
      </c>
      <c r="K230">
        <f t="shared" si="25"/>
        <v>-2.9051201215404498E-3</v>
      </c>
      <c r="L230">
        <v>1.2445630531457299E-2</v>
      </c>
      <c r="M230">
        <f t="shared" si="27"/>
        <v>4.6694120625995874E-3</v>
      </c>
      <c r="N230">
        <f t="shared" si="26"/>
        <v>5.8113777330244427E-5</v>
      </c>
    </row>
    <row r="231" spans="1:14" x14ac:dyDescent="0.3">
      <c r="A231">
        <v>228</v>
      </c>
      <c r="J231">
        <v>-2.79305423203806</v>
      </c>
      <c r="K231">
        <f t="shared" si="25"/>
        <v>-2.7930542320380599E-3</v>
      </c>
      <c r="L231">
        <v>1.2415331107426099E-2</v>
      </c>
      <c r="M231">
        <f t="shared" si="27"/>
        <v>4.6694120625995778E-3</v>
      </c>
      <c r="N231">
        <f t="shared" si="26"/>
        <v>5.7972296834183203E-5</v>
      </c>
    </row>
    <row r="232" spans="1:14" x14ac:dyDescent="0.3">
      <c r="A232">
        <v>229</v>
      </c>
      <c r="J232">
        <v>-2.6809883425356702</v>
      </c>
      <c r="K232">
        <f t="shared" si="25"/>
        <v>-2.68098834253567E-3</v>
      </c>
      <c r="L232">
        <v>1.23816405204127E-2</v>
      </c>
      <c r="M232">
        <f t="shared" si="27"/>
        <v>4.6694120625995778E-3</v>
      </c>
      <c r="N232">
        <f t="shared" si="26"/>
        <v>5.7814981600786777E-5</v>
      </c>
    </row>
    <row r="233" spans="1:14" x14ac:dyDescent="0.3">
      <c r="A233">
        <v>230</v>
      </c>
      <c r="J233">
        <v>-2.5689224530332799</v>
      </c>
      <c r="K233">
        <f t="shared" si="25"/>
        <v>-2.5689224530332801E-3</v>
      </c>
      <c r="L233">
        <v>1.23480413571111E-2</v>
      </c>
      <c r="M233">
        <f t="shared" si="27"/>
        <v>4.6694120625995778E-3</v>
      </c>
      <c r="N233">
        <f t="shared" si="26"/>
        <v>5.7658093262373033E-5</v>
      </c>
    </row>
    <row r="234" spans="1:14" x14ac:dyDescent="0.3">
      <c r="A234">
        <v>231</v>
      </c>
      <c r="J234">
        <v>-2.4568565635308901</v>
      </c>
      <c r="K234">
        <f t="shared" si="25"/>
        <v>-2.4568565635308902E-3</v>
      </c>
      <c r="L234">
        <v>1.2314533369431399E-2</v>
      </c>
      <c r="M234">
        <f t="shared" si="27"/>
        <v>4.6694120625995874E-3</v>
      </c>
      <c r="N234">
        <f t="shared" si="26"/>
        <v>5.7501630660508114E-5</v>
      </c>
    </row>
    <row r="235" spans="1:14" x14ac:dyDescent="0.3">
      <c r="A235">
        <v>232</v>
      </c>
      <c r="J235">
        <v>-2.3447906740284998</v>
      </c>
      <c r="K235">
        <f t="shared" si="25"/>
        <v>-2.3447906740284999E-3</v>
      </c>
      <c r="L235">
        <v>1.2281116309956999E-2</v>
      </c>
      <c r="M235">
        <f t="shared" si="27"/>
        <v>4.6694120625995874E-3</v>
      </c>
      <c r="N235">
        <f t="shared" si="26"/>
        <v>5.7345592639901747E-5</v>
      </c>
    </row>
    <row r="236" spans="1:14" x14ac:dyDescent="0.3">
      <c r="A236">
        <v>233</v>
      </c>
      <c r="J236">
        <v>-2.23272478452611</v>
      </c>
      <c r="K236">
        <f t="shared" si="25"/>
        <v>-2.23272478452611E-3</v>
      </c>
      <c r="L236">
        <v>1.22442495740341E-2</v>
      </c>
      <c r="M236">
        <f t="shared" si="27"/>
        <v>4.6694120625995778E-3</v>
      </c>
      <c r="N236">
        <f t="shared" si="26"/>
        <v>5.7173446658474573E-5</v>
      </c>
    </row>
    <row r="237" spans="1:14" x14ac:dyDescent="0.3">
      <c r="A237">
        <v>234</v>
      </c>
      <c r="J237">
        <v>-2.1206588950237202</v>
      </c>
      <c r="K237">
        <f t="shared" si="25"/>
        <v>-2.1206588950237202E-3</v>
      </c>
      <c r="L237">
        <v>1.2207493508524399E-2</v>
      </c>
      <c r="M237">
        <f t="shared" si="27"/>
        <v>4.6694120625995874E-3</v>
      </c>
      <c r="N237">
        <f t="shared" si="26"/>
        <v>5.7001817442809987E-5</v>
      </c>
    </row>
    <row r="238" spans="1:14" x14ac:dyDescent="0.3">
      <c r="A238">
        <v>235</v>
      </c>
      <c r="J238">
        <v>-2.0085930055213299</v>
      </c>
      <c r="K238">
        <f t="shared" si="25"/>
        <v>-2.0085930055213298E-3</v>
      </c>
      <c r="L238">
        <v>1.21708477812061E-2</v>
      </c>
      <c r="M238">
        <f t="shared" si="27"/>
        <v>4.669412062599583E-3</v>
      </c>
      <c r="N238">
        <f t="shared" si="26"/>
        <v>5.6830703441627135E-5</v>
      </c>
    </row>
    <row r="239" spans="1:14" x14ac:dyDescent="0.3">
      <c r="A239">
        <v>236</v>
      </c>
      <c r="J239">
        <v>-1.8965271160189401</v>
      </c>
      <c r="K239">
        <f t="shared" si="25"/>
        <v>-1.8965271160189402E-3</v>
      </c>
      <c r="L239">
        <v>1.2134312060854399E-2</v>
      </c>
      <c r="M239">
        <f t="shared" si="27"/>
        <v>4.6694120625995778E-3</v>
      </c>
      <c r="N239">
        <f t="shared" si="26"/>
        <v>5.6660103108301075E-5</v>
      </c>
    </row>
    <row r="240" spans="1:14" x14ac:dyDescent="0.3">
      <c r="A240">
        <v>237</v>
      </c>
      <c r="J240">
        <v>-1.78446122651655</v>
      </c>
      <c r="K240">
        <f t="shared" si="25"/>
        <v>-1.7844612265165501E-3</v>
      </c>
      <c r="L240">
        <v>1.2093619248374699E-2</v>
      </c>
      <c r="M240">
        <f t="shared" si="27"/>
        <v>4.6694120625995874E-3</v>
      </c>
      <c r="N240">
        <f t="shared" si="26"/>
        <v>5.6470091598847376E-5</v>
      </c>
    </row>
    <row r="241" spans="1:14" x14ac:dyDescent="0.3">
      <c r="A241">
        <v>238</v>
      </c>
      <c r="J241">
        <v>-1.67239533701416</v>
      </c>
      <c r="K241">
        <f t="shared" si="25"/>
        <v>-1.67239533701416E-3</v>
      </c>
      <c r="L241">
        <v>1.2053062900572901E-2</v>
      </c>
      <c r="M241">
        <f t="shared" si="27"/>
        <v>4.6694120625995874E-3</v>
      </c>
      <c r="N241">
        <f t="shared" si="26"/>
        <v>5.6280717299206675E-5</v>
      </c>
    </row>
    <row r="242" spans="1:14" x14ac:dyDescent="0.3">
      <c r="A242">
        <v>239</v>
      </c>
      <c r="J242">
        <v>-1.5603294475117699</v>
      </c>
      <c r="K242">
        <f t="shared" si="25"/>
        <v>-1.5603294475117699E-3</v>
      </c>
      <c r="L242">
        <v>1.2012642559810299E-2</v>
      </c>
      <c r="M242">
        <f t="shared" si="27"/>
        <v>4.6694120625995874E-3</v>
      </c>
      <c r="N242">
        <f t="shared" si="26"/>
        <v>5.6091978072475396E-5</v>
      </c>
    </row>
    <row r="243" spans="1:14" x14ac:dyDescent="0.3">
      <c r="A243">
        <v>240</v>
      </c>
      <c r="J243">
        <v>-1.4482635580093799</v>
      </c>
      <c r="K243">
        <f t="shared" si="25"/>
        <v>-1.4482635580093798E-3</v>
      </c>
      <c r="L243">
        <v>1.19723577699829E-2</v>
      </c>
      <c r="M243">
        <f t="shared" si="27"/>
        <v>4.6694120625985387E-3</v>
      </c>
      <c r="N243">
        <f t="shared" si="26"/>
        <v>5.5903871788903494E-5</v>
      </c>
    </row>
    <row r="244" spans="1:14" x14ac:dyDescent="0.3">
      <c r="A244">
        <v>241</v>
      </c>
      <c r="J244">
        <v>-1.33619766850704</v>
      </c>
      <c r="K244">
        <f t="shared" si="25"/>
        <v>-1.33619766850704E-3</v>
      </c>
      <c r="L244">
        <v>1.19285338231506E-2</v>
      </c>
      <c r="M244">
        <f t="shared" si="27"/>
        <v>4.6694120625977035E-3</v>
      </c>
      <c r="N244">
        <f t="shared" si="26"/>
        <v>5.5699239722924111E-5</v>
      </c>
    </row>
    <row r="245" spans="1:14" x14ac:dyDescent="0.3">
      <c r="A245">
        <v>242</v>
      </c>
      <c r="J245">
        <v>-1.2241317790046899</v>
      </c>
      <c r="K245">
        <f t="shared" si="25"/>
        <v>-1.22413177900469E-3</v>
      </c>
      <c r="L245">
        <v>1.1884870290695499E-2</v>
      </c>
      <c r="M245">
        <f t="shared" si="27"/>
        <v>4.669412062597916E-3</v>
      </c>
      <c r="N245">
        <f t="shared" si="26"/>
        <v>5.5495356697785163E-5</v>
      </c>
    </row>
    <row r="246" spans="1:14" x14ac:dyDescent="0.3">
      <c r="A246">
        <v>243</v>
      </c>
      <c r="J246">
        <v>-1.1120658895023401</v>
      </c>
      <c r="K246">
        <f t="shared" si="25"/>
        <v>-1.11206588950234E-3</v>
      </c>
      <c r="L246">
        <v>1.18413665854325E-2</v>
      </c>
      <c r="M246">
        <f t="shared" si="27"/>
        <v>4.6694120625977078E-3</v>
      </c>
      <c r="N246">
        <f t="shared" si="26"/>
        <v>5.5292219971659945E-5</v>
      </c>
    </row>
    <row r="247" spans="1:14" x14ac:dyDescent="0.3">
      <c r="A247">
        <v>244</v>
      </c>
      <c r="J247">
        <v>-1</v>
      </c>
      <c r="K247">
        <f t="shared" si="25"/>
        <v>-1E-3</v>
      </c>
      <c r="L247">
        <v>1.1798022122325801E-2</v>
      </c>
      <c r="M247">
        <f>$X$12*(K247-K246)</f>
        <v>2.3347060312987502E-3</v>
      </c>
      <c r="N247">
        <f t="shared" si="26"/>
        <v>2.7544913406390128E-5</v>
      </c>
    </row>
    <row r="248" spans="1:14" x14ac:dyDescent="0.3">
      <c r="A248">
        <v>245</v>
      </c>
    </row>
  </sheetData>
  <mergeCells count="23">
    <mergeCell ref="Z19:AE19"/>
    <mergeCell ref="AH24:AI24"/>
    <mergeCell ref="Q42:U42"/>
    <mergeCell ref="Z11:AA11"/>
    <mergeCell ref="AC11:AD11"/>
    <mergeCell ref="Y29:AC29"/>
    <mergeCell ref="Z21:Z23"/>
    <mergeCell ref="W20:X20"/>
    <mergeCell ref="W19:X19"/>
    <mergeCell ref="W27:X27"/>
    <mergeCell ref="Y28:AC28"/>
    <mergeCell ref="Y27:AC27"/>
    <mergeCell ref="AB20:AC20"/>
    <mergeCell ref="AB21:AC21"/>
    <mergeCell ref="AB22:AC22"/>
    <mergeCell ref="AB23:AC23"/>
    <mergeCell ref="AB24:AC24"/>
    <mergeCell ref="C1:G1"/>
    <mergeCell ref="W2:Y2"/>
    <mergeCell ref="W11:X11"/>
    <mergeCell ref="Q1:U1"/>
    <mergeCell ref="J1:N1"/>
    <mergeCell ref="W10:AD10"/>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42BD9-BCC6-4115-8282-64BD5F70C08E}">
  <dimension ref="A1:U247"/>
  <sheetViews>
    <sheetView topLeftCell="A10" zoomScale="97" workbookViewId="0">
      <selection activeCell="Q15" sqref="Q15"/>
    </sheetView>
  </sheetViews>
  <sheetFormatPr defaultRowHeight="14.4" x14ac:dyDescent="0.3"/>
  <cols>
    <col min="1" max="1" width="16" customWidth="1"/>
    <col min="2" max="2" width="15.21875" customWidth="1"/>
    <col min="3" max="3" width="27.21875" customWidth="1"/>
    <col min="4" max="4" width="15.109375" customWidth="1"/>
    <col min="5" max="5" width="13" customWidth="1"/>
    <col min="8" max="8" width="17" customWidth="1"/>
    <col min="9" max="9" width="15.88671875" customWidth="1"/>
    <col min="10" max="10" width="27.33203125" customWidth="1"/>
    <col min="11" max="11" width="10.109375" customWidth="1"/>
    <col min="12" max="12" width="12.6640625" bestFit="1" customWidth="1"/>
    <col min="14" max="14" width="23.77734375" customWidth="1"/>
    <col min="15" max="15" width="11.5546875" customWidth="1"/>
    <col min="17" max="17" width="18.88671875" customWidth="1"/>
    <col min="18" max="18" width="12.6640625" bestFit="1" customWidth="1"/>
    <col min="20" max="20" width="18.21875" customWidth="1"/>
    <col min="21" max="21" width="12.6640625" customWidth="1"/>
  </cols>
  <sheetData>
    <row r="1" spans="1:21" x14ac:dyDescent="0.3">
      <c r="A1" s="61" t="s">
        <v>128</v>
      </c>
      <c r="B1" s="61"/>
      <c r="C1" s="61"/>
      <c r="D1" s="61"/>
      <c r="E1" s="61"/>
      <c r="H1" s="61" t="s">
        <v>127</v>
      </c>
      <c r="I1" s="61"/>
      <c r="J1" s="61"/>
      <c r="K1" s="61"/>
      <c r="L1" s="61"/>
      <c r="N1" s="50" t="s">
        <v>125</v>
      </c>
      <c r="O1" s="50"/>
      <c r="P1" s="50"/>
    </row>
    <row r="2" spans="1:21" x14ac:dyDescent="0.3">
      <c r="A2" s="25" t="s">
        <v>123</v>
      </c>
      <c r="B2" s="25" t="s">
        <v>131</v>
      </c>
      <c r="C2" s="25" t="s">
        <v>133</v>
      </c>
      <c r="D2" s="25" t="s">
        <v>121</v>
      </c>
      <c r="E2" s="25" t="s">
        <v>130</v>
      </c>
      <c r="H2" s="25" t="s">
        <v>123</v>
      </c>
      <c r="I2" s="25" t="s">
        <v>131</v>
      </c>
      <c r="J2" s="25" t="s">
        <v>133</v>
      </c>
      <c r="K2" s="25" t="s">
        <v>121</v>
      </c>
      <c r="L2" s="25" t="s">
        <v>130</v>
      </c>
      <c r="N2" s="24" t="s">
        <v>53</v>
      </c>
      <c r="O2" s="24" t="s">
        <v>120</v>
      </c>
      <c r="P2" s="24" t="s">
        <v>119</v>
      </c>
    </row>
    <row r="3" spans="1:21" x14ac:dyDescent="0.3">
      <c r="A3">
        <f>-25</f>
        <v>-25</v>
      </c>
      <c r="B3">
        <f t="shared" ref="B3:B66" si="0">A3/1000</f>
        <v>-2.5000000000000001E-2</v>
      </c>
      <c r="C3">
        <v>-9.9583640454267403E-2</v>
      </c>
      <c r="D3">
        <f>$O$11*(B4-B3)</f>
        <v>5.4401042888955911E-4</v>
      </c>
      <c r="E3">
        <f t="shared" ref="E3:E66" si="1">C3*D3</f>
        <v>-5.4174538953909659E-5</v>
      </c>
      <c r="H3">
        <f>-1</f>
        <v>-1</v>
      </c>
      <c r="I3">
        <f t="shared" ref="I3:I15" si="2">H3/1000</f>
        <v>-1E-3</v>
      </c>
      <c r="J3">
        <v>-2.6937411209860102E-3</v>
      </c>
      <c r="K3">
        <f>$U$11*(I4-I3)</f>
        <v>4.1666666666667011E-2</v>
      </c>
      <c r="L3">
        <f t="shared" ref="L3:L15" si="3">J3*K3</f>
        <v>-1.1223921337441802E-4</v>
      </c>
      <c r="N3" t="s">
        <v>118</v>
      </c>
      <c r="O3" t="s">
        <v>117</v>
      </c>
      <c r="P3">
        <f>1/1000</f>
        <v>1E-3</v>
      </c>
    </row>
    <row r="4" spans="1:21" x14ac:dyDescent="0.3">
      <c r="A4">
        <f>-24.9738874994133</f>
        <v>-24.973887499413301</v>
      </c>
      <c r="B4">
        <f t="shared" si="0"/>
        <v>-2.4973887499413303E-2</v>
      </c>
      <c r="C4">
        <v>-1.9925910806648599E-3</v>
      </c>
      <c r="D4">
        <f t="shared" ref="D4:D67" si="4">$O$11*(B5-B3)</f>
        <v>1.0880208577771667E-3</v>
      </c>
      <c r="E4">
        <f t="shared" si="1"/>
        <v>-2.1679806567841123E-6</v>
      </c>
      <c r="H4">
        <f>-0.916666666666666</f>
        <v>-0.91666666666666596</v>
      </c>
      <c r="I4">
        <f t="shared" si="2"/>
        <v>-9.16666666666666E-4</v>
      </c>
      <c r="J4">
        <v>-2.6941053252358899E-3</v>
      </c>
      <c r="K4">
        <f t="shared" ref="K4:K14" si="5">$U$11*(I5-I3)</f>
        <v>8.3333333333333481E-2</v>
      </c>
      <c r="L4">
        <f t="shared" si="3"/>
        <v>-2.2450877710299122E-4</v>
      </c>
      <c r="N4" t="s">
        <v>116</v>
      </c>
      <c r="O4" t="s">
        <v>115</v>
      </c>
      <c r="P4">
        <f>24/1000</f>
        <v>2.4E-2</v>
      </c>
    </row>
    <row r="5" spans="1:21" x14ac:dyDescent="0.3">
      <c r="A5">
        <f>-24.9477749988267</f>
        <v>-24.947774998826699</v>
      </c>
      <c r="B5">
        <f t="shared" si="0"/>
        <v>-2.4947774998826697E-2</v>
      </c>
      <c r="C5">
        <v>-2.0134440992259799E-3</v>
      </c>
      <c r="D5">
        <f t="shared" si="4"/>
        <v>1.0880208577750705E-3</v>
      </c>
      <c r="E5">
        <f t="shared" si="1"/>
        <v>-2.1906691759220048E-6</v>
      </c>
      <c r="H5">
        <f>-0.833333333333333</f>
        <v>-0.83333333333333304</v>
      </c>
      <c r="I5">
        <f t="shared" si="2"/>
        <v>-8.3333333333333306E-4</v>
      </c>
      <c r="J5">
        <v>-2.6944695679313501E-3</v>
      </c>
      <c r="K5">
        <f t="shared" si="5"/>
        <v>8.3333333333332996E-2</v>
      </c>
      <c r="L5">
        <f t="shared" si="3"/>
        <v>-2.2453913066094493E-4</v>
      </c>
      <c r="N5" t="s">
        <v>114</v>
      </c>
      <c r="O5" t="s">
        <v>113</v>
      </c>
      <c r="P5">
        <f>5/1000</f>
        <v>5.0000000000000001E-3</v>
      </c>
    </row>
    <row r="6" spans="1:21" x14ac:dyDescent="0.3">
      <c r="A6">
        <f>-24.9216624982401</f>
        <v>-24.921662498240099</v>
      </c>
      <c r="B6">
        <f t="shared" si="0"/>
        <v>-2.4921662498240099E-2</v>
      </c>
      <c r="C6">
        <v>-2.0345145691317498E-3</v>
      </c>
      <c r="D6">
        <f t="shared" si="4"/>
        <v>1.088020857774926E-3</v>
      </c>
      <c r="E6">
        <f t="shared" si="1"/>
        <v>-2.2135942866623104E-6</v>
      </c>
      <c r="H6">
        <f>-0.75</f>
        <v>-0.75</v>
      </c>
      <c r="I6">
        <f t="shared" si="2"/>
        <v>-7.5000000000000002E-4</v>
      </c>
      <c r="J6">
        <v>-2.6948338490760501E-3</v>
      </c>
      <c r="K6">
        <f t="shared" si="5"/>
        <v>8.3333333333333537E-2</v>
      </c>
      <c r="L6">
        <f t="shared" si="3"/>
        <v>-2.2456948742300472E-4</v>
      </c>
      <c r="N6" t="s">
        <v>112</v>
      </c>
      <c r="O6" t="s">
        <v>111</v>
      </c>
      <c r="P6">
        <f>5/1000</f>
        <v>5.0000000000000001E-3</v>
      </c>
    </row>
    <row r="7" spans="1:21" x14ac:dyDescent="0.3">
      <c r="A7">
        <f>-24.8955499976535</f>
        <v>-24.8955499976535</v>
      </c>
      <c r="B7">
        <f t="shared" si="0"/>
        <v>-2.4895549997653501E-2</v>
      </c>
      <c r="C7">
        <v>-2.0558047506966299E-3</v>
      </c>
      <c r="D7">
        <f t="shared" si="4"/>
        <v>1.1431963164437499E-3</v>
      </c>
      <c r="E7">
        <f t="shared" si="1"/>
        <v>-2.3501884183239487E-6</v>
      </c>
      <c r="H7">
        <f>-0.666666666666666</f>
        <v>-0.66666666666666596</v>
      </c>
      <c r="I7">
        <f t="shared" si="2"/>
        <v>-6.6666666666666599E-4</v>
      </c>
      <c r="J7">
        <v>-2.6951981686736399E-3</v>
      </c>
      <c r="K7">
        <f t="shared" si="5"/>
        <v>8.3333333333333481E-2</v>
      </c>
      <c r="L7">
        <f t="shared" si="3"/>
        <v>-2.2459984738947038E-4</v>
      </c>
      <c r="N7" t="s">
        <v>110</v>
      </c>
      <c r="O7" t="s">
        <v>109</v>
      </c>
      <c r="P7">
        <f>1/1000</f>
        <v>1E-3</v>
      </c>
    </row>
    <row r="8" spans="1:21" x14ac:dyDescent="0.3">
      <c r="A8">
        <f>-24.8667890750508</f>
        <v>-24.8667890750508</v>
      </c>
      <c r="B8">
        <f t="shared" si="0"/>
        <v>-2.4866789075050799E-2</v>
      </c>
      <c r="C8">
        <v>-2.06968612769954E-3</v>
      </c>
      <c r="D8">
        <f t="shared" si="4"/>
        <v>1.1983717751145977E-3</v>
      </c>
      <c r="E8">
        <f t="shared" si="1"/>
        <v>-2.4802534387813558E-6</v>
      </c>
      <c r="H8">
        <f>-0.583333333333333</f>
        <v>-0.58333333333333304</v>
      </c>
      <c r="I8">
        <f t="shared" si="2"/>
        <v>-5.8333333333333306E-4</v>
      </c>
      <c r="J8">
        <v>-2.6956004278730701E-3</v>
      </c>
      <c r="K8">
        <f t="shared" si="5"/>
        <v>8.3333333333332996E-2</v>
      </c>
      <c r="L8">
        <f t="shared" si="3"/>
        <v>-2.2463336898942161E-4</v>
      </c>
    </row>
    <row r="9" spans="1:21" x14ac:dyDescent="0.3">
      <c r="A9">
        <f>-24.838028152448</f>
        <v>-24.838028152448</v>
      </c>
      <c r="B9">
        <f t="shared" si="0"/>
        <v>-2.4838028152448E-2</v>
      </c>
      <c r="C9">
        <v>-2.0836608999432599E-3</v>
      </c>
      <c r="D9">
        <f t="shared" si="4"/>
        <v>1.1983717751145252E-3</v>
      </c>
      <c r="E9">
        <f t="shared" si="1"/>
        <v>-2.4970004114017336E-6</v>
      </c>
      <c r="H9">
        <f>-0.5</f>
        <v>-0.5</v>
      </c>
      <c r="I9">
        <f t="shared" si="2"/>
        <v>-5.0000000000000001E-4</v>
      </c>
      <c r="J9">
        <v>-2.6960027381462098E-3</v>
      </c>
      <c r="K9">
        <f t="shared" si="5"/>
        <v>8.3333333333333509E-2</v>
      </c>
      <c r="L9">
        <f t="shared" si="3"/>
        <v>-2.2466689484551796E-4</v>
      </c>
      <c r="N9" s="61" t="s">
        <v>137</v>
      </c>
      <c r="O9" s="61"/>
      <c r="P9" s="61"/>
      <c r="Q9" s="61"/>
      <c r="R9" s="61"/>
      <c r="S9" s="61"/>
      <c r="T9" s="61"/>
      <c r="U9" s="61"/>
    </row>
    <row r="10" spans="1:21" x14ac:dyDescent="0.3">
      <c r="A10">
        <f>-24.8092672298453</f>
        <v>-24.8092672298453</v>
      </c>
      <c r="B10">
        <f t="shared" si="0"/>
        <v>-2.4809267229845302E-2</v>
      </c>
      <c r="C10">
        <v>-2.0977296937961E-3</v>
      </c>
      <c r="D10">
        <f t="shared" si="4"/>
        <v>1.1983717751125015E-3</v>
      </c>
      <c r="E10">
        <f t="shared" si="1"/>
        <v>-2.5138600568606364E-6</v>
      </c>
      <c r="H10">
        <f>-0.416666666666666</f>
        <v>-0.41666666666666602</v>
      </c>
      <c r="I10">
        <f t="shared" si="2"/>
        <v>-4.1666666666666604E-4</v>
      </c>
      <c r="J10">
        <v>-2.6964050994990798E-3</v>
      </c>
      <c r="K10">
        <f t="shared" si="5"/>
        <v>8.3333333333333509E-2</v>
      </c>
      <c r="L10">
        <f t="shared" si="3"/>
        <v>-2.2470042495825713E-4</v>
      </c>
      <c r="N10" s="51" t="s">
        <v>149</v>
      </c>
      <c r="O10" s="51"/>
      <c r="Q10" s="51" t="s">
        <v>134</v>
      </c>
      <c r="R10" s="51"/>
      <c r="T10" s="51" t="s">
        <v>136</v>
      </c>
      <c r="U10" s="51"/>
    </row>
    <row r="11" spans="1:21" x14ac:dyDescent="0.3">
      <c r="A11">
        <f>-24.7805063072426</f>
        <v>-24.7805063072426</v>
      </c>
      <c r="B11">
        <f t="shared" si="0"/>
        <v>-2.47805063072426E-2</v>
      </c>
      <c r="C11">
        <v>-2.1118931398151999E-3</v>
      </c>
      <c r="D11">
        <f t="shared" si="4"/>
        <v>1.2607851127646209E-3</v>
      </c>
      <c r="E11">
        <f t="shared" si="1"/>
        <v>-2.6626434304287362E-6</v>
      </c>
      <c r="H11">
        <f>-0.333333333333333</f>
        <v>-0.33333333333333298</v>
      </c>
      <c r="I11">
        <f t="shared" si="2"/>
        <v>-3.33333333333333E-4</v>
      </c>
      <c r="J11">
        <v>-2.6968075119376302E-3</v>
      </c>
      <c r="K11">
        <f t="shared" si="5"/>
        <v>8.3333333333333023E-2</v>
      </c>
      <c r="L11">
        <f t="shared" si="3"/>
        <v>-2.2473395932813502E-4</v>
      </c>
      <c r="N11" t="s">
        <v>135</v>
      </c>
      <c r="O11">
        <f xml:space="preserve"> 1/(2*P4)</f>
        <v>20.833333333333332</v>
      </c>
      <c r="Q11" t="s">
        <v>8</v>
      </c>
      <c r="R11">
        <f>P3/(P3+P6)</f>
        <v>0.16666666666666666</v>
      </c>
      <c r="T11" t="s">
        <v>141</v>
      </c>
      <c r="U11">
        <f>1/(2*P7)</f>
        <v>500</v>
      </c>
    </row>
    <row r="12" spans="1:21" x14ac:dyDescent="0.3">
      <c r="A12">
        <f>-24.7487495444326</f>
        <v>-24.748749544432599</v>
      </c>
      <c r="B12">
        <f t="shared" si="0"/>
        <v>-2.47487495444326E-2</v>
      </c>
      <c r="C12">
        <v>-2.1231219216118601E-3</v>
      </c>
      <c r="D12">
        <f t="shared" si="4"/>
        <v>1.323198450416668E-3</v>
      </c>
      <c r="E12">
        <f t="shared" si="1"/>
        <v>-2.8093116367224719E-6</v>
      </c>
      <c r="H12">
        <f>-0.25</f>
        <v>-0.25</v>
      </c>
      <c r="I12">
        <f t="shared" si="2"/>
        <v>-2.5000000000000001E-4</v>
      </c>
      <c r="J12">
        <v>-2.6970553373554698E-3</v>
      </c>
      <c r="K12">
        <f t="shared" si="5"/>
        <v>8.3333333333333509E-2</v>
      </c>
      <c r="L12">
        <f t="shared" si="3"/>
        <v>-2.2475461144628962E-4</v>
      </c>
      <c r="Q12" t="s">
        <v>107</v>
      </c>
      <c r="R12">
        <f>(P6-P3)/(P6+P3)</f>
        <v>0.66666666666666663</v>
      </c>
    </row>
    <row r="13" spans="1:21" x14ac:dyDescent="0.3">
      <c r="A13">
        <f>-24.7169927816226</f>
        <v>-24.716992781622601</v>
      </c>
      <c r="B13">
        <f t="shared" si="0"/>
        <v>-2.47169927816226E-2</v>
      </c>
      <c r="C13">
        <v>-2.1344101918499099E-3</v>
      </c>
      <c r="D13">
        <f t="shared" si="4"/>
        <v>1.323198450416668E-3</v>
      </c>
      <c r="E13">
        <f t="shared" si="1"/>
        <v>-2.8242482584093438E-6</v>
      </c>
      <c r="H13">
        <f>-0.166666666666666</f>
        <v>-0.16666666666666599</v>
      </c>
      <c r="I13">
        <f t="shared" si="2"/>
        <v>-1.6666666666666598E-4</v>
      </c>
      <c r="J13">
        <v>-2.69730316906233E-3</v>
      </c>
      <c r="K13">
        <f t="shared" si="5"/>
        <v>8.3333333333333343E-2</v>
      </c>
      <c r="L13">
        <f t="shared" si="3"/>
        <v>-2.2477526408852752E-4</v>
      </c>
      <c r="N13" t="s">
        <v>139</v>
      </c>
      <c r="O13" s="13">
        <f>SUM(E3:E247)</f>
        <v>-2.6549978241827981E-3</v>
      </c>
      <c r="Q13" t="s">
        <v>139</v>
      </c>
      <c r="R13" s="13">
        <f>SUM(L19:L55)</f>
        <v>-2.751143200059722E-3</v>
      </c>
      <c r="T13" t="s">
        <v>139</v>
      </c>
      <c r="U13" s="13">
        <f>SUM(L3:L15)</f>
        <v>-2.6959251823344857E-3</v>
      </c>
    </row>
    <row r="14" spans="1:21" x14ac:dyDescent="0.3">
      <c r="A14">
        <f>-24.6852360188126</f>
        <v>-24.685236018812599</v>
      </c>
      <c r="B14">
        <f t="shared" si="0"/>
        <v>-2.46852360188126E-2</v>
      </c>
      <c r="C14">
        <v>-2.1457582646839798E-3</v>
      </c>
      <c r="D14">
        <f t="shared" si="4"/>
        <v>1.3231984504187642E-3</v>
      </c>
      <c r="E14">
        <f t="shared" si="1"/>
        <v>-2.8392640108030984E-6</v>
      </c>
      <c r="H14">
        <f>-0.0833333333333333</f>
        <v>-8.3333333333333301E-2</v>
      </c>
      <c r="I14">
        <f t="shared" si="2"/>
        <v>-8.3333333333333303E-5</v>
      </c>
      <c r="J14">
        <v>-2.6975510070583199E-3</v>
      </c>
      <c r="K14">
        <f t="shared" si="5"/>
        <v>8.3333333333332996E-2</v>
      </c>
      <c r="L14">
        <f t="shared" si="3"/>
        <v>-2.2479591725485908E-4</v>
      </c>
      <c r="N14" t="s">
        <v>140</v>
      </c>
      <c r="O14" s="13">
        <f>2*PI()*P4*P3</f>
        <v>1.5079644737231007E-4</v>
      </c>
      <c r="Q14" t="s">
        <v>140</v>
      </c>
      <c r="R14" s="13">
        <f>PI()*(P6^2 - P3^2)</f>
        <v>7.5398223686155033E-5</v>
      </c>
      <c r="T14" t="s">
        <v>140</v>
      </c>
      <c r="U14" s="13">
        <f>2*PI()*P6*P7</f>
        <v>3.1415926535897935E-5</v>
      </c>
    </row>
    <row r="15" spans="1:21" x14ac:dyDescent="0.3">
      <c r="A15">
        <f>-24.6534792560025</f>
        <v>-24.653479256002498</v>
      </c>
      <c r="B15">
        <f t="shared" si="0"/>
        <v>-2.4653479256002499E-2</v>
      </c>
      <c r="C15">
        <v>-2.1571664559229802E-3</v>
      </c>
      <c r="D15">
        <f t="shared" si="4"/>
        <v>1.3921130280541635E-3</v>
      </c>
      <c r="E15">
        <f t="shared" si="1"/>
        <v>-3.0030195269718083E-6</v>
      </c>
      <c r="H15">
        <v>0</v>
      </c>
      <c r="I15">
        <f t="shared" si="2"/>
        <v>0</v>
      </c>
      <c r="J15">
        <v>-2.6977988513435698E-3</v>
      </c>
      <c r="K15">
        <f>$U$11*(I15-I14)</f>
        <v>4.166666666666665E-2</v>
      </c>
      <c r="L15">
        <f t="shared" si="3"/>
        <v>-1.1240828547264869E-4</v>
      </c>
      <c r="N15" t="s">
        <v>108</v>
      </c>
      <c r="O15" s="13">
        <f>O13*O14</f>
        <v>-4.0036423966797901E-7</v>
      </c>
      <c r="Q15" t="s">
        <v>108</v>
      </c>
      <c r="R15" s="13">
        <f>R14*R13</f>
        <v>-2.074313103907473E-7</v>
      </c>
      <c r="T15" t="s">
        <v>108</v>
      </c>
      <c r="U15" s="13">
        <f>U14*U13</f>
        <v>-8.4694987474497452E-8</v>
      </c>
    </row>
    <row r="16" spans="1:21" x14ac:dyDescent="0.3">
      <c r="A16">
        <f>-24.618414593466</f>
        <v>-24.618414593465999</v>
      </c>
      <c r="B16">
        <f t="shared" si="0"/>
        <v>-2.4618414593466E-2</v>
      </c>
      <c r="C16">
        <v>-2.1669208445942402E-3</v>
      </c>
      <c r="D16">
        <f t="shared" si="4"/>
        <v>1.4610276056895629E-3</v>
      </c>
      <c r="E16">
        <f t="shared" si="1"/>
        <v>-3.1659311732963281E-6</v>
      </c>
    </row>
    <row r="17" spans="1:21" x14ac:dyDescent="0.3">
      <c r="A17">
        <f>-24.5833499309294</f>
        <v>-24.583349930929401</v>
      </c>
      <c r="B17">
        <f t="shared" si="0"/>
        <v>-2.45833499309294E-2</v>
      </c>
      <c r="C17">
        <v>-2.1767191824835501E-3</v>
      </c>
      <c r="D17">
        <f t="shared" si="4"/>
        <v>1.4610276056916589E-3</v>
      </c>
      <c r="E17">
        <f t="shared" si="1"/>
        <v>-3.1802468154470464E-6</v>
      </c>
      <c r="H17" s="62" t="s">
        <v>126</v>
      </c>
      <c r="I17" s="62"/>
      <c r="J17" s="62"/>
      <c r="K17" s="62"/>
      <c r="L17" s="62"/>
      <c r="N17" s="63" t="s">
        <v>138</v>
      </c>
      <c r="O17" s="63"/>
      <c r="P17" s="63"/>
      <c r="Q17" s="63"/>
      <c r="R17" s="63"/>
      <c r="S17" s="63"/>
      <c r="T17" s="63"/>
      <c r="U17" s="63"/>
    </row>
    <row r="18" spans="1:21" x14ac:dyDescent="0.3">
      <c r="A18">
        <f>-24.5482852683928</f>
        <v>-24.548285268392799</v>
      </c>
      <c r="B18">
        <f t="shared" si="0"/>
        <v>-2.4548285268392801E-2</v>
      </c>
      <c r="C18">
        <v>-2.1865616669737402E-3</v>
      </c>
      <c r="D18">
        <f t="shared" si="4"/>
        <v>1.4610276056916589E-3</v>
      </c>
      <c r="E18">
        <f t="shared" si="1"/>
        <v>-3.1946269569958061E-6</v>
      </c>
      <c r="H18" s="25" t="s">
        <v>123</v>
      </c>
      <c r="I18" s="25" t="s">
        <v>131</v>
      </c>
      <c r="J18" s="25" t="s">
        <v>133</v>
      </c>
      <c r="K18" s="25" t="s">
        <v>121</v>
      </c>
      <c r="L18" s="25" t="s">
        <v>130</v>
      </c>
      <c r="N18" s="55" t="s">
        <v>146</v>
      </c>
      <c r="O18" s="55"/>
      <c r="P18" s="55"/>
      <c r="Q18" s="55"/>
      <c r="R18" s="55"/>
      <c r="S18" s="55"/>
      <c r="T18" s="55"/>
      <c r="U18" s="55"/>
    </row>
    <row r="19" spans="1:21" x14ac:dyDescent="0.3">
      <c r="A19">
        <f>-24.5132206058562</f>
        <v>-24.513220605856201</v>
      </c>
      <c r="B19">
        <f t="shared" si="0"/>
        <v>-2.4513220605856201E-2</v>
      </c>
      <c r="C19">
        <v>-2.1964484963315702E-3</v>
      </c>
      <c r="D19">
        <f t="shared" si="4"/>
        <v>1.5371205776916618E-3</v>
      </c>
      <c r="E19">
        <f t="shared" si="1"/>
        <v>-3.376206181551165E-6</v>
      </c>
      <c r="H19">
        <v>1</v>
      </c>
      <c r="I19">
        <f t="shared" ref="I19:I55" si="6">H19/1000</f>
        <v>1E-3</v>
      </c>
      <c r="J19">
        <v>-2.0345145691317498E-3</v>
      </c>
      <c r="K19">
        <f>(R$11+(R$12*((I19-P$3)/(P$6-P$3))))*(((I20-P$3)/(P$6-P$3))-((I19-P$3)/(P$6-P$3)))</f>
        <v>4.6296296296295834E-3</v>
      </c>
      <c r="L19">
        <f t="shared" ref="L19:L55" si="7">J19*K19</f>
        <v>-9.419048931165415E-6</v>
      </c>
    </row>
    <row r="20" spans="1:21" x14ac:dyDescent="0.3">
      <c r="A20">
        <f>-24.4745034806636</f>
        <v>-24.4745034806636</v>
      </c>
      <c r="B20">
        <f t="shared" si="0"/>
        <v>-2.4474503480663601E-2</v>
      </c>
      <c r="C20">
        <v>-2.20525068573064E-3</v>
      </c>
      <c r="D20">
        <f t="shared" si="4"/>
        <v>1.6132135496937608E-3</v>
      </c>
      <c r="E20">
        <f t="shared" si="1"/>
        <v>-3.5575402866921259E-6</v>
      </c>
      <c r="H20">
        <v>1.1111111111111101</v>
      </c>
      <c r="I20">
        <f t="shared" si="6"/>
        <v>1.11111111111111E-3</v>
      </c>
      <c r="J20">
        <v>-2.8299983355475201E-3</v>
      </c>
      <c r="K20">
        <f t="shared" ref="K20:K54" si="8">(R$11+(R$12*((I20-P$3)/(P$6-P$3))))*(((I21-P$3)/(P$6-P$3))-((I19-P$3)/(P$6-P$3)))</f>
        <v>1.0288065843621286E-2</v>
      </c>
      <c r="L20">
        <f t="shared" si="7"/>
        <v>-2.9115209213451534E-5</v>
      </c>
      <c r="N20" s="27" t="s">
        <v>147</v>
      </c>
      <c r="O20" s="27">
        <f>O15+U15+R15</f>
        <v>-6.9249053753322378E-7</v>
      </c>
    </row>
    <row r="21" spans="1:21" x14ac:dyDescent="0.3">
      <c r="A21">
        <f>-24.4357863554709</f>
        <v>-24.435786355470899</v>
      </c>
      <c r="B21">
        <f t="shared" si="0"/>
        <v>-2.44357863554709E-2</v>
      </c>
      <c r="C21">
        <v>-2.2140880225555199E-3</v>
      </c>
      <c r="D21">
        <f t="shared" si="4"/>
        <v>1.6132135496937608E-3</v>
      </c>
      <c r="E21">
        <f t="shared" si="1"/>
        <v>-3.5717967982012299E-6</v>
      </c>
      <c r="H21">
        <v>1.2222222222222201</v>
      </c>
      <c r="I21">
        <f t="shared" si="6"/>
        <v>1.22222222222222E-3</v>
      </c>
      <c r="J21">
        <v>-2.82566124994868E-3</v>
      </c>
      <c r="K21">
        <f t="shared" si="8"/>
        <v>1.1316872427983404E-2</v>
      </c>
      <c r="L21">
        <f t="shared" si="7"/>
        <v>-3.1977647890365336E-5</v>
      </c>
    </row>
    <row r="22" spans="1:21" x14ac:dyDescent="0.3">
      <c r="A22">
        <f>-24.3970692302783</f>
        <v>-24.397069230278301</v>
      </c>
      <c r="B22">
        <f t="shared" si="0"/>
        <v>-2.43970692302783E-2</v>
      </c>
      <c r="C22">
        <v>-2.2229606467011999E-3</v>
      </c>
      <c r="D22">
        <f t="shared" si="4"/>
        <v>1.6132135496937608E-3</v>
      </c>
      <c r="E22">
        <f t="shared" si="1"/>
        <v>-3.5861102356943809E-6</v>
      </c>
      <c r="H22">
        <v>1.3333333333333299</v>
      </c>
      <c r="I22">
        <f t="shared" si="6"/>
        <v>1.33333333333333E-3</v>
      </c>
      <c r="J22">
        <v>-2.82133080739951E-3</v>
      </c>
      <c r="K22">
        <f t="shared" si="8"/>
        <v>1.2345679012345526E-2</v>
      </c>
      <c r="L22">
        <f t="shared" si="7"/>
        <v>-3.483124453579599E-5</v>
      </c>
    </row>
    <row r="23" spans="1:21" x14ac:dyDescent="0.3">
      <c r="A23">
        <f>-24.3583521050856</f>
        <v>-24.358352105085601</v>
      </c>
      <c r="B23">
        <f t="shared" si="0"/>
        <v>-2.43583521050856E-2</v>
      </c>
      <c r="C23">
        <v>-2.2318686986178599E-3</v>
      </c>
      <c r="D23">
        <f t="shared" si="4"/>
        <v>1.6972326436604246E-3</v>
      </c>
      <c r="E23">
        <f t="shared" si="1"/>
        <v>-3.7880004116581415E-6</v>
      </c>
      <c r="H23">
        <v>1.44444444444444</v>
      </c>
      <c r="I23">
        <f t="shared" si="6"/>
        <v>1.44444444444444E-3</v>
      </c>
      <c r="J23">
        <v>-2.81700699773092E-3</v>
      </c>
      <c r="K23">
        <f t="shared" si="8"/>
        <v>1.3374485596707645E-2</v>
      </c>
      <c r="L23">
        <f t="shared" si="7"/>
        <v>-3.7676019516976837E-5</v>
      </c>
    </row>
    <row r="24" spans="1:21" x14ac:dyDescent="0.3">
      <c r="A24">
        <f>-24.3156020633826</f>
        <v>-24.315602063382599</v>
      </c>
      <c r="B24">
        <f t="shared" si="0"/>
        <v>-2.43156020633826E-2</v>
      </c>
      <c r="C24">
        <v>-2.2398884624715999E-3</v>
      </c>
      <c r="D24">
        <f t="shared" si="4"/>
        <v>1.7812517376270883E-3</v>
      </c>
      <c r="E24">
        <f t="shared" si="1"/>
        <v>-3.9898052158684047E-6</v>
      </c>
      <c r="H24">
        <v>1.55555555555555</v>
      </c>
      <c r="I24">
        <f t="shared" si="6"/>
        <v>1.55555555555555E-3</v>
      </c>
      <c r="J24">
        <v>-2.8134339539137901E-3</v>
      </c>
      <c r="K24">
        <f t="shared" si="8"/>
        <v>1.4403292181069758E-2</v>
      </c>
      <c r="L24">
        <f t="shared" si="7"/>
        <v>-4.0522711270362665E-5</v>
      </c>
    </row>
    <row r="25" spans="1:21" x14ac:dyDescent="0.3">
      <c r="A25">
        <f>-24.2728520216795</f>
        <v>-24.272852021679501</v>
      </c>
      <c r="B25">
        <f t="shared" si="0"/>
        <v>-2.4272852021679499E-2</v>
      </c>
      <c r="C25">
        <v>-2.2479369396834399E-3</v>
      </c>
      <c r="D25">
        <f t="shared" si="4"/>
        <v>1.7812517376291845E-3</v>
      </c>
      <c r="E25">
        <f t="shared" si="1"/>
        <v>-4.0041415798919584E-6</v>
      </c>
      <c r="H25">
        <v>1.6666666666666601</v>
      </c>
      <c r="I25">
        <f t="shared" si="6"/>
        <v>1.6666666666666601E-3</v>
      </c>
      <c r="J25">
        <v>-2.8098654390638599E-3</v>
      </c>
      <c r="K25">
        <f t="shared" si="8"/>
        <v>1.5432098765431867E-2</v>
      </c>
      <c r="L25">
        <f t="shared" si="7"/>
        <v>-4.3362120973207061E-5</v>
      </c>
    </row>
    <row r="26" spans="1:21" x14ac:dyDescent="0.3">
      <c r="A26">
        <f>-24.2301019799764</f>
        <v>-24.2301019799764</v>
      </c>
      <c r="B26">
        <f t="shared" si="0"/>
        <v>-2.4230101979976399E-2</v>
      </c>
      <c r="C26">
        <v>-2.2560142327262998E-3</v>
      </c>
      <c r="D26">
        <f t="shared" si="4"/>
        <v>1.7812517376270161E-3</v>
      </c>
      <c r="E26">
        <f t="shared" si="1"/>
        <v>-4.0185292721550011E-6</v>
      </c>
      <c r="H26">
        <v>1.7777777777777699</v>
      </c>
      <c r="I26">
        <f t="shared" si="6"/>
        <v>1.7777777777777698E-3</v>
      </c>
      <c r="J26">
        <v>-2.80630144744453E-3</v>
      </c>
      <c r="K26">
        <f t="shared" si="8"/>
        <v>1.6460905349794008E-2</v>
      </c>
      <c r="L26">
        <f t="shared" si="7"/>
        <v>-4.619426250937433E-5</v>
      </c>
    </row>
    <row r="27" spans="1:21" x14ac:dyDescent="0.3">
      <c r="A27">
        <f>-24.1873519382734</f>
        <v>-24.187351938273402</v>
      </c>
      <c r="B27">
        <f t="shared" si="0"/>
        <v>-2.4187351938273403E-2</v>
      </c>
      <c r="C27">
        <v>-2.2641204444377601E-3</v>
      </c>
      <c r="D27">
        <f t="shared" si="4"/>
        <v>1.8740225671999334E-3</v>
      </c>
      <c r="E27">
        <f t="shared" si="1"/>
        <v>-4.2430128077351054E-6</v>
      </c>
      <c r="H27">
        <v>1.88888888888888</v>
      </c>
      <c r="I27">
        <f t="shared" si="6"/>
        <v>1.8888888888888801E-3</v>
      </c>
      <c r="J27">
        <v>-2.8027419733264599E-3</v>
      </c>
      <c r="K27">
        <f t="shared" si="8"/>
        <v>1.7489711934156923E-2</v>
      </c>
      <c r="L27">
        <f t="shared" si="7"/>
        <v>-4.9019149739250309E-5</v>
      </c>
    </row>
    <row r="28" spans="1:21" x14ac:dyDescent="0.3">
      <c r="A28">
        <f>-24.1401488967508</f>
        <v>-24.140148896750802</v>
      </c>
      <c r="B28">
        <f t="shared" si="0"/>
        <v>-2.4140148896750802E-2</v>
      </c>
      <c r="C28">
        <v>-2.2715567887177301E-3</v>
      </c>
      <c r="D28">
        <f t="shared" si="4"/>
        <v>1.9667933967729232E-3</v>
      </c>
      <c r="E28">
        <f t="shared" si="1"/>
        <v>-4.4676828924447378E-6</v>
      </c>
      <c r="H28">
        <v>2</v>
      </c>
      <c r="I28">
        <f t="shared" si="6"/>
        <v>2E-3</v>
      </c>
      <c r="J28">
        <v>-2.7995143804643002E-3</v>
      </c>
      <c r="K28">
        <f t="shared" si="8"/>
        <v>1.8518518518519128E-2</v>
      </c>
      <c r="L28">
        <f t="shared" si="7"/>
        <v>-5.1842858897488745E-5</v>
      </c>
    </row>
    <row r="29" spans="1:21" x14ac:dyDescent="0.3">
      <c r="A29">
        <f>-24.0929458552283</f>
        <v>-24.092945855228301</v>
      </c>
      <c r="B29">
        <f t="shared" si="0"/>
        <v>-2.4092945855228302E-2</v>
      </c>
      <c r="C29">
        <v>-2.2790174687675499E-3</v>
      </c>
      <c r="D29">
        <f t="shared" si="4"/>
        <v>1.9667933967729232E-3</v>
      </c>
      <c r="E29">
        <f t="shared" si="1"/>
        <v>-4.4823565087021588E-6</v>
      </c>
      <c r="H29">
        <v>2.1111111111111098</v>
      </c>
      <c r="I29">
        <f t="shared" si="6"/>
        <v>2.1111111111111096E-3</v>
      </c>
      <c r="J29">
        <v>-2.7962905015538101E-3</v>
      </c>
      <c r="K29">
        <f t="shared" si="8"/>
        <v>1.9547325102880458E-2</v>
      </c>
      <c r="L29">
        <f t="shared" si="7"/>
        <v>-5.465999951596898E-5</v>
      </c>
    </row>
    <row r="30" spans="1:21" x14ac:dyDescent="0.3">
      <c r="A30">
        <f>-24.0457428137057</f>
        <v>-24.045742813705701</v>
      </c>
      <c r="B30">
        <f t="shared" si="0"/>
        <v>-2.4045742813705702E-2</v>
      </c>
      <c r="C30">
        <v>-2.2865025639707201E-3</v>
      </c>
      <c r="D30">
        <f t="shared" si="4"/>
        <v>1.9667933967729952E-3</v>
      </c>
      <c r="E30">
        <f t="shared" si="1"/>
        <v>-4.4970781445221357E-6</v>
      </c>
      <c r="H30">
        <v>2.2222222222222201</v>
      </c>
      <c r="I30">
        <f t="shared" si="6"/>
        <v>2.2222222222222201E-3</v>
      </c>
      <c r="J30">
        <v>-2.7930703323248802E-3</v>
      </c>
      <c r="K30">
        <f t="shared" si="8"/>
        <v>2.0576131687242604E-2</v>
      </c>
      <c r="L30">
        <f t="shared" si="7"/>
        <v>-5.7470582969647196E-5</v>
      </c>
    </row>
    <row r="31" spans="1:21" x14ac:dyDescent="0.3">
      <c r="A31">
        <f>-23.9985397721832</f>
        <v>-23.9985397721832</v>
      </c>
      <c r="B31">
        <f t="shared" si="0"/>
        <v>-2.3998539772183199E-2</v>
      </c>
      <c r="C31">
        <v>-2.2940121539689398E-3</v>
      </c>
      <c r="D31">
        <f t="shared" si="4"/>
        <v>2.0692275745208743E-3</v>
      </c>
      <c r="E31">
        <f t="shared" si="1"/>
        <v>-4.7468332052785562E-6</v>
      </c>
      <c r="H31">
        <v>2.3333333333333299</v>
      </c>
      <c r="I31">
        <f t="shared" si="6"/>
        <v>2.3333333333333301E-3</v>
      </c>
      <c r="J31">
        <v>-2.7898538685123598E-3</v>
      </c>
      <c r="K31">
        <f t="shared" si="8"/>
        <v>2.1604938271604677E-2</v>
      </c>
      <c r="L31">
        <f t="shared" si="7"/>
        <v>-6.0274620616007044E-5</v>
      </c>
    </row>
    <row r="32" spans="1:21" x14ac:dyDescent="0.3">
      <c r="A32">
        <f>-23.9464198901287</f>
        <v>-23.946419890128698</v>
      </c>
      <c r="B32">
        <f t="shared" si="0"/>
        <v>-2.39464198901287E-2</v>
      </c>
      <c r="C32">
        <v>-2.3009791882873799E-3</v>
      </c>
      <c r="D32">
        <f t="shared" si="4"/>
        <v>2.1716617522707774E-3</v>
      </c>
      <c r="E32">
        <f t="shared" si="1"/>
        <v>-4.9969484959747628E-6</v>
      </c>
      <c r="H32">
        <v>2.4444444444444402</v>
      </c>
      <c r="I32">
        <f t="shared" si="6"/>
        <v>2.4444444444444401E-3</v>
      </c>
      <c r="J32">
        <v>-2.7867350757530599E-3</v>
      </c>
      <c r="K32">
        <f t="shared" si="8"/>
        <v>2.2633744855966819E-2</v>
      </c>
      <c r="L32">
        <f t="shared" si="7"/>
        <v>-6.3074250685768123E-5</v>
      </c>
    </row>
    <row r="33" spans="1:12" x14ac:dyDescent="0.3">
      <c r="A33">
        <f>-23.8943000080742</f>
        <v>-23.8943000080742</v>
      </c>
      <c r="B33">
        <f t="shared" si="0"/>
        <v>-2.3894300008074201E-2</v>
      </c>
      <c r="C33">
        <v>-2.30796730527342E-3</v>
      </c>
      <c r="D33">
        <f t="shared" si="4"/>
        <v>2.1716617522686815E-3</v>
      </c>
      <c r="E33">
        <f t="shared" si="1"/>
        <v>-5.0121243223489019E-6</v>
      </c>
      <c r="H33">
        <v>2.55555555555555</v>
      </c>
      <c r="I33">
        <f t="shared" si="6"/>
        <v>2.5555555555555501E-3</v>
      </c>
      <c r="J33">
        <v>-2.78361976637574E-3</v>
      </c>
      <c r="K33">
        <f t="shared" si="8"/>
        <v>2.3662551440328937E-2</v>
      </c>
      <c r="L33">
        <f t="shared" si="7"/>
        <v>-6.586754591218236E-5</v>
      </c>
    </row>
    <row r="34" spans="1:12" x14ac:dyDescent="0.3">
      <c r="A34">
        <f>-23.8421801260198</f>
        <v>-23.842180126019802</v>
      </c>
      <c r="B34">
        <f t="shared" si="0"/>
        <v>-2.3842180126019803E-2</v>
      </c>
      <c r="C34">
        <v>-2.3149765685190598E-3</v>
      </c>
      <c r="D34">
        <f t="shared" si="4"/>
        <v>2.1716617522687534E-3</v>
      </c>
      <c r="E34">
        <f t="shared" si="1"/>
        <v>-5.0273460712512072E-6</v>
      </c>
      <c r="H34">
        <v>2.6666666666666599</v>
      </c>
      <c r="I34">
        <f t="shared" si="6"/>
        <v>2.6666666666666601E-3</v>
      </c>
      <c r="J34">
        <v>-2.7805079364935201E-3</v>
      </c>
      <c r="K34">
        <f t="shared" si="8"/>
        <v>2.4691358024691058E-2</v>
      </c>
      <c r="L34">
        <f t="shared" si="7"/>
        <v>-6.8654516950456451E-5</v>
      </c>
    </row>
    <row r="35" spans="1:12" x14ac:dyDescent="0.3">
      <c r="A35">
        <f>-23.7900602439653</f>
        <v>-23.7900602439653</v>
      </c>
      <c r="B35">
        <f t="shared" si="0"/>
        <v>-2.3790060243965301E-2</v>
      </c>
      <c r="C35">
        <v>-2.3220070418075601E-3</v>
      </c>
      <c r="D35">
        <f t="shared" si="4"/>
        <v>2.2847663953771765E-3</v>
      </c>
      <c r="E35">
        <f t="shared" si="1"/>
        <v>-5.3052436589510793E-6</v>
      </c>
      <c r="H35">
        <v>2.7777777777777701</v>
      </c>
      <c r="I35">
        <f t="shared" si="6"/>
        <v>2.7777777777777701E-3</v>
      </c>
      <c r="J35">
        <v>-2.7773995822238501E-3</v>
      </c>
      <c r="K35">
        <f t="shared" si="8"/>
        <v>2.5720164609053155E-2</v>
      </c>
      <c r="L35">
        <f t="shared" si="7"/>
        <v>-7.1435174439912896E-5</v>
      </c>
    </row>
    <row r="36" spans="1:12" x14ac:dyDescent="0.3">
      <c r="A36">
        <f>-23.7325113390417</f>
        <v>-23.7325113390417</v>
      </c>
      <c r="B36">
        <f t="shared" si="0"/>
        <v>-2.3732511339041699E-2</v>
      </c>
      <c r="C36">
        <v>-2.3285025979562402E-3</v>
      </c>
      <c r="D36">
        <f t="shared" si="4"/>
        <v>2.3978710384833586E-3</v>
      </c>
      <c r="E36">
        <f t="shared" si="1"/>
        <v>-5.5834489426725277E-6</v>
      </c>
      <c r="H36">
        <v>2.88888888888888</v>
      </c>
      <c r="I36">
        <f t="shared" si="6"/>
        <v>2.8888888888888801E-3</v>
      </c>
      <c r="J36">
        <v>-2.7742280018624101E-3</v>
      </c>
      <c r="K36">
        <f t="shared" si="8"/>
        <v>2.6748971193416474E-2</v>
      </c>
      <c r="L36">
        <f t="shared" si="7"/>
        <v>-7.4207744905786945E-5</v>
      </c>
    </row>
    <row r="37" spans="1:12" x14ac:dyDescent="0.3">
      <c r="A37">
        <f>-23.6749624341181</f>
        <v>-23.6749624341181</v>
      </c>
      <c r="B37">
        <f t="shared" si="0"/>
        <v>-2.36749624341181E-2</v>
      </c>
      <c r="C37">
        <v>-2.3350162587552899E-3</v>
      </c>
      <c r="D37">
        <f t="shared" si="4"/>
        <v>2.3978710384832862E-3</v>
      </c>
      <c r="E37">
        <f t="shared" si="1"/>
        <v>-5.5990678612569048E-6</v>
      </c>
      <c r="H37">
        <v>3</v>
      </c>
      <c r="I37">
        <f t="shared" si="6"/>
        <v>3.0000000000000001E-3</v>
      </c>
      <c r="J37">
        <v>-2.7710600395151001E-3</v>
      </c>
      <c r="K37">
        <f t="shared" si="8"/>
        <v>2.7777777777778678E-2</v>
      </c>
      <c r="L37">
        <f t="shared" si="7"/>
        <v>-7.6973889986533048E-5</v>
      </c>
    </row>
    <row r="38" spans="1:12" x14ac:dyDescent="0.3">
      <c r="A38">
        <f>-23.6174135291945</f>
        <v>-23.617413529194501</v>
      </c>
      <c r="B38">
        <f t="shared" si="0"/>
        <v>-2.3617413529194501E-2</v>
      </c>
      <c r="C38">
        <v>-2.3415480745037401E-3</v>
      </c>
      <c r="D38">
        <f t="shared" si="4"/>
        <v>2.3978710384832862E-3</v>
      </c>
      <c r="E38">
        <f t="shared" si="1"/>
        <v>-5.6147303130688222E-6</v>
      </c>
      <c r="H38">
        <v>3.1111111111111098</v>
      </c>
      <c r="I38">
        <f t="shared" si="6"/>
        <v>3.1111111111111096E-3</v>
      </c>
      <c r="J38">
        <v>-2.76789569105909E-3</v>
      </c>
      <c r="K38">
        <f t="shared" si="8"/>
        <v>2.8806584362139624E-2</v>
      </c>
      <c r="L38">
        <f t="shared" si="7"/>
        <v>-7.9733620730096423E-5</v>
      </c>
    </row>
    <row r="39" spans="1:12" x14ac:dyDescent="0.3">
      <c r="A39">
        <f>-23.5598646242709</f>
        <v>-23.559864624270901</v>
      </c>
      <c r="B39">
        <f t="shared" si="0"/>
        <v>-2.3559864624270902E-2</v>
      </c>
      <c r="C39">
        <v>-2.3480980956399398E-3</v>
      </c>
      <c r="D39">
        <f t="shared" si="4"/>
        <v>2.5227566540353898E-3</v>
      </c>
      <c r="E39">
        <f t="shared" si="1"/>
        <v>-5.9236800951034854E-6</v>
      </c>
      <c r="H39">
        <v>3.2222222222222201</v>
      </c>
      <c r="I39">
        <f t="shared" si="6"/>
        <v>3.2222222222222201E-3</v>
      </c>
      <c r="J39">
        <v>-2.7647349523762799E-3</v>
      </c>
      <c r="K39">
        <f t="shared" si="8"/>
        <v>2.9835390946501811E-2</v>
      </c>
      <c r="L39">
        <f t="shared" si="7"/>
        <v>-8.2486948167604377E-5</v>
      </c>
    </row>
    <row r="40" spans="1:12" x14ac:dyDescent="0.3">
      <c r="A40">
        <f>-23.4963212098008</f>
        <v>-23.496321209800801</v>
      </c>
      <c r="B40">
        <f t="shared" si="0"/>
        <v>-2.3496321209800802E-2</v>
      </c>
      <c r="C40">
        <v>-2.35421340035876E-3</v>
      </c>
      <c r="D40">
        <f t="shared" si="4"/>
        <v>2.6476422695875653E-3</v>
      </c>
      <c r="E40">
        <f t="shared" si="1"/>
        <v>-6.2331149104193268E-6</v>
      </c>
      <c r="H40">
        <v>3.3333333333333299</v>
      </c>
      <c r="I40">
        <f t="shared" si="6"/>
        <v>3.3333333333333301E-3</v>
      </c>
      <c r="J40">
        <v>-2.7613759903806399E-3</v>
      </c>
      <c r="K40">
        <f t="shared" si="8"/>
        <v>3.0864197530863866E-2</v>
      </c>
      <c r="L40">
        <f t="shared" si="7"/>
        <v>-8.5227654024092902E-5</v>
      </c>
    </row>
    <row r="41" spans="1:12" x14ac:dyDescent="0.3">
      <c r="A41">
        <f>-23.4327777953307</f>
        <v>-23.432777795330701</v>
      </c>
      <c r="B41">
        <f t="shared" si="0"/>
        <v>-2.3432777795330699E-2</v>
      </c>
      <c r="C41">
        <v>-2.3603445736469098E-3</v>
      </c>
      <c r="D41">
        <f t="shared" si="4"/>
        <v>2.6476422695875653E-3</v>
      </c>
      <c r="E41">
        <f t="shared" si="1"/>
        <v>-6.2493480639791989E-6</v>
      </c>
      <c r="H41">
        <v>3.4444444444444402</v>
      </c>
      <c r="I41">
        <f t="shared" si="6"/>
        <v>3.4444444444444401E-3</v>
      </c>
      <c r="J41">
        <v>-2.7580211046507302E-3</v>
      </c>
      <c r="K41">
        <f t="shared" si="8"/>
        <v>3.1893004115225991E-2</v>
      </c>
      <c r="L41">
        <f t="shared" si="7"/>
        <v>-8.7961578440505869E-5</v>
      </c>
    </row>
    <row r="42" spans="1:12" x14ac:dyDescent="0.3">
      <c r="A42">
        <f>-23.3692343808606</f>
        <v>-23.3692343808606</v>
      </c>
      <c r="B42">
        <f t="shared" si="0"/>
        <v>-2.3369234380860599E-2</v>
      </c>
      <c r="C42">
        <v>-2.3664916565484299E-3</v>
      </c>
      <c r="D42">
        <f t="shared" si="4"/>
        <v>2.6476422695874934E-3</v>
      </c>
      <c r="E42">
        <f t="shared" si="1"/>
        <v>-6.2656233405037518E-6</v>
      </c>
      <c r="H42">
        <v>3.55555555555555</v>
      </c>
      <c r="I42">
        <f t="shared" si="6"/>
        <v>3.5555555555555501E-3</v>
      </c>
      <c r="J42">
        <v>-2.7546702902458498E-3</v>
      </c>
      <c r="K42">
        <f t="shared" si="8"/>
        <v>3.2921810699587981E-2</v>
      </c>
      <c r="L42">
        <f t="shared" si="7"/>
        <v>-9.068873383525295E-5</v>
      </c>
    </row>
    <row r="43" spans="1:12" x14ac:dyDescent="0.3">
      <c r="A43">
        <f>-23.3056909663905</f>
        <v>-23.3056909663905</v>
      </c>
      <c r="B43">
        <f t="shared" si="0"/>
        <v>-2.3305690966390499E-2</v>
      </c>
      <c r="C43">
        <v>-2.3726546902132699E-3</v>
      </c>
      <c r="D43">
        <f t="shared" si="4"/>
        <v>2.7855362834708409E-3</v>
      </c>
      <c r="E43">
        <f t="shared" si="1"/>
        <v>-6.6091157277363308E-6</v>
      </c>
      <c r="H43">
        <v>3.6666666666666599</v>
      </c>
      <c r="I43">
        <f t="shared" si="6"/>
        <v>3.6666666666666597E-3</v>
      </c>
      <c r="J43">
        <v>-2.7513235422312499E-3</v>
      </c>
      <c r="K43">
        <f t="shared" si="8"/>
        <v>3.395061728395022E-2</v>
      </c>
      <c r="L43">
        <f t="shared" si="7"/>
        <v>-9.3409132606615412E-5</v>
      </c>
    </row>
    <row r="44" spans="1:12" x14ac:dyDescent="0.3">
      <c r="A44">
        <f>-23.235528639254</f>
        <v>-23.235528639253999</v>
      </c>
      <c r="B44">
        <f t="shared" si="0"/>
        <v>-2.3235528639253999E-2</v>
      </c>
      <c r="C44">
        <v>-2.3784436487756301E-3</v>
      </c>
      <c r="D44">
        <f t="shared" si="4"/>
        <v>2.9234302973541884E-3</v>
      </c>
      <c r="E44">
        <f t="shared" si="1"/>
        <v>-6.9532142233803214E-6</v>
      </c>
      <c r="H44">
        <v>3.7777777777777701</v>
      </c>
      <c r="I44">
        <f t="shared" si="6"/>
        <v>3.7777777777777701E-3</v>
      </c>
      <c r="J44">
        <v>-2.7475918604915198E-3</v>
      </c>
      <c r="K44">
        <f t="shared" si="8"/>
        <v>3.4979423868312418E-2</v>
      </c>
      <c r="L44">
        <f t="shared" si="7"/>
        <v>-9.6109180305257986E-5</v>
      </c>
    </row>
    <row r="45" spans="1:12" x14ac:dyDescent="0.3">
      <c r="A45">
        <f>-23.1653663121175</f>
        <v>-23.165366312117499</v>
      </c>
      <c r="B45">
        <f t="shared" si="0"/>
        <v>-2.3165366312117498E-2</v>
      </c>
      <c r="C45">
        <v>-2.3842466804222702E-3</v>
      </c>
      <c r="D45">
        <f t="shared" si="4"/>
        <v>2.9234302973541165E-3</v>
      </c>
      <c r="E45">
        <f t="shared" si="1"/>
        <v>-6.9701789819124422E-6</v>
      </c>
      <c r="H45">
        <v>3.88888888888888</v>
      </c>
      <c r="I45">
        <f t="shared" si="6"/>
        <v>3.8888888888888801E-3</v>
      </c>
      <c r="J45">
        <v>-2.7438652337054702E-3</v>
      </c>
      <c r="K45">
        <f t="shared" si="8"/>
        <v>3.6008230452676052E-2</v>
      </c>
      <c r="L45">
        <f t="shared" si="7"/>
        <v>-9.8801731666352401E-5</v>
      </c>
    </row>
    <row r="46" spans="1:12" x14ac:dyDescent="0.3">
      <c r="A46">
        <f>-23.095203984981</f>
        <v>-23.095203984981001</v>
      </c>
      <c r="B46">
        <f t="shared" si="0"/>
        <v>-2.3095203984981001E-2</v>
      </c>
      <c r="C46">
        <v>-2.3900638192548402E-3</v>
      </c>
      <c r="D46">
        <f t="shared" si="4"/>
        <v>2.9234302973541165E-3</v>
      </c>
      <c r="E46">
        <f t="shared" si="1"/>
        <v>-6.9871849818194928E-6</v>
      </c>
      <c r="H46">
        <v>4</v>
      </c>
      <c r="I46">
        <f t="shared" si="6"/>
        <v>4.0000000000000001E-3</v>
      </c>
      <c r="J46">
        <v>-2.7401436550349399E-3</v>
      </c>
      <c r="K46">
        <f t="shared" si="8"/>
        <v>3.7037037037038235E-2</v>
      </c>
      <c r="L46">
        <f t="shared" si="7"/>
        <v>-1.014868020383344E-4</v>
      </c>
    </row>
    <row r="47" spans="1:12" x14ac:dyDescent="0.3">
      <c r="A47">
        <f>-23.0250416578445</f>
        <v>-23.025041657844501</v>
      </c>
      <c r="B47">
        <f t="shared" si="0"/>
        <v>-2.3025041657844501E-2</v>
      </c>
      <c r="C47">
        <v>-2.3958950994573702E-3</v>
      </c>
      <c r="D47">
        <f t="shared" si="4"/>
        <v>3.0756878615541992E-3</v>
      </c>
      <c r="E47">
        <f t="shared" si="1"/>
        <v>-7.3690254749582246E-6</v>
      </c>
      <c r="H47">
        <v>4.1111111111111098</v>
      </c>
      <c r="I47">
        <f t="shared" si="6"/>
        <v>4.1111111111111097E-3</v>
      </c>
      <c r="J47">
        <v>-2.73642711765105E-3</v>
      </c>
      <c r="K47">
        <f t="shared" si="8"/>
        <v>3.8065843621398636E-2</v>
      </c>
      <c r="L47">
        <f t="shared" si="7"/>
        <v>-1.0416440674185947E-4</v>
      </c>
    </row>
    <row r="48" spans="1:12" x14ac:dyDescent="0.3">
      <c r="A48">
        <f>-22.9475709676264</f>
        <v>-22.947570967626401</v>
      </c>
      <c r="B48">
        <f t="shared" si="0"/>
        <v>-2.29475709676264E-2</v>
      </c>
      <c r="C48">
        <v>-2.4013258542428099E-3</v>
      </c>
      <c r="D48">
        <f t="shared" si="4"/>
        <v>3.227945425754138E-3</v>
      </c>
      <c r="E48">
        <f t="shared" si="1"/>
        <v>-7.7513488069482255E-6</v>
      </c>
      <c r="H48">
        <v>4.2222222222222197</v>
      </c>
      <c r="I48">
        <f t="shared" si="6"/>
        <v>4.2222222222222192E-3</v>
      </c>
      <c r="J48">
        <v>-2.7320022120481701E-3</v>
      </c>
      <c r="K48">
        <f t="shared" si="8"/>
        <v>3.909465020576107E-2</v>
      </c>
      <c r="L48">
        <f t="shared" si="7"/>
        <v>-1.0680667084138869E-4</v>
      </c>
    </row>
    <row r="49" spans="1:12" x14ac:dyDescent="0.3">
      <c r="A49">
        <f>-22.8701002774083</f>
        <v>-22.870100277408302</v>
      </c>
      <c r="B49">
        <f t="shared" si="0"/>
        <v>-2.2870100277408302E-2</v>
      </c>
      <c r="C49">
        <v>-2.4067688740957E-3</v>
      </c>
      <c r="D49">
        <f t="shared" si="4"/>
        <v>3.2279454257562339E-3</v>
      </c>
      <c r="E49">
        <f t="shared" si="1"/>
        <v>-7.7689185779896964E-6</v>
      </c>
      <c r="H49">
        <v>4.3333333333333304</v>
      </c>
      <c r="I49">
        <f t="shared" si="6"/>
        <v>4.3333333333333305E-3</v>
      </c>
      <c r="J49">
        <v>-2.72758445126248E-3</v>
      </c>
      <c r="K49">
        <f t="shared" si="8"/>
        <v>4.0123456790123205E-2</v>
      </c>
      <c r="L49">
        <f t="shared" si="7"/>
        <v>-1.0944011687164203E-4</v>
      </c>
    </row>
    <row r="50" spans="1:12" x14ac:dyDescent="0.3">
      <c r="A50">
        <f>-22.7926295871901</f>
        <v>-22.792629587190099</v>
      </c>
      <c r="B50">
        <f t="shared" si="0"/>
        <v>-2.27926295871901E-2</v>
      </c>
      <c r="C50">
        <v>-2.4122241866264102E-3</v>
      </c>
      <c r="D50">
        <f t="shared" si="4"/>
        <v>3.2279454257563064E-3</v>
      </c>
      <c r="E50">
        <f t="shared" si="1"/>
        <v>-7.7865280291194467E-6</v>
      </c>
      <c r="H50">
        <v>4.4444444444444402</v>
      </c>
      <c r="I50">
        <f t="shared" si="6"/>
        <v>4.4444444444444401E-3</v>
      </c>
      <c r="J50">
        <v>-2.7231738237755302E-3</v>
      </c>
      <c r="K50">
        <f t="shared" si="8"/>
        <v>4.1152263374484993E-2</v>
      </c>
      <c r="L50">
        <f t="shared" si="7"/>
        <v>-1.1206476641051399E-4</v>
      </c>
    </row>
    <row r="51" spans="1:12" x14ac:dyDescent="0.3">
      <c r="A51">
        <f>-22.715158896972</f>
        <v>-22.715158896972</v>
      </c>
      <c r="B51">
        <f t="shared" si="0"/>
        <v>-2.2715158896971999E-2</v>
      </c>
      <c r="C51">
        <v>-2.4176918195072698E-3</v>
      </c>
      <c r="D51">
        <f t="shared" si="4"/>
        <v>3.3896633388583609E-3</v>
      </c>
      <c r="E51">
        <f t="shared" si="1"/>
        <v>-8.195161325241557E-6</v>
      </c>
      <c r="H51">
        <v>4.55555555555555</v>
      </c>
      <c r="I51">
        <f t="shared" si="6"/>
        <v>4.5555555555555497E-3</v>
      </c>
      <c r="J51">
        <v>-2.7187703180873999E-3</v>
      </c>
      <c r="K51">
        <f t="shared" si="8"/>
        <v>4.2181069958847191E-2</v>
      </c>
      <c r="L51">
        <f t="shared" si="7"/>
        <v>-1.1468064098928184E-4</v>
      </c>
    </row>
    <row r="52" spans="1:12" x14ac:dyDescent="0.3">
      <c r="A52">
        <f>-22.6299257469249</f>
        <v>-22.629925746924901</v>
      </c>
      <c r="B52">
        <f t="shared" si="0"/>
        <v>-2.2629925746924899E-2</v>
      </c>
      <c r="C52">
        <v>-2.4228131146944898E-3</v>
      </c>
      <c r="D52">
        <f t="shared" si="4"/>
        <v>3.5513812519625113E-3</v>
      </c>
      <c r="E52">
        <f t="shared" si="1"/>
        <v>-8.6043330725349094E-6</v>
      </c>
      <c r="H52">
        <v>4.6666666666666599</v>
      </c>
      <c r="I52">
        <f t="shared" si="6"/>
        <v>4.6666666666666601E-3</v>
      </c>
      <c r="J52">
        <v>-2.71249134064332E-3</v>
      </c>
      <c r="K52">
        <f t="shared" si="8"/>
        <v>4.3209876543209395E-2</v>
      </c>
      <c r="L52">
        <f t="shared" si="7"/>
        <v>-1.172064159537224E-4</v>
      </c>
    </row>
    <row r="53" spans="1:12" x14ac:dyDescent="0.3">
      <c r="A53">
        <f>-22.5446925968778</f>
        <v>-22.544692596877798</v>
      </c>
      <c r="B53">
        <f t="shared" si="0"/>
        <v>-2.2544692596877799E-2</v>
      </c>
      <c r="C53">
        <v>-2.4279452186465799E-3</v>
      </c>
      <c r="D53">
        <f t="shared" si="4"/>
        <v>3.5513812519625113E-3</v>
      </c>
      <c r="E53">
        <f t="shared" si="1"/>
        <v>-8.6225591302934851E-6</v>
      </c>
      <c r="H53">
        <v>4.7777777777777697</v>
      </c>
      <c r="I53">
        <f t="shared" si="6"/>
        <v>4.7777777777777697E-3</v>
      </c>
      <c r="J53">
        <v>-2.7062268374979399E-3</v>
      </c>
      <c r="K53">
        <f t="shared" si="8"/>
        <v>4.423868312757151E-2</v>
      </c>
      <c r="L53">
        <f t="shared" si="7"/>
        <v>-1.1971991153540132E-4</v>
      </c>
    </row>
    <row r="54" spans="1:12" x14ac:dyDescent="0.3">
      <c r="A54">
        <f>-22.4594594468307</f>
        <v>-22.459459446830699</v>
      </c>
      <c r="B54">
        <f t="shared" si="0"/>
        <v>-2.2459459446830699E-2</v>
      </c>
      <c r="C54">
        <v>-2.43308815410223E-3</v>
      </c>
      <c r="D54">
        <f t="shared" si="4"/>
        <v>3.5513812519604154E-3</v>
      </c>
      <c r="E54">
        <f t="shared" si="1"/>
        <v>-8.6408236548456336E-6</v>
      </c>
      <c r="H54">
        <v>4.8888888888888804</v>
      </c>
      <c r="I54">
        <f t="shared" si="6"/>
        <v>4.8888888888888801E-3</v>
      </c>
      <c r="J54">
        <v>-2.6999767753528498E-3</v>
      </c>
      <c r="K54">
        <f t="shared" si="8"/>
        <v>4.5267489711935713E-2</v>
      </c>
      <c r="L54">
        <f t="shared" si="7"/>
        <v>-1.222211709007505E-4</v>
      </c>
    </row>
    <row r="55" spans="1:12" x14ac:dyDescent="0.3">
      <c r="A55">
        <f>-22.3742262967837</f>
        <v>-22.3742262967837</v>
      </c>
      <c r="B55">
        <f t="shared" si="0"/>
        <v>-2.2374226296783699E-2</v>
      </c>
      <c r="C55">
        <v>-2.4382419438477901E-3</v>
      </c>
      <c r="D55">
        <f t="shared" si="4"/>
        <v>3.7079483688478637E-3</v>
      </c>
      <c r="E55">
        <f t="shared" si="1"/>
        <v>-9.0408752385468583E-6</v>
      </c>
      <c r="H55">
        <v>5</v>
      </c>
      <c r="I55">
        <f t="shared" si="6"/>
        <v>5.0000000000000001E-3</v>
      </c>
      <c r="J55">
        <v>-2.6937411209860102E-3</v>
      </c>
      <c r="K55">
        <f>(R$11+(R$12*((I55-P$3)/(P$6-P$3))))*(((I55-P$3)/(P$6-P$3))-((I54-P$3)/(P$6-P$3)))</f>
        <v>2.3148148148150006E-2</v>
      </c>
      <c r="L55">
        <f t="shared" si="7"/>
        <v>-6.2355118541347835E-5</v>
      </c>
    </row>
    <row r="56" spans="1:12" x14ac:dyDescent="0.3">
      <c r="A56">
        <f>-22.281477925126</f>
        <v>-22.281477925126001</v>
      </c>
      <c r="B56">
        <f t="shared" si="0"/>
        <v>-2.2281477925126001E-2</v>
      </c>
      <c r="C56">
        <v>-2.4430183588767299E-3</v>
      </c>
      <c r="D56">
        <f t="shared" si="4"/>
        <v>3.8645154857354569E-3</v>
      </c>
      <c r="E56">
        <f t="shared" si="1"/>
        <v>-9.4410822798151446E-6</v>
      </c>
    </row>
    <row r="57" spans="1:12" x14ac:dyDescent="0.3">
      <c r="A57">
        <f>-22.1887295534684</f>
        <v>-22.188729553468399</v>
      </c>
      <c r="B57">
        <f t="shared" si="0"/>
        <v>-2.2188729553468397E-2</v>
      </c>
      <c r="C57">
        <v>-2.4478040966346899E-3</v>
      </c>
      <c r="D57">
        <f t="shared" si="4"/>
        <v>3.8645154857333609E-3</v>
      </c>
      <c r="E57">
        <f t="shared" si="1"/>
        <v>-9.4595768374863195E-6</v>
      </c>
    </row>
    <row r="58" spans="1:12" x14ac:dyDescent="0.3">
      <c r="A58">
        <f>-22.0959811818108</f>
        <v>-22.095981181810799</v>
      </c>
      <c r="B58">
        <f t="shared" si="0"/>
        <v>-2.20959811818108E-2</v>
      </c>
      <c r="C58">
        <v>-2.45259917525908E-3</v>
      </c>
      <c r="D58">
        <f t="shared" si="4"/>
        <v>3.8645154857332885E-3</v>
      </c>
      <c r="E58">
        <f t="shared" si="1"/>
        <v>-9.4781074930854062E-6</v>
      </c>
    </row>
    <row r="59" spans="1:12" x14ac:dyDescent="0.3">
      <c r="A59">
        <f>-22.0032328101532</f>
        <v>-22.0032328101532</v>
      </c>
      <c r="B59">
        <f t="shared" si="0"/>
        <v>-2.2003232810153199E-2</v>
      </c>
      <c r="C59">
        <v>-2.4574036129225E-3</v>
      </c>
      <c r="D59">
        <f t="shared" si="4"/>
        <v>4.0179259163291804E-3</v>
      </c>
      <c r="E59">
        <f t="shared" si="1"/>
        <v>-9.8736656632422739E-6</v>
      </c>
    </row>
    <row r="60" spans="1:12" x14ac:dyDescent="0.3">
      <c r="A60">
        <f>-21.903120737827</f>
        <v>-21.903120737826999</v>
      </c>
      <c r="B60">
        <f t="shared" si="0"/>
        <v>-2.1903120737826999E-2</v>
      </c>
      <c r="C60">
        <v>-2.4618046079872401E-3</v>
      </c>
      <c r="D60">
        <f t="shared" si="4"/>
        <v>4.1713363469229039E-3</v>
      </c>
      <c r="E60">
        <f t="shared" si="1"/>
        <v>-1.0269015040319465E-5</v>
      </c>
    </row>
    <row r="61" spans="1:12" x14ac:dyDescent="0.3">
      <c r="A61">
        <f>-21.8030086655009</f>
        <v>-21.803008665500901</v>
      </c>
      <c r="B61">
        <f t="shared" si="0"/>
        <v>-2.18030086655009E-2</v>
      </c>
      <c r="C61">
        <v>-2.4662134559637898E-3</v>
      </c>
      <c r="D61">
        <f t="shared" si="4"/>
        <v>4.1713363469229039E-3</v>
      </c>
      <c r="E61">
        <f t="shared" si="1"/>
        <v>-1.0287405828132104E-5</v>
      </c>
    </row>
    <row r="62" spans="1:12" x14ac:dyDescent="0.3">
      <c r="A62">
        <f>-21.7028965931747</f>
        <v>-21.7028965931747</v>
      </c>
      <c r="B62">
        <f t="shared" si="0"/>
        <v>-2.17028965931747E-2</v>
      </c>
      <c r="C62">
        <v>-2.4706301708188202E-3</v>
      </c>
      <c r="D62">
        <f t="shared" si="4"/>
        <v>4.1713363469250003E-3</v>
      </c>
      <c r="E62">
        <f t="shared" si="1"/>
        <v>-1.0305829431346067E-5</v>
      </c>
    </row>
    <row r="63" spans="1:12" x14ac:dyDescent="0.3">
      <c r="A63">
        <f>-21.6027845208485</f>
        <v>-21.602784520848498</v>
      </c>
      <c r="B63">
        <f t="shared" si="0"/>
        <v>-2.16027845208485E-2</v>
      </c>
      <c r="C63">
        <v>-2.4750547665437698E-3</v>
      </c>
      <c r="D63">
        <f t="shared" si="4"/>
        <v>4.3304210500146045E-3</v>
      </c>
      <c r="E63">
        <f t="shared" si="1"/>
        <v>-1.0718029260980123E-5</v>
      </c>
    </row>
    <row r="64" spans="1:12" x14ac:dyDescent="0.3">
      <c r="A64">
        <f>-21.495036382774</f>
        <v>-21.495036382774</v>
      </c>
      <c r="B64">
        <f t="shared" si="0"/>
        <v>-2.1495036382773999E-2</v>
      </c>
      <c r="C64">
        <v>-2.4791413199603402E-3</v>
      </c>
      <c r="D64">
        <f t="shared" si="4"/>
        <v>4.4895057531041359E-3</v>
      </c>
      <c r="E64">
        <f t="shared" si="1"/>
        <v>-1.1130119218720128E-5</v>
      </c>
    </row>
    <row r="65" spans="1:5" x14ac:dyDescent="0.3">
      <c r="A65">
        <f>-21.3872882446995</f>
        <v>-21.387288244699501</v>
      </c>
      <c r="B65">
        <f t="shared" si="0"/>
        <v>-2.1387288244699501E-2</v>
      </c>
      <c r="C65">
        <v>-2.4832345959773599E-3</v>
      </c>
      <c r="D65">
        <f t="shared" si="4"/>
        <v>4.4895057531041359E-3</v>
      </c>
      <c r="E65">
        <f t="shared" si="1"/>
        <v>-1.1148496004947581E-5</v>
      </c>
    </row>
    <row r="66" spans="1:5" x14ac:dyDescent="0.3">
      <c r="A66">
        <f>-21.279540106625</f>
        <v>-21.279540106624999</v>
      </c>
      <c r="B66">
        <f t="shared" si="0"/>
        <v>-2.1279540106625E-2</v>
      </c>
      <c r="C66">
        <v>-2.48733460561787E-3</v>
      </c>
      <c r="D66">
        <f t="shared" si="4"/>
        <v>4.4895057531041359E-3</v>
      </c>
      <c r="E66">
        <f t="shared" si="1"/>
        <v>-1.1166903021816434E-5</v>
      </c>
    </row>
    <row r="67" spans="1:5" x14ac:dyDescent="0.3">
      <c r="A67">
        <f>-21.1717919685505</f>
        <v>-21.171791968550501</v>
      </c>
      <c r="B67">
        <f t="shared" ref="B67:B130" si="9">A67/1000</f>
        <v>-2.1171791968550503E-2</v>
      </c>
      <c r="C67">
        <v>-2.49144135992296E-3</v>
      </c>
      <c r="D67">
        <f t="shared" si="4"/>
        <v>4.5791040022292078E-3</v>
      </c>
      <c r="E67">
        <f t="shared" ref="E67:E130" si="10">C67*D67</f>
        <v>-1.1408569102542606E-5</v>
      </c>
    </row>
    <row r="68" spans="1:5" x14ac:dyDescent="0.3">
      <c r="A68">
        <f>-21.059743114518</f>
        <v>-21.059743114518</v>
      </c>
      <c r="B68">
        <f t="shared" si="9"/>
        <v>-2.1059743114517998E-2</v>
      </c>
      <c r="C68">
        <v>-2.4951797664731299E-3</v>
      </c>
      <c r="D68">
        <f t="shared" ref="D68:D131" si="11">$O$11*(B69-B67)</f>
        <v>4.6687022513542797E-3</v>
      </c>
      <c r="E68">
        <f t="shared" si="10"/>
        <v>-1.1649251393266748E-5</v>
      </c>
    </row>
    <row r="69" spans="1:5" x14ac:dyDescent="0.3">
      <c r="A69">
        <f>-20.9476942604855</f>
        <v>-20.947694260485498</v>
      </c>
      <c r="B69">
        <f t="shared" si="9"/>
        <v>-2.0947694260485497E-2</v>
      </c>
      <c r="C69">
        <v>-2.4989237625185098E-3</v>
      </c>
      <c r="D69">
        <f t="shared" si="11"/>
        <v>4.6687022513561584E-3</v>
      </c>
      <c r="E69">
        <f t="shared" si="10"/>
        <v>-1.1666730996037569E-5</v>
      </c>
    </row>
    <row r="70" spans="1:5" x14ac:dyDescent="0.3">
      <c r="A70">
        <f>-20.8356454064529</f>
        <v>-20.835645406452901</v>
      </c>
      <c r="B70">
        <f t="shared" si="9"/>
        <v>-2.0835645406452902E-2</v>
      </c>
      <c r="C70">
        <v>-2.5026733563897302E-3</v>
      </c>
      <c r="D70">
        <f t="shared" si="11"/>
        <v>4.6687022513561584E-3</v>
      </c>
      <c r="E70">
        <f t="shared" si="10"/>
        <v>-1.1684236733385807E-5</v>
      </c>
    </row>
    <row r="71" spans="1:5" x14ac:dyDescent="0.3">
      <c r="A71">
        <f>-20.7235965524204</f>
        <v>-20.7235965524204</v>
      </c>
      <c r="B71">
        <f t="shared" si="9"/>
        <v>-2.0723596552420401E-2</v>
      </c>
      <c r="C71">
        <v>-2.50642855642982E-3</v>
      </c>
      <c r="D71">
        <f t="shared" si="11"/>
        <v>4.6690571569771092E-3</v>
      </c>
      <c r="E71">
        <f t="shared" si="10"/>
        <v>-1.1702658189850455E-5</v>
      </c>
    </row>
    <row r="72" spans="1:5" x14ac:dyDescent="0.3">
      <c r="A72">
        <f>-20.611530662918</f>
        <v>-20.611530662918</v>
      </c>
      <c r="B72">
        <f t="shared" si="9"/>
        <v>-2.0611530662918001E-2</v>
      </c>
      <c r="C72">
        <v>-2.5096880981366398E-3</v>
      </c>
      <c r="D72">
        <f t="shared" si="11"/>
        <v>4.6694120626000115E-3</v>
      </c>
      <c r="E72">
        <f t="shared" si="10"/>
        <v>-1.1718767878802907E-5</v>
      </c>
    </row>
    <row r="73" spans="1:5" x14ac:dyDescent="0.3">
      <c r="A73">
        <f>-20.4994647734156</f>
        <v>-20.4994647734156</v>
      </c>
      <c r="B73">
        <f t="shared" si="9"/>
        <v>-2.0499464773415601E-2</v>
      </c>
      <c r="C73">
        <v>-2.5129518636145998E-3</v>
      </c>
      <c r="D73">
        <f t="shared" si="11"/>
        <v>4.6694120626000115E-3</v>
      </c>
      <c r="E73">
        <f t="shared" si="10"/>
        <v>-1.1734007744695191E-5</v>
      </c>
    </row>
    <row r="74" spans="1:5" x14ac:dyDescent="0.3">
      <c r="A74">
        <f>-20.3873988839132</f>
        <v>-20.3873988839132</v>
      </c>
      <c r="B74">
        <f t="shared" si="9"/>
        <v>-2.0387398883913201E-2</v>
      </c>
      <c r="C74">
        <v>-2.5162198583194898E-3</v>
      </c>
      <c r="D74">
        <f t="shared" si="11"/>
        <v>4.6694120625979879E-3</v>
      </c>
      <c r="E74">
        <f t="shared" si="10"/>
        <v>-1.1749267358585626E-5</v>
      </c>
    </row>
    <row r="75" spans="1:5" x14ac:dyDescent="0.3">
      <c r="A75">
        <f>-20.2753329944109</f>
        <v>-20.275332994410899</v>
      </c>
      <c r="B75">
        <f t="shared" si="9"/>
        <v>-2.0275332994410897E-2</v>
      </c>
      <c r="C75">
        <v>-2.5194920877141601E-3</v>
      </c>
      <c r="D75">
        <f t="shared" si="11"/>
        <v>4.669412062597916E-3</v>
      </c>
      <c r="E75">
        <f t="shared" si="10"/>
        <v>-1.1764546745992506E-5</v>
      </c>
    </row>
    <row r="76" spans="1:5" x14ac:dyDescent="0.3">
      <c r="A76">
        <f>-20.1632671049085</f>
        <v>-20.163267104908499</v>
      </c>
      <c r="B76">
        <f t="shared" si="9"/>
        <v>-2.0163267104908501E-2</v>
      </c>
      <c r="C76">
        <v>-2.5223866677427302E-3</v>
      </c>
      <c r="D76">
        <f t="shared" si="11"/>
        <v>4.6694120625999395E-3</v>
      </c>
      <c r="E76">
        <f t="shared" si="10"/>
        <v>-1.177806273289917E-5</v>
      </c>
    </row>
    <row r="77" spans="1:5" x14ac:dyDescent="0.3">
      <c r="A77">
        <f>-20.0512012154061</f>
        <v>-20.051201215406099</v>
      </c>
      <c r="B77">
        <f t="shared" si="9"/>
        <v>-2.00512012154061E-2</v>
      </c>
      <c r="C77">
        <v>-2.5252845614811602E-3</v>
      </c>
      <c r="D77">
        <f t="shared" si="11"/>
        <v>4.6694120626000115E-3</v>
      </c>
      <c r="E77">
        <f t="shared" si="10"/>
        <v>-1.1791594192877709E-5</v>
      </c>
    </row>
    <row r="78" spans="1:5" x14ac:dyDescent="0.3">
      <c r="A78">
        <f>-19.9391353259037</f>
        <v>-19.939135325903699</v>
      </c>
      <c r="B78">
        <f t="shared" si="9"/>
        <v>-1.99391353259037E-2</v>
      </c>
      <c r="C78">
        <v>-2.5281857727109999E-3</v>
      </c>
      <c r="D78">
        <f t="shared" si="11"/>
        <v>4.6694120626000115E-3</v>
      </c>
      <c r="E78">
        <f t="shared" si="10"/>
        <v>-1.1805141143590474E-5</v>
      </c>
    </row>
    <row r="79" spans="1:5" x14ac:dyDescent="0.3">
      <c r="A79">
        <f>-19.8270694364013</f>
        <v>-19.827069436401299</v>
      </c>
      <c r="B79">
        <f t="shared" si="9"/>
        <v>-1.98270694364013E-2</v>
      </c>
      <c r="C79">
        <v>-2.5310903052180801E-3</v>
      </c>
      <c r="D79">
        <f t="shared" si="11"/>
        <v>4.6694120626000115E-3</v>
      </c>
      <c r="E79">
        <f t="shared" si="10"/>
        <v>-1.1818703602715247E-5</v>
      </c>
    </row>
    <row r="80" spans="1:5" x14ac:dyDescent="0.3">
      <c r="A80">
        <f>-19.7150035468989</f>
        <v>-19.715003546898899</v>
      </c>
      <c r="B80">
        <f t="shared" si="9"/>
        <v>-1.9715003546898899E-2</v>
      </c>
      <c r="C80">
        <v>-2.5336592283816501E-3</v>
      </c>
      <c r="D80">
        <f t="shared" si="11"/>
        <v>4.6694120626000115E-3</v>
      </c>
      <c r="E80">
        <f t="shared" si="10"/>
        <v>-1.1830698963523115E-5</v>
      </c>
    </row>
    <row r="81" spans="1:5" x14ac:dyDescent="0.3">
      <c r="A81">
        <f>-19.6029376573965</f>
        <v>-19.602937657396499</v>
      </c>
      <c r="B81">
        <f t="shared" si="9"/>
        <v>-1.9602937657396499E-2</v>
      </c>
      <c r="C81">
        <v>-2.5362307495286002E-3</v>
      </c>
      <c r="D81">
        <f t="shared" si="11"/>
        <v>4.6694120626000115E-3</v>
      </c>
      <c r="E81">
        <f t="shared" si="10"/>
        <v>-1.1842706455385915E-5</v>
      </c>
    </row>
    <row r="82" spans="1:5" x14ac:dyDescent="0.3">
      <c r="A82">
        <f>-19.4908717678941</f>
        <v>-19.490871767894099</v>
      </c>
      <c r="B82">
        <f t="shared" si="9"/>
        <v>-1.9490871767894099E-2</v>
      </c>
      <c r="C82">
        <v>-2.53880487127792E-3</v>
      </c>
      <c r="D82">
        <f t="shared" si="11"/>
        <v>4.6694120626000115E-3</v>
      </c>
      <c r="E82">
        <f t="shared" si="10"/>
        <v>-1.1854726090532789E-5</v>
      </c>
    </row>
    <row r="83" spans="1:5" x14ac:dyDescent="0.3">
      <c r="A83">
        <f>-19.3788058783917</f>
        <v>-19.378805878391699</v>
      </c>
      <c r="B83">
        <f t="shared" si="9"/>
        <v>-1.9378805878391699E-2</v>
      </c>
      <c r="C83">
        <v>-2.5413815962512399E-3</v>
      </c>
      <c r="D83">
        <f t="shared" si="11"/>
        <v>4.6694120626000115E-3</v>
      </c>
      <c r="E83">
        <f t="shared" si="10"/>
        <v>-1.1866757881205211E-5</v>
      </c>
    </row>
    <row r="84" spans="1:5" x14ac:dyDescent="0.3">
      <c r="A84">
        <f>-19.2667399888893</f>
        <v>-19.266739988889299</v>
      </c>
      <c r="B84">
        <f t="shared" si="9"/>
        <v>-1.9266739988889298E-2</v>
      </c>
      <c r="C84">
        <v>-2.5437284367977099E-3</v>
      </c>
      <c r="D84">
        <f t="shared" si="11"/>
        <v>4.6694120625978431E-3</v>
      </c>
      <c r="E84">
        <f t="shared" si="10"/>
        <v>-1.1877716246756381E-5</v>
      </c>
    </row>
    <row r="85" spans="1:5" x14ac:dyDescent="0.3">
      <c r="A85">
        <f>-19.154674099387</f>
        <v>-19.154674099387002</v>
      </c>
      <c r="B85">
        <f t="shared" si="9"/>
        <v>-1.9154674099387002E-2</v>
      </c>
      <c r="C85">
        <v>-2.5460774370125502E-3</v>
      </c>
      <c r="D85">
        <f t="shared" si="11"/>
        <v>4.6694120625978431E-3</v>
      </c>
      <c r="E85">
        <f t="shared" si="10"/>
        <v>-1.1888684696694602E-5</v>
      </c>
    </row>
    <row r="86" spans="1:5" x14ac:dyDescent="0.3">
      <c r="A86">
        <f>-19.0426082098846</f>
        <v>-19.042608209884602</v>
      </c>
      <c r="B86">
        <f t="shared" si="9"/>
        <v>-1.9042608209884602E-2</v>
      </c>
      <c r="C86">
        <v>-2.5484285988770401E-3</v>
      </c>
      <c r="D86">
        <f t="shared" si="11"/>
        <v>4.6694120626000115E-3</v>
      </c>
      <c r="E86">
        <f t="shared" si="10"/>
        <v>-1.1899663240271298E-5</v>
      </c>
    </row>
    <row r="87" spans="1:5" x14ac:dyDescent="0.3">
      <c r="A87">
        <f>-18.9305423203822</f>
        <v>-18.930542320382202</v>
      </c>
      <c r="B87">
        <f t="shared" si="9"/>
        <v>-1.8930542320382202E-2</v>
      </c>
      <c r="C87">
        <v>-2.5507819243742601E-3</v>
      </c>
      <c r="D87">
        <f t="shared" si="11"/>
        <v>4.6694120626000115E-3</v>
      </c>
      <c r="E87">
        <f t="shared" si="10"/>
        <v>-1.191065188673524E-5</v>
      </c>
    </row>
    <row r="88" spans="1:5" x14ac:dyDescent="0.3">
      <c r="A88">
        <f>-18.8184764308798</f>
        <v>-18.818476430879802</v>
      </c>
      <c r="B88">
        <f t="shared" si="9"/>
        <v>-1.8818476430879801E-2</v>
      </c>
      <c r="C88">
        <v>-2.5528899083860799E-3</v>
      </c>
      <c r="D88">
        <f t="shared" si="11"/>
        <v>4.6694120626000115E-3</v>
      </c>
      <c r="E88">
        <f t="shared" si="10"/>
        <v>-1.19204949327078E-5</v>
      </c>
    </row>
    <row r="89" spans="1:5" x14ac:dyDescent="0.3">
      <c r="A89">
        <f>-18.7064105413774</f>
        <v>-18.706410541377402</v>
      </c>
      <c r="B89">
        <f t="shared" si="9"/>
        <v>-1.8706410541377401E-2</v>
      </c>
      <c r="C89">
        <v>-2.5549996282936802E-3</v>
      </c>
      <c r="D89">
        <f t="shared" si="11"/>
        <v>4.6694120626000115E-3</v>
      </c>
      <c r="E89">
        <f t="shared" si="10"/>
        <v>-1.1930346084293055E-5</v>
      </c>
    </row>
    <row r="90" spans="1:5" x14ac:dyDescent="0.3">
      <c r="A90">
        <f>-18.594344651875</f>
        <v>-18.594344651875002</v>
      </c>
      <c r="B90">
        <f t="shared" si="9"/>
        <v>-1.8594344651875001E-2</v>
      </c>
      <c r="C90">
        <v>-2.5571110855220299E-3</v>
      </c>
      <c r="D90">
        <f t="shared" si="11"/>
        <v>4.6694120626000115E-3</v>
      </c>
      <c r="E90">
        <f t="shared" si="10"/>
        <v>-1.1940205348144777E-5</v>
      </c>
    </row>
    <row r="91" spans="1:5" x14ac:dyDescent="0.3">
      <c r="A91">
        <f>-18.4822787623726</f>
        <v>-18.482278762372601</v>
      </c>
      <c r="B91">
        <f t="shared" si="9"/>
        <v>-1.84822787623726E-2</v>
      </c>
      <c r="C91">
        <v>-2.55922428149729E-3</v>
      </c>
      <c r="D91">
        <f t="shared" si="11"/>
        <v>4.6694120626000115E-3</v>
      </c>
      <c r="E91">
        <f t="shared" si="10"/>
        <v>-1.1950072730922294E-5</v>
      </c>
    </row>
    <row r="92" spans="1:5" x14ac:dyDescent="0.3">
      <c r="A92">
        <f>-18.3702128728702</f>
        <v>-18.370212872870201</v>
      </c>
      <c r="B92">
        <f t="shared" si="9"/>
        <v>-1.83702128728702E-2</v>
      </c>
      <c r="C92">
        <v>-2.5611588527817701E-3</v>
      </c>
      <c r="D92">
        <f t="shared" si="11"/>
        <v>4.6694120626000115E-3</v>
      </c>
      <c r="E92">
        <f t="shared" si="10"/>
        <v>-1.1959106041414004E-5</v>
      </c>
    </row>
    <row r="93" spans="1:5" x14ac:dyDescent="0.3">
      <c r="A93">
        <f>-18.2581469833678</f>
        <v>-18.258146983367801</v>
      </c>
      <c r="B93">
        <f t="shared" si="9"/>
        <v>-1.82581469833678E-2</v>
      </c>
      <c r="C93">
        <v>-2.56309488134249E-3</v>
      </c>
      <c r="D93">
        <f t="shared" si="11"/>
        <v>4.6694120625999395E-3</v>
      </c>
      <c r="E93">
        <f t="shared" si="10"/>
        <v>-1.1968146156528784E-5</v>
      </c>
    </row>
    <row r="94" spans="1:5" x14ac:dyDescent="0.3">
      <c r="A94">
        <f>-18.1460810938654</f>
        <v>-18.146081093865401</v>
      </c>
      <c r="B94">
        <f t="shared" si="9"/>
        <v>-1.8146081093865403E-2</v>
      </c>
      <c r="C94">
        <v>-2.5650323682737501E-3</v>
      </c>
      <c r="D94">
        <f t="shared" si="11"/>
        <v>4.669412062597916E-3</v>
      </c>
      <c r="E94">
        <f t="shared" si="10"/>
        <v>-1.1977193081371549E-5</v>
      </c>
    </row>
    <row r="95" spans="1:5" x14ac:dyDescent="0.3">
      <c r="A95">
        <f>-18.0340152043631</f>
        <v>-18.034015204363101</v>
      </c>
      <c r="B95">
        <f t="shared" si="9"/>
        <v>-1.80340152043631E-2</v>
      </c>
      <c r="C95">
        <v>-2.5669713146707E-3</v>
      </c>
      <c r="D95">
        <f t="shared" si="11"/>
        <v>4.6694120625979879E-3</v>
      </c>
      <c r="E95">
        <f t="shared" si="10"/>
        <v>-1.1986246821066383E-5</v>
      </c>
    </row>
    <row r="96" spans="1:5" x14ac:dyDescent="0.3">
      <c r="A96">
        <f>-17.9219493148607</f>
        <v>-17.921949314860701</v>
      </c>
      <c r="B96">
        <f t="shared" si="9"/>
        <v>-1.79219493148607E-2</v>
      </c>
      <c r="C96">
        <v>-2.56874782125702E-3</v>
      </c>
      <c r="D96">
        <f t="shared" si="11"/>
        <v>4.6694120626000115E-3</v>
      </c>
      <c r="E96">
        <f t="shared" si="10"/>
        <v>-1.1994542062355027E-5</v>
      </c>
    </row>
    <row r="97" spans="1:5" x14ac:dyDescent="0.3">
      <c r="A97">
        <f>-17.8098834253583</f>
        <v>-17.809883425358301</v>
      </c>
      <c r="B97">
        <f t="shared" si="9"/>
        <v>-1.7809883425358299E-2</v>
      </c>
      <c r="C97">
        <v>-2.5705255530128002E-3</v>
      </c>
      <c r="D97">
        <f t="shared" si="11"/>
        <v>4.6694120626000115E-3</v>
      </c>
      <c r="E97">
        <f t="shared" si="10"/>
        <v>-1.2002843024459534E-5</v>
      </c>
    </row>
    <row r="98" spans="1:5" x14ac:dyDescent="0.3">
      <c r="A98">
        <f>-17.6978175358559</f>
        <v>-17.697817535855901</v>
      </c>
      <c r="B98">
        <f t="shared" si="9"/>
        <v>-1.7697817535855899E-2</v>
      </c>
      <c r="C98">
        <v>-2.57230451078035E-3</v>
      </c>
      <c r="D98">
        <f t="shared" si="11"/>
        <v>4.6694120625999395E-3</v>
      </c>
      <c r="E98">
        <f t="shared" si="10"/>
        <v>-1.2011149711318003E-5</v>
      </c>
    </row>
    <row r="99" spans="1:5" x14ac:dyDescent="0.3">
      <c r="A99">
        <f>-17.5857516463535</f>
        <v>-17.585751646353501</v>
      </c>
      <c r="B99">
        <f t="shared" si="9"/>
        <v>-1.7585751646353502E-2</v>
      </c>
      <c r="C99">
        <v>-2.5740846954025701E-3</v>
      </c>
      <c r="D99">
        <f t="shared" si="11"/>
        <v>4.6694120625999395E-3</v>
      </c>
      <c r="E99">
        <f t="shared" si="10"/>
        <v>-1.2019462126866652E-5</v>
      </c>
    </row>
    <row r="100" spans="1:5" x14ac:dyDescent="0.3">
      <c r="A100">
        <f>-17.4736857568511</f>
        <v>-17.473685756851101</v>
      </c>
      <c r="B100">
        <f t="shared" si="9"/>
        <v>-1.7473685756851102E-2</v>
      </c>
      <c r="C100">
        <v>-2.5757441412458701E-3</v>
      </c>
      <c r="D100">
        <f t="shared" si="11"/>
        <v>4.6694120626000115E-3</v>
      </c>
      <c r="E100">
        <f t="shared" si="10"/>
        <v>-1.2027210763304773E-5</v>
      </c>
    </row>
    <row r="101" spans="1:5" x14ac:dyDescent="0.3">
      <c r="A101">
        <f>-17.3616198673487</f>
        <v>-17.361619867348701</v>
      </c>
      <c r="B101">
        <f t="shared" si="9"/>
        <v>-1.7361619867348702E-2</v>
      </c>
      <c r="C101">
        <v>-2.5774046532627999E-3</v>
      </c>
      <c r="D101">
        <f t="shared" si="11"/>
        <v>4.6694120626000115E-3</v>
      </c>
      <c r="E101">
        <f t="shared" si="10"/>
        <v>-1.2034964378146718E-5</v>
      </c>
    </row>
    <row r="102" spans="1:5" x14ac:dyDescent="0.3">
      <c r="A102">
        <f>-17.2495539778463</f>
        <v>-17.249553977846301</v>
      </c>
      <c r="B102">
        <f t="shared" si="9"/>
        <v>-1.7249553977846301E-2</v>
      </c>
      <c r="C102">
        <v>-2.5790662321362899E-3</v>
      </c>
      <c r="D102">
        <f t="shared" si="11"/>
        <v>4.6694120626000115E-3</v>
      </c>
      <c r="E102">
        <f t="shared" si="10"/>
        <v>-1.2042722974581553E-5</v>
      </c>
    </row>
    <row r="103" spans="1:5" x14ac:dyDescent="0.3">
      <c r="A103">
        <f>-17.1374880883439</f>
        <v>-17.1374880883439</v>
      </c>
      <c r="B103">
        <f t="shared" si="9"/>
        <v>-1.7137488088343901E-2</v>
      </c>
      <c r="C103">
        <v>-2.58072887854969E-3</v>
      </c>
      <c r="D103">
        <f t="shared" si="11"/>
        <v>4.6694120626000115E-3</v>
      </c>
      <c r="E103">
        <f t="shared" si="10"/>
        <v>-1.2050486555800122E-5</v>
      </c>
    </row>
    <row r="104" spans="1:5" x14ac:dyDescent="0.3">
      <c r="A104">
        <f>-17.0254221988415</f>
        <v>-17.0254221988415</v>
      </c>
      <c r="B104">
        <f t="shared" si="9"/>
        <v>-1.7025422198841501E-2</v>
      </c>
      <c r="C104">
        <v>-2.58226104570493E-3</v>
      </c>
      <c r="D104">
        <f t="shared" si="11"/>
        <v>4.6694120626000115E-3</v>
      </c>
      <c r="E104">
        <f t="shared" si="10"/>
        <v>-1.205764087559672E-5</v>
      </c>
    </row>
    <row r="105" spans="1:5" x14ac:dyDescent="0.3">
      <c r="A105">
        <f>-16.9133563093391</f>
        <v>-16.9133563093391</v>
      </c>
      <c r="B105">
        <f t="shared" si="9"/>
        <v>-1.69133563093391E-2</v>
      </c>
      <c r="C105">
        <v>-2.5837941193869699E-3</v>
      </c>
      <c r="D105">
        <f t="shared" si="11"/>
        <v>4.669412062597916E-3</v>
      </c>
      <c r="E105">
        <f t="shared" si="10"/>
        <v>-1.2064799428335077E-5</v>
      </c>
    </row>
    <row r="106" spans="1:5" x14ac:dyDescent="0.3">
      <c r="A106">
        <f>-16.8012904198368</f>
        <v>-16.8012904198368</v>
      </c>
      <c r="B106">
        <f t="shared" si="9"/>
        <v>-1.6801290419836801E-2</v>
      </c>
      <c r="C106">
        <v>-2.5853281001305202E-3</v>
      </c>
      <c r="D106">
        <f t="shared" si="11"/>
        <v>4.669412062597916E-3</v>
      </c>
      <c r="E106">
        <f t="shared" si="10"/>
        <v>-1.2071962216522804E-5</v>
      </c>
    </row>
    <row r="107" spans="1:5" x14ac:dyDescent="0.3">
      <c r="A107">
        <f>-16.6892245303344</f>
        <v>-16.6892245303344</v>
      </c>
      <c r="B107">
        <f t="shared" si="9"/>
        <v>-1.66892245303344E-2</v>
      </c>
      <c r="C107">
        <v>-2.5868629884706201E-3</v>
      </c>
      <c r="D107">
        <f t="shared" si="11"/>
        <v>4.6694120626000115E-3</v>
      </c>
      <c r="E107">
        <f t="shared" si="10"/>
        <v>-1.2079129242658228E-5</v>
      </c>
    </row>
    <row r="108" spans="1:5" x14ac:dyDescent="0.3">
      <c r="A108">
        <f>-16.577158640832</f>
        <v>-16.577158640832</v>
      </c>
      <c r="B108">
        <f t="shared" si="9"/>
        <v>-1.6577158640832E-2</v>
      </c>
      <c r="C108">
        <v>-2.5883162395364001E-3</v>
      </c>
      <c r="D108">
        <f t="shared" si="11"/>
        <v>4.6694120626000115E-3</v>
      </c>
      <c r="E108">
        <f t="shared" si="10"/>
        <v>-1.2085915070714767E-5</v>
      </c>
    </row>
    <row r="109" spans="1:5" x14ac:dyDescent="0.3">
      <c r="A109">
        <f>-16.4650927513296</f>
        <v>-16.4650927513296</v>
      </c>
      <c r="B109">
        <f t="shared" si="9"/>
        <v>-1.64650927513296E-2</v>
      </c>
      <c r="C109">
        <v>-2.5897703043305199E-3</v>
      </c>
      <c r="D109">
        <f t="shared" si="11"/>
        <v>4.6694120626000115E-3</v>
      </c>
      <c r="E109">
        <f t="shared" si="10"/>
        <v>-1.2092704698404233E-5</v>
      </c>
    </row>
    <row r="110" spans="1:5" x14ac:dyDescent="0.3">
      <c r="A110">
        <f>-16.3530268618272</f>
        <v>-16.3530268618272</v>
      </c>
      <c r="B110">
        <f t="shared" si="9"/>
        <v>-1.63530268618272E-2</v>
      </c>
      <c r="C110">
        <v>-2.5912251833072799E-3</v>
      </c>
      <c r="D110">
        <f t="shared" si="11"/>
        <v>4.6694120626000115E-3</v>
      </c>
      <c r="E110">
        <f t="shared" si="10"/>
        <v>-1.2099498127847939E-5</v>
      </c>
    </row>
    <row r="111" spans="1:5" x14ac:dyDescent="0.3">
      <c r="A111">
        <f>-16.2409609723248</f>
        <v>-16.2409609723248</v>
      </c>
      <c r="B111">
        <f t="shared" si="9"/>
        <v>-1.6240960972324799E-2</v>
      </c>
      <c r="C111">
        <v>-2.5926808769212201E-3</v>
      </c>
      <c r="D111">
        <f t="shared" si="11"/>
        <v>4.6694120626000115E-3</v>
      </c>
      <c r="E111">
        <f t="shared" si="10"/>
        <v>-1.2106295361168321E-5</v>
      </c>
    </row>
    <row r="112" spans="1:5" x14ac:dyDescent="0.3">
      <c r="A112">
        <f>-16.1288950828224</f>
        <v>-16.1288950828224</v>
      </c>
      <c r="B112">
        <f t="shared" si="9"/>
        <v>-1.6128895082822399E-2</v>
      </c>
      <c r="C112">
        <v>-2.5940376650404199E-3</v>
      </c>
      <c r="D112">
        <f t="shared" si="11"/>
        <v>4.6694120626000115E-3</v>
      </c>
      <c r="E112">
        <f t="shared" si="10"/>
        <v>-1.2112630763978504E-5</v>
      </c>
    </row>
    <row r="113" spans="1:5" x14ac:dyDescent="0.3">
      <c r="A113">
        <f>-16.01682919332</f>
        <v>-16.01682919332</v>
      </c>
      <c r="B113">
        <f t="shared" si="9"/>
        <v>-1.6016829193319999E-2</v>
      </c>
      <c r="C113">
        <v>-2.5953951608444601E-3</v>
      </c>
      <c r="D113">
        <f t="shared" si="11"/>
        <v>4.6694120626000115E-3</v>
      </c>
      <c r="E113">
        <f t="shared" si="10"/>
        <v>-1.2118969471260819E-5</v>
      </c>
    </row>
    <row r="114" spans="1:5" x14ac:dyDescent="0.3">
      <c r="A114">
        <f>-15.9047633038176</f>
        <v>-15.9047633038176</v>
      </c>
      <c r="B114">
        <f t="shared" si="9"/>
        <v>-1.5904763303817598E-2</v>
      </c>
      <c r="C114">
        <v>-2.59675336470138E-3</v>
      </c>
      <c r="D114">
        <f t="shared" si="11"/>
        <v>4.6694120626000115E-3</v>
      </c>
      <c r="E114">
        <f t="shared" si="10"/>
        <v>-1.212531148473379E-5</v>
      </c>
    </row>
    <row r="115" spans="1:5" x14ac:dyDescent="0.3">
      <c r="A115">
        <f>-15.7926974143152</f>
        <v>-15.792697414315199</v>
      </c>
      <c r="B115">
        <f t="shared" si="9"/>
        <v>-1.5792697414315198E-2</v>
      </c>
      <c r="C115">
        <v>-2.59811227697938E-3</v>
      </c>
      <c r="D115">
        <f t="shared" si="11"/>
        <v>4.6694120625978431E-3</v>
      </c>
      <c r="E115">
        <f t="shared" si="10"/>
        <v>-1.2131656806111065E-5</v>
      </c>
    </row>
    <row r="116" spans="1:5" x14ac:dyDescent="0.3">
      <c r="A116">
        <f>-15.6806315248129</f>
        <v>-15.680631524812901</v>
      </c>
      <c r="B116">
        <f t="shared" si="9"/>
        <v>-1.5680631524812902E-2</v>
      </c>
      <c r="C116">
        <v>-2.5994043784675698E-3</v>
      </c>
      <c r="D116">
        <f t="shared" si="11"/>
        <v>4.6694120625978795E-3</v>
      </c>
      <c r="E116">
        <f t="shared" si="10"/>
        <v>-1.2137690160386214E-5</v>
      </c>
    </row>
    <row r="117" spans="1:5" x14ac:dyDescent="0.3">
      <c r="A117">
        <f>-15.5685656353105</f>
        <v>-15.568565635310501</v>
      </c>
      <c r="B117">
        <f t="shared" si="9"/>
        <v>-1.55685656353105E-2</v>
      </c>
      <c r="C117">
        <v>-2.60069712049574E-3</v>
      </c>
      <c r="D117">
        <f t="shared" si="11"/>
        <v>4.6694120626000115E-3</v>
      </c>
      <c r="E117">
        <f t="shared" si="10"/>
        <v>-1.2143726505611925E-5</v>
      </c>
    </row>
    <row r="118" spans="1:5" x14ac:dyDescent="0.3">
      <c r="A118">
        <f>-15.4564997458081</f>
        <v>-15.456499745808101</v>
      </c>
      <c r="B118">
        <f t="shared" si="9"/>
        <v>-1.5456499745808101E-2</v>
      </c>
      <c r="C118">
        <v>-2.6019905033805098E-3</v>
      </c>
      <c r="D118">
        <f t="shared" si="11"/>
        <v>4.6694120625999759E-3</v>
      </c>
      <c r="E118">
        <f t="shared" si="10"/>
        <v>-1.2149765843255535E-5</v>
      </c>
    </row>
    <row r="119" spans="1:5" x14ac:dyDescent="0.3">
      <c r="A119">
        <f>-15.3444338563057</f>
        <v>-15.344433856305701</v>
      </c>
      <c r="B119">
        <f t="shared" si="9"/>
        <v>-1.5344433856305701E-2</v>
      </c>
      <c r="C119">
        <v>-2.60328452743867E-3</v>
      </c>
      <c r="D119">
        <f t="shared" si="11"/>
        <v>4.6694120626000115E-3</v>
      </c>
      <c r="E119">
        <f t="shared" si="10"/>
        <v>-1.2155808174802096E-5</v>
      </c>
    </row>
    <row r="120" spans="1:5" x14ac:dyDescent="0.3">
      <c r="A120">
        <f>-15.2323679668033</f>
        <v>-15.232367966803301</v>
      </c>
      <c r="B120">
        <f t="shared" si="9"/>
        <v>-1.5232367966803301E-2</v>
      </c>
      <c r="C120">
        <v>-2.6045070020972502E-3</v>
      </c>
      <c r="D120">
        <f t="shared" si="11"/>
        <v>4.6694120626000115E-3</v>
      </c>
      <c r="E120">
        <f t="shared" si="10"/>
        <v>-1.2161516412719093E-5</v>
      </c>
    </row>
    <row r="121" spans="1:5" x14ac:dyDescent="0.3">
      <c r="A121">
        <f>-15.1203020773009</f>
        <v>-15.1203020773009</v>
      </c>
      <c r="B121">
        <f t="shared" si="9"/>
        <v>-1.51203020773009E-2</v>
      </c>
      <c r="C121">
        <v>-2.6057300489995701E-3</v>
      </c>
      <c r="D121">
        <f t="shared" si="11"/>
        <v>4.6694120626000115E-3</v>
      </c>
      <c r="E121">
        <f t="shared" si="10"/>
        <v>-1.2167227322677913E-5</v>
      </c>
    </row>
    <row r="122" spans="1:5" x14ac:dyDescent="0.3">
      <c r="A122">
        <f>-15.0082361877985</f>
        <v>-15.0082361877985</v>
      </c>
      <c r="B122">
        <f t="shared" si="9"/>
        <v>-1.50082361877985E-2</v>
      </c>
      <c r="C122">
        <v>-2.6069536684127301E-3</v>
      </c>
      <c r="D122">
        <f t="shared" si="11"/>
        <v>4.6694120626000115E-3</v>
      </c>
      <c r="E122">
        <f t="shared" si="10"/>
        <v>-1.2172940905925753E-5</v>
      </c>
    </row>
    <row r="123" spans="1:5" x14ac:dyDescent="0.3">
      <c r="A123">
        <f>-14.8961702982961</f>
        <v>-14.8961702982961</v>
      </c>
      <c r="B123">
        <f t="shared" si="9"/>
        <v>-1.48961702982961E-2</v>
      </c>
      <c r="C123">
        <v>-2.6081778606039702E-3</v>
      </c>
      <c r="D123">
        <f t="shared" si="11"/>
        <v>4.6694120626000115E-3</v>
      </c>
      <c r="E123">
        <f t="shared" si="10"/>
        <v>-1.2178657163710469E-5</v>
      </c>
    </row>
    <row r="124" spans="1:5" x14ac:dyDescent="0.3">
      <c r="A124">
        <f>-14.7841044087937</f>
        <v>-14.7841044087937</v>
      </c>
      <c r="B124">
        <f t="shared" si="9"/>
        <v>-1.47841044087937E-2</v>
      </c>
      <c r="C124">
        <v>-2.6093631239226299E-3</v>
      </c>
      <c r="D124">
        <f t="shared" si="11"/>
        <v>4.6694120625999759E-3</v>
      </c>
      <c r="E124">
        <f t="shared" si="10"/>
        <v>-1.2184191646547884E-5</v>
      </c>
    </row>
    <row r="125" spans="1:5" x14ac:dyDescent="0.3">
      <c r="A125">
        <f>-14.6720385192913</f>
        <v>-14.6720385192913</v>
      </c>
      <c r="B125">
        <f t="shared" si="9"/>
        <v>-1.4672038519291301E-2</v>
      </c>
      <c r="C125">
        <v>-2.6105489242674901E-3</v>
      </c>
      <c r="D125">
        <f t="shared" si="11"/>
        <v>4.669412062597916E-3</v>
      </c>
      <c r="E125">
        <f t="shared" si="10"/>
        <v>-1.2189728636976631E-5</v>
      </c>
    </row>
    <row r="126" spans="1:5" x14ac:dyDescent="0.3">
      <c r="A126">
        <f>-14.559972629789</f>
        <v>-14.559972629789</v>
      </c>
      <c r="B126">
        <f t="shared" si="9"/>
        <v>-1.4559972629789E-2</v>
      </c>
      <c r="C126">
        <v>-2.6117352618812198E-3</v>
      </c>
      <c r="D126">
        <f t="shared" si="11"/>
        <v>4.6694120625979515E-3</v>
      </c>
      <c r="E126">
        <f t="shared" si="10"/>
        <v>-1.2195268136140588E-5</v>
      </c>
    </row>
    <row r="127" spans="1:5" x14ac:dyDescent="0.3">
      <c r="A127">
        <f>-14.4479067402866</f>
        <v>-14.4479067402866</v>
      </c>
      <c r="B127">
        <f t="shared" si="9"/>
        <v>-1.4447906740286599E-2</v>
      </c>
      <c r="C127">
        <v>-2.6129221370065998E-3</v>
      </c>
      <c r="D127">
        <f t="shared" si="11"/>
        <v>4.6694120626000115E-3</v>
      </c>
      <c r="E127">
        <f t="shared" si="10"/>
        <v>-1.2200810145173217E-5</v>
      </c>
    </row>
    <row r="128" spans="1:5" x14ac:dyDescent="0.3">
      <c r="A128">
        <f>-14.3358408507842</f>
        <v>-14.3358408507842</v>
      </c>
      <c r="B128">
        <f t="shared" si="9"/>
        <v>-1.4335840850784199E-2</v>
      </c>
      <c r="C128">
        <v>-2.6140449719010898E-3</v>
      </c>
      <c r="D128">
        <f t="shared" si="11"/>
        <v>4.6694120625999759E-3</v>
      </c>
      <c r="E128">
        <f t="shared" si="10"/>
        <v>-1.2206053123973765E-5</v>
      </c>
    </row>
    <row r="129" spans="1:5" x14ac:dyDescent="0.3">
      <c r="A129">
        <f>-14.2237749612818</f>
        <v>-14.2237749612818</v>
      </c>
      <c r="B129">
        <f t="shared" si="9"/>
        <v>-1.42237749612818E-2</v>
      </c>
      <c r="C129">
        <v>-2.6151682878592201E-3</v>
      </c>
      <c r="D129">
        <f t="shared" si="11"/>
        <v>4.6694120625999759E-3</v>
      </c>
      <c r="E129">
        <f t="shared" si="10"/>
        <v>-1.2211298349058768E-5</v>
      </c>
    </row>
    <row r="130" spans="1:5" x14ac:dyDescent="0.3">
      <c r="A130">
        <f>-14.1117090717794</f>
        <v>-14.1117090717794</v>
      </c>
      <c r="B130">
        <f t="shared" si="9"/>
        <v>-1.41117090717794E-2</v>
      </c>
      <c r="C130">
        <v>-2.6162920850865399E-3</v>
      </c>
      <c r="D130">
        <f t="shared" si="11"/>
        <v>4.6694120626000115E-3</v>
      </c>
      <c r="E130">
        <f t="shared" si="10"/>
        <v>-1.2216545821388026E-5</v>
      </c>
    </row>
    <row r="131" spans="1:5" x14ac:dyDescent="0.3">
      <c r="A131">
        <f>-13.999643182277</f>
        <v>-13.999643182277</v>
      </c>
      <c r="B131">
        <f t="shared" ref="B131:B194" si="12">A131/1000</f>
        <v>-1.3999643182277E-2</v>
      </c>
      <c r="C131">
        <v>-2.6174163637886902E-3</v>
      </c>
      <c r="D131">
        <f t="shared" si="11"/>
        <v>4.6694120626000115E-3</v>
      </c>
      <c r="E131">
        <f t="shared" ref="E131:E194" si="13">C131*D131</f>
        <v>-1.222179554192157E-5</v>
      </c>
    </row>
    <row r="132" spans="1:5" x14ac:dyDescent="0.3">
      <c r="A132">
        <f>-13.8875772927746</f>
        <v>-13.8875772927746</v>
      </c>
      <c r="B132">
        <f t="shared" si="12"/>
        <v>-1.38875772927746E-2</v>
      </c>
      <c r="C132">
        <v>-2.6185227462087401E-3</v>
      </c>
      <c r="D132">
        <f t="shared" ref="D132:D195" si="14">$O$11*(B133-B131)</f>
        <v>4.6694120626000115E-3</v>
      </c>
      <c r="E132">
        <f t="shared" si="13"/>
        <v>-1.22269616973396E-5</v>
      </c>
    </row>
    <row r="133" spans="1:5" x14ac:dyDescent="0.3">
      <c r="A133">
        <f>-13.7755114032722</f>
        <v>-13.775511403272199</v>
      </c>
      <c r="B133">
        <f t="shared" si="12"/>
        <v>-1.3775511403272199E-2</v>
      </c>
      <c r="C133">
        <v>-2.6196295950117899E-3</v>
      </c>
      <c r="D133">
        <f t="shared" si="14"/>
        <v>4.6694120626000115E-3</v>
      </c>
      <c r="E133">
        <f t="shared" si="13"/>
        <v>-1.2232130030492034E-5</v>
      </c>
    </row>
    <row r="134" spans="1:5" x14ac:dyDescent="0.3">
      <c r="A134">
        <f>-13.6634455137698</f>
        <v>-13.663445513769799</v>
      </c>
      <c r="B134">
        <f t="shared" si="12"/>
        <v>-1.3663445513769799E-2</v>
      </c>
      <c r="C134">
        <v>-2.6207369103939601E-3</v>
      </c>
      <c r="D134">
        <f t="shared" si="14"/>
        <v>4.6694120626000115E-3</v>
      </c>
      <c r="E134">
        <f t="shared" si="13"/>
        <v>-1.2237300542294642E-5</v>
      </c>
    </row>
    <row r="135" spans="1:5" x14ac:dyDescent="0.3">
      <c r="A135">
        <f>-13.5513796242674</f>
        <v>-13.551379624267399</v>
      </c>
      <c r="B135">
        <f t="shared" si="12"/>
        <v>-1.3551379624267399E-2</v>
      </c>
      <c r="C135">
        <v>-2.6218446925514402E-3</v>
      </c>
      <c r="D135">
        <f t="shared" si="14"/>
        <v>4.6694120625978795E-3</v>
      </c>
      <c r="E135">
        <f t="shared" si="13"/>
        <v>-1.2242473233657924E-5</v>
      </c>
    </row>
    <row r="136" spans="1:5" x14ac:dyDescent="0.3">
      <c r="A136">
        <f>-13.4393137347651</f>
        <v>-13.439313734765101</v>
      </c>
      <c r="B136">
        <f t="shared" si="12"/>
        <v>-1.3439313734765101E-2</v>
      </c>
      <c r="C136">
        <v>-2.62290477595741E-3</v>
      </c>
      <c r="D136">
        <f t="shared" si="14"/>
        <v>4.6694120625978795E-3</v>
      </c>
      <c r="E136">
        <f t="shared" si="13"/>
        <v>-1.2247423199901119E-5</v>
      </c>
    </row>
    <row r="137" spans="1:5" x14ac:dyDescent="0.3">
      <c r="A137">
        <f>-13.3272478452627</f>
        <v>-13.327247845262701</v>
      </c>
      <c r="B137">
        <f t="shared" si="12"/>
        <v>-1.3327247845262701E-2</v>
      </c>
      <c r="C137">
        <v>-2.6239652868169099E-3</v>
      </c>
      <c r="D137">
        <f t="shared" si="14"/>
        <v>4.6694120626000115E-3</v>
      </c>
      <c r="E137">
        <f t="shared" si="13"/>
        <v>-1.2252375162106578E-5</v>
      </c>
    </row>
    <row r="138" spans="1:5" x14ac:dyDescent="0.3">
      <c r="A138">
        <f>-13.2151819557603</f>
        <v>-13.215181955760301</v>
      </c>
      <c r="B138">
        <f t="shared" si="12"/>
        <v>-1.32151819557603E-2</v>
      </c>
      <c r="C138">
        <v>-2.62502622530187E-3</v>
      </c>
      <c r="D138">
        <f t="shared" si="14"/>
        <v>4.6694120626000115E-3</v>
      </c>
      <c r="E138">
        <f t="shared" si="13"/>
        <v>-1.2257329121065928E-5</v>
      </c>
    </row>
    <row r="139" spans="1:5" x14ac:dyDescent="0.3">
      <c r="A139">
        <f>-13.1031160662579</f>
        <v>-13.1031160662579</v>
      </c>
      <c r="B139">
        <f t="shared" si="12"/>
        <v>-1.31031160662579E-2</v>
      </c>
      <c r="C139">
        <v>-2.6260875915842799E-3</v>
      </c>
      <c r="D139">
        <f t="shared" si="14"/>
        <v>4.6694120626000115E-3</v>
      </c>
      <c r="E139">
        <f t="shared" si="13"/>
        <v>-1.2262285077587849E-5</v>
      </c>
    </row>
    <row r="140" spans="1:5" x14ac:dyDescent="0.3">
      <c r="A140">
        <f>-12.9910501767555</f>
        <v>-12.9910501767555</v>
      </c>
      <c r="B140">
        <f t="shared" si="12"/>
        <v>-1.29910501767555E-2</v>
      </c>
      <c r="C140">
        <v>-2.6271440833439798E-3</v>
      </c>
      <c r="D140">
        <f t="shared" si="14"/>
        <v>4.6694120625999759E-3</v>
      </c>
      <c r="E140">
        <f t="shared" si="13"/>
        <v>-1.2267218272954535E-5</v>
      </c>
    </row>
    <row r="141" spans="1:5" x14ac:dyDescent="0.3">
      <c r="A141">
        <f>-12.8789842872531</f>
        <v>-12.8789842872531</v>
      </c>
      <c r="B141">
        <f t="shared" si="12"/>
        <v>-1.2878984287253101E-2</v>
      </c>
      <c r="C141">
        <v>-2.6282009990922402E-3</v>
      </c>
      <c r="D141">
        <f t="shared" si="14"/>
        <v>4.6694120625999759E-3</v>
      </c>
      <c r="E141">
        <f t="shared" si="13"/>
        <v>-1.2272153448098616E-5</v>
      </c>
    </row>
    <row r="142" spans="1:5" x14ac:dyDescent="0.3">
      <c r="A142">
        <f>-12.7669183977507</f>
        <v>-12.7669183977507</v>
      </c>
      <c r="B142">
        <f t="shared" si="12"/>
        <v>-1.2766918397750701E-2</v>
      </c>
      <c r="C142">
        <v>-2.62925833899885E-3</v>
      </c>
      <c r="D142">
        <f t="shared" si="14"/>
        <v>4.6694120626000115E-3</v>
      </c>
      <c r="E142">
        <f t="shared" si="13"/>
        <v>-1.2277090603812901E-5</v>
      </c>
    </row>
    <row r="143" spans="1:5" x14ac:dyDescent="0.3">
      <c r="A143">
        <f>-12.6548525082483</f>
        <v>-12.6548525082483</v>
      </c>
      <c r="B143">
        <f t="shared" si="12"/>
        <v>-1.2654852508248301E-2</v>
      </c>
      <c r="C143">
        <v>-2.6303161032336401E-3</v>
      </c>
      <c r="D143">
        <f t="shared" si="14"/>
        <v>4.6694120626000115E-3</v>
      </c>
      <c r="E143">
        <f t="shared" si="13"/>
        <v>-1.2282029740890217E-5</v>
      </c>
    </row>
    <row r="144" spans="1:5" x14ac:dyDescent="0.3">
      <c r="A144">
        <f>-12.5427866187459</f>
        <v>-12.5427866187459</v>
      </c>
      <c r="B144">
        <f t="shared" si="12"/>
        <v>-1.25427866187459E-2</v>
      </c>
      <c r="C144">
        <v>-2.6313479160894001E-3</v>
      </c>
      <c r="D144">
        <f t="shared" si="14"/>
        <v>4.6694120626000115E-3</v>
      </c>
      <c r="E144">
        <f t="shared" si="13"/>
        <v>-1.2286847700285247E-5</v>
      </c>
    </row>
    <row r="145" spans="1:5" x14ac:dyDescent="0.3">
      <c r="A145">
        <f>-12.4307207292435</f>
        <v>-12.4307207292435</v>
      </c>
      <c r="B145">
        <f t="shared" si="12"/>
        <v>-1.24307207292435E-2</v>
      </c>
      <c r="C145">
        <v>-2.6323801327506101E-3</v>
      </c>
      <c r="D145">
        <f t="shared" si="14"/>
        <v>4.669412062597916E-3</v>
      </c>
      <c r="E145">
        <f t="shared" si="13"/>
        <v>-1.2291667545208802E-5</v>
      </c>
    </row>
    <row r="146" spans="1:5" x14ac:dyDescent="0.3">
      <c r="A146">
        <f>-12.3186548397412</f>
        <v>-12.3186548397412</v>
      </c>
      <c r="B146">
        <f t="shared" si="12"/>
        <v>-1.23186548397412E-2</v>
      </c>
      <c r="C146">
        <v>-2.63341275337495E-3</v>
      </c>
      <c r="D146">
        <f t="shared" si="14"/>
        <v>4.669412062597916E-3</v>
      </c>
      <c r="E146">
        <f t="shared" si="13"/>
        <v>-1.2296489276408182E-5</v>
      </c>
    </row>
    <row r="147" spans="1:5" x14ac:dyDescent="0.3">
      <c r="A147">
        <f>-12.2065889502388</f>
        <v>-12.2065889502388</v>
      </c>
      <c r="B147">
        <f t="shared" si="12"/>
        <v>-1.22065889502388E-2</v>
      </c>
      <c r="C147">
        <v>-2.6344457781201799E-3</v>
      </c>
      <c r="D147">
        <f t="shared" si="14"/>
        <v>4.6694120626000115E-3</v>
      </c>
      <c r="E147">
        <f t="shared" si="13"/>
        <v>-1.2301312894620041E-5</v>
      </c>
    </row>
    <row r="148" spans="1:5" x14ac:dyDescent="0.3">
      <c r="A148">
        <f>-12.0945230607364</f>
        <v>-12.0945230607364</v>
      </c>
      <c r="B148">
        <f t="shared" si="12"/>
        <v>-1.20945230607364E-2</v>
      </c>
      <c r="C148">
        <v>-2.6354811337898302E-3</v>
      </c>
      <c r="D148">
        <f t="shared" si="14"/>
        <v>4.6694120626000115E-3</v>
      </c>
      <c r="E148">
        <f t="shared" si="13"/>
        <v>-1.2306147396872987E-5</v>
      </c>
    </row>
    <row r="149" spans="1:5" x14ac:dyDescent="0.3">
      <c r="A149">
        <f>-11.982457171234</f>
        <v>-11.982457171234</v>
      </c>
      <c r="B149">
        <f t="shared" si="12"/>
        <v>-1.1982457171233999E-2</v>
      </c>
      <c r="C149">
        <v>-2.6365168955056299E-3</v>
      </c>
      <c r="D149">
        <f t="shared" si="14"/>
        <v>4.6694120626000115E-3</v>
      </c>
      <c r="E149">
        <f t="shared" si="13"/>
        <v>-1.2310983795122723E-5</v>
      </c>
    </row>
    <row r="150" spans="1:5" x14ac:dyDescent="0.3">
      <c r="A150">
        <f>-11.8703912817316</f>
        <v>-11.8703912817316</v>
      </c>
      <c r="B150">
        <f t="shared" si="12"/>
        <v>-1.1870391281731599E-2</v>
      </c>
      <c r="C150">
        <v>-2.6375530634265101E-3</v>
      </c>
      <c r="D150">
        <f t="shared" si="14"/>
        <v>4.6694120626000115E-3</v>
      </c>
      <c r="E150">
        <f t="shared" si="13"/>
        <v>-1.231582209011136E-5</v>
      </c>
    </row>
    <row r="151" spans="1:5" x14ac:dyDescent="0.3">
      <c r="A151">
        <f>-11.7583253922292</f>
        <v>-11.758325392229199</v>
      </c>
      <c r="B151">
        <f t="shared" si="12"/>
        <v>-1.1758325392229199E-2</v>
      </c>
      <c r="C151">
        <v>-2.6385896377114802E-3</v>
      </c>
      <c r="D151">
        <f t="shared" si="14"/>
        <v>4.6694120625999759E-3</v>
      </c>
      <c r="E151">
        <f t="shared" si="13"/>
        <v>-1.2320662282581285E-5</v>
      </c>
    </row>
    <row r="152" spans="1:5" x14ac:dyDescent="0.3">
      <c r="A152">
        <f>-11.6462595027268</f>
        <v>-11.646259502726799</v>
      </c>
      <c r="B152">
        <f t="shared" si="12"/>
        <v>-1.16462595027268E-2</v>
      </c>
      <c r="C152">
        <v>-2.6396119050926701E-3</v>
      </c>
      <c r="D152">
        <f t="shared" si="14"/>
        <v>4.6694120625999759E-3</v>
      </c>
      <c r="E152">
        <f t="shared" si="13"/>
        <v>-1.2325435670222217E-5</v>
      </c>
    </row>
    <row r="153" spans="1:5" x14ac:dyDescent="0.3">
      <c r="A153">
        <f>-11.5341936132244</f>
        <v>-11.534193613224399</v>
      </c>
      <c r="B153">
        <f t="shared" si="12"/>
        <v>-1.15341936132244E-2</v>
      </c>
      <c r="C153">
        <v>-2.6406345677485398E-3</v>
      </c>
      <c r="D153">
        <f t="shared" si="14"/>
        <v>4.6694120626000115E-3</v>
      </c>
      <c r="E153">
        <f t="shared" si="13"/>
        <v>-1.2330210903563599E-5</v>
      </c>
    </row>
    <row r="154" spans="1:5" x14ac:dyDescent="0.3">
      <c r="A154">
        <f>-11.422127723722</f>
        <v>-11.422127723721999</v>
      </c>
      <c r="B154">
        <f t="shared" si="12"/>
        <v>-1.1422127723722E-2</v>
      </c>
      <c r="C154">
        <v>-2.6416576258316499E-3</v>
      </c>
      <c r="D154">
        <f t="shared" si="14"/>
        <v>4.6694120626000115E-3</v>
      </c>
      <c r="E154">
        <f t="shared" si="13"/>
        <v>-1.2334987983317613E-5</v>
      </c>
    </row>
    <row r="155" spans="1:5" x14ac:dyDescent="0.3">
      <c r="A155">
        <f>-11.3100618342196</f>
        <v>-11.310061834219599</v>
      </c>
      <c r="B155">
        <f t="shared" si="12"/>
        <v>-1.1310061834219599E-2</v>
      </c>
      <c r="C155">
        <v>-2.6426810794946201E-3</v>
      </c>
      <c r="D155">
        <f t="shared" si="14"/>
        <v>4.669412062597916E-3</v>
      </c>
      <c r="E155">
        <f t="shared" si="13"/>
        <v>-1.2339766910191461E-5</v>
      </c>
    </row>
    <row r="156" spans="1:5" x14ac:dyDescent="0.3">
      <c r="A156">
        <f>-11.1979959447173</f>
        <v>-11.197995944717301</v>
      </c>
      <c r="B156">
        <f t="shared" si="12"/>
        <v>-1.11979959447173E-2</v>
      </c>
      <c r="C156">
        <v>-2.6436994585120801E-3</v>
      </c>
      <c r="D156">
        <f t="shared" si="14"/>
        <v>4.6694120625978795E-3</v>
      </c>
      <c r="E156">
        <f t="shared" si="13"/>
        <v>-1.234452214145979E-5</v>
      </c>
    </row>
    <row r="157" spans="1:5" x14ac:dyDescent="0.3">
      <c r="A157">
        <f>-11.0859300552149</f>
        <v>-11.0859300552149</v>
      </c>
      <c r="B157">
        <f t="shared" si="12"/>
        <v>-1.1085930055214901E-2</v>
      </c>
      <c r="C157">
        <v>-2.6447182292573101E-3</v>
      </c>
      <c r="D157">
        <f t="shared" si="14"/>
        <v>4.6694120625999759E-3</v>
      </c>
      <c r="E157">
        <f t="shared" si="13"/>
        <v>-1.2349279201872132E-5</v>
      </c>
    </row>
    <row r="158" spans="1:5" x14ac:dyDescent="0.3">
      <c r="A158">
        <f>-10.9738641657125</f>
        <v>-10.9738641657125</v>
      </c>
      <c r="B158">
        <f t="shared" si="12"/>
        <v>-1.0973864165712501E-2</v>
      </c>
      <c r="C158">
        <v>-2.6457373918807202E-3</v>
      </c>
      <c r="D158">
        <f t="shared" si="14"/>
        <v>4.6694120626000115E-3</v>
      </c>
      <c r="E158">
        <f t="shared" si="13"/>
        <v>-1.2354038092119728E-5</v>
      </c>
    </row>
    <row r="159" spans="1:5" x14ac:dyDescent="0.3">
      <c r="A159">
        <f>-10.8617982762101</f>
        <v>-10.8617982762101</v>
      </c>
      <c r="B159">
        <f t="shared" si="12"/>
        <v>-1.0861798276210101E-2</v>
      </c>
      <c r="C159">
        <v>-2.6467569465328101E-3</v>
      </c>
      <c r="D159">
        <f t="shared" si="14"/>
        <v>4.6694120626000115E-3</v>
      </c>
      <c r="E159">
        <f t="shared" si="13"/>
        <v>-1.2358798812910678E-5</v>
      </c>
    </row>
    <row r="160" spans="1:5" x14ac:dyDescent="0.3">
      <c r="A160">
        <f>-10.7497323867077</f>
        <v>-10.7497323867077</v>
      </c>
      <c r="B160">
        <f t="shared" si="12"/>
        <v>-1.07497323867077E-2</v>
      </c>
      <c r="C160">
        <v>-2.6477752841668799E-3</v>
      </c>
      <c r="D160">
        <f t="shared" si="14"/>
        <v>4.6694120626000115E-3</v>
      </c>
      <c r="E160">
        <f t="shared" si="13"/>
        <v>-1.2363553850943002E-5</v>
      </c>
    </row>
    <row r="161" spans="1:5" x14ac:dyDescent="0.3">
      <c r="A161">
        <f>-10.6376664972053</f>
        <v>-10.6376664972053</v>
      </c>
      <c r="B161">
        <f t="shared" si="12"/>
        <v>-1.06376664972053E-2</v>
      </c>
      <c r="C161">
        <v>-2.6487940129549001E-3</v>
      </c>
      <c r="D161">
        <f t="shared" si="14"/>
        <v>4.6694120626000115E-3</v>
      </c>
      <c r="E161">
        <f t="shared" si="13"/>
        <v>-1.2368310715434301E-5</v>
      </c>
    </row>
    <row r="162" spans="1:5" x14ac:dyDescent="0.3">
      <c r="A162">
        <f>-10.5256006077029</f>
        <v>-10.5256006077029</v>
      </c>
      <c r="B162">
        <f t="shared" si="12"/>
        <v>-1.05256006077029E-2</v>
      </c>
      <c r="C162">
        <v>-2.6498131330468899E-3</v>
      </c>
      <c r="D162">
        <f t="shared" si="14"/>
        <v>4.6694120626000115E-3</v>
      </c>
      <c r="E162">
        <f t="shared" si="13"/>
        <v>-1.2373069407085077E-5</v>
      </c>
    </row>
    <row r="163" spans="1:5" x14ac:dyDescent="0.3">
      <c r="A163">
        <f>-10.4135347182005</f>
        <v>-10.4135347182005</v>
      </c>
      <c r="B163">
        <f t="shared" si="12"/>
        <v>-1.0413534718200499E-2</v>
      </c>
      <c r="C163">
        <v>-2.6508326445929E-3</v>
      </c>
      <c r="D163">
        <f t="shared" si="14"/>
        <v>4.6694120625999759E-3</v>
      </c>
      <c r="E163">
        <f t="shared" si="13"/>
        <v>-1.2377829926595882E-5</v>
      </c>
    </row>
    <row r="164" spans="1:5" x14ac:dyDescent="0.3">
      <c r="A164">
        <f>-10.3014688286981</f>
        <v>-10.3014688286981</v>
      </c>
      <c r="B164">
        <f t="shared" si="12"/>
        <v>-1.0301468828698101E-2</v>
      </c>
      <c r="C164">
        <v>-2.6518695985980902E-3</v>
      </c>
      <c r="D164">
        <f t="shared" si="14"/>
        <v>4.6694120625999759E-3</v>
      </c>
      <c r="E164">
        <f t="shared" si="13"/>
        <v>-1.2382671892136079E-5</v>
      </c>
    </row>
    <row r="165" spans="1:5" x14ac:dyDescent="0.3">
      <c r="A165">
        <f>-10.1894029391957</f>
        <v>-10.1894029391957</v>
      </c>
      <c r="B165">
        <f t="shared" si="12"/>
        <v>-1.0189402939195701E-2</v>
      </c>
      <c r="C165">
        <v>-2.6529069576534999E-3</v>
      </c>
      <c r="D165">
        <f t="shared" si="14"/>
        <v>4.6694120625979515E-3</v>
      </c>
      <c r="E165">
        <f t="shared" si="13"/>
        <v>-1.2387515749017285E-5</v>
      </c>
    </row>
    <row r="166" spans="1:5" x14ac:dyDescent="0.3">
      <c r="A166">
        <f>-10.0773370496934</f>
        <v>-10.0773370496934</v>
      </c>
      <c r="B166">
        <f t="shared" si="12"/>
        <v>-1.0077337049693399E-2</v>
      </c>
      <c r="C166">
        <v>-2.6539447219171299E-3</v>
      </c>
      <c r="D166">
        <f t="shared" si="14"/>
        <v>4.6694120625976991E-3</v>
      </c>
      <c r="E166">
        <f t="shared" si="13"/>
        <v>-1.2392361497987343E-5</v>
      </c>
    </row>
    <row r="167" spans="1:5" x14ac:dyDescent="0.3">
      <c r="A167">
        <f>-9.96527116019101</f>
        <v>-9.9652711601910102</v>
      </c>
      <c r="B167">
        <f t="shared" si="12"/>
        <v>-9.965271160191011E-3</v>
      </c>
      <c r="C167">
        <v>-2.6549828915470499E-3</v>
      </c>
      <c r="D167">
        <f t="shared" si="14"/>
        <v>4.6694120625995423E-3</v>
      </c>
      <c r="E167">
        <f t="shared" si="13"/>
        <v>-1.2397209139785207E-5</v>
      </c>
    </row>
    <row r="168" spans="1:5" x14ac:dyDescent="0.3">
      <c r="A168">
        <f>-9.85320527068862</f>
        <v>-9.8532052706886208</v>
      </c>
      <c r="B168">
        <f t="shared" si="12"/>
        <v>-9.8532052706886211E-3</v>
      </c>
      <c r="C168">
        <v>-2.65604183757769E-3</v>
      </c>
      <c r="D168">
        <f t="shared" si="14"/>
        <v>4.6694120625996142E-3</v>
      </c>
      <c r="E168">
        <f t="shared" si="13"/>
        <v>-1.2402153795154511E-5</v>
      </c>
    </row>
    <row r="169" spans="1:5" x14ac:dyDescent="0.3">
      <c r="A169">
        <f>-9.74113938118623</f>
        <v>-9.7411393811862297</v>
      </c>
      <c r="B169">
        <f t="shared" si="12"/>
        <v>-9.7411393811862295E-3</v>
      </c>
      <c r="C169">
        <v>-2.65710120544528E-3</v>
      </c>
      <c r="D169">
        <f t="shared" si="14"/>
        <v>4.6694120625996142E-3</v>
      </c>
      <c r="E169">
        <f t="shared" si="13"/>
        <v>-1.2407100420254165E-5</v>
      </c>
    </row>
    <row r="170" spans="1:5" x14ac:dyDescent="0.3">
      <c r="A170">
        <f>-9.62907349168384</f>
        <v>-9.6290734916838403</v>
      </c>
      <c r="B170">
        <f t="shared" si="12"/>
        <v>-9.6290734916838396E-3</v>
      </c>
      <c r="C170">
        <v>-2.65816099531768E-3</v>
      </c>
      <c r="D170">
        <f t="shared" si="14"/>
        <v>4.6694120625995778E-3</v>
      </c>
      <c r="E170">
        <f t="shared" si="13"/>
        <v>-1.2412049015868074E-5</v>
      </c>
    </row>
    <row r="171" spans="1:5" x14ac:dyDescent="0.3">
      <c r="A171">
        <f>-9.51700760218145</f>
        <v>-9.5170076021814491</v>
      </c>
      <c r="B171">
        <f t="shared" si="12"/>
        <v>-9.5170076021814497E-3</v>
      </c>
      <c r="C171">
        <v>-2.6592212073628099E-3</v>
      </c>
      <c r="D171">
        <f t="shared" si="14"/>
        <v>4.6694120625995778E-3</v>
      </c>
      <c r="E171">
        <f t="shared" si="13"/>
        <v>-1.2416999582780518E-5</v>
      </c>
    </row>
    <row r="172" spans="1:5" x14ac:dyDescent="0.3">
      <c r="A172">
        <f>-9.40494171267906</f>
        <v>-9.4049417126790598</v>
      </c>
      <c r="B172">
        <f t="shared" si="12"/>
        <v>-9.4049417126790599E-3</v>
      </c>
      <c r="C172">
        <v>-2.66030846380746E-3</v>
      </c>
      <c r="D172">
        <f t="shared" si="14"/>
        <v>4.6694120625995778E-3</v>
      </c>
      <c r="E172">
        <f t="shared" si="13"/>
        <v>-1.2422076431138307E-5</v>
      </c>
    </row>
    <row r="173" spans="1:5" x14ac:dyDescent="0.3">
      <c r="A173">
        <f>-9.29287582317667</f>
        <v>-9.2928758231766704</v>
      </c>
      <c r="B173">
        <f t="shared" si="12"/>
        <v>-9.29287582317667E-3</v>
      </c>
      <c r="C173">
        <v>-2.6613961643213299E-3</v>
      </c>
      <c r="D173">
        <f t="shared" si="14"/>
        <v>4.6694120625996142E-3</v>
      </c>
      <c r="E173">
        <f t="shared" si="13"/>
        <v>-1.2427155353038362E-5</v>
      </c>
    </row>
    <row r="174" spans="1:5" x14ac:dyDescent="0.3">
      <c r="A174">
        <f>-9.18080993367428</f>
        <v>-9.1808099336742792</v>
      </c>
      <c r="B174">
        <f t="shared" si="12"/>
        <v>-9.1808099336742784E-3</v>
      </c>
      <c r="C174">
        <v>-2.6624843090856201E-3</v>
      </c>
      <c r="D174">
        <f t="shared" si="14"/>
        <v>4.6694120625995778E-3</v>
      </c>
      <c r="E174">
        <f t="shared" si="13"/>
        <v>-1.2432236349326497E-5</v>
      </c>
    </row>
    <row r="175" spans="1:5" x14ac:dyDescent="0.3">
      <c r="A175">
        <f>-9.06874404417189</f>
        <v>-9.0687440441718898</v>
      </c>
      <c r="B175">
        <f t="shared" si="12"/>
        <v>-9.0687440441718902E-3</v>
      </c>
      <c r="C175">
        <v>-2.6635728982815801E-3</v>
      </c>
      <c r="D175">
        <f t="shared" si="14"/>
        <v>4.6694120625995423E-3</v>
      </c>
      <c r="E175">
        <f t="shared" si="13"/>
        <v>-1.2437319420849234E-5</v>
      </c>
    </row>
    <row r="176" spans="1:5" x14ac:dyDescent="0.3">
      <c r="A176">
        <f>-8.9566781546695</f>
        <v>-8.9566781546695005</v>
      </c>
      <c r="B176">
        <f t="shared" si="12"/>
        <v>-8.9566781546695003E-3</v>
      </c>
      <c r="C176">
        <v>-2.6647000120991501E-3</v>
      </c>
      <c r="D176">
        <f t="shared" si="14"/>
        <v>4.6694120625996142E-3</v>
      </c>
      <c r="E176">
        <f t="shared" si="13"/>
        <v>-1.244258237970511E-5</v>
      </c>
    </row>
    <row r="177" spans="1:5" x14ac:dyDescent="0.3">
      <c r="A177">
        <f>-8.84461226516711</f>
        <v>-8.8446122651671093</v>
      </c>
      <c r="B177">
        <f t="shared" si="12"/>
        <v>-8.8446122651671087E-3</v>
      </c>
      <c r="C177">
        <v>-2.6658276024514801E-3</v>
      </c>
      <c r="D177">
        <f t="shared" si="14"/>
        <v>4.6694120625995778E-3</v>
      </c>
      <c r="E177">
        <f t="shared" si="13"/>
        <v>-1.2447847563697853E-5</v>
      </c>
    </row>
    <row r="178" spans="1:5" x14ac:dyDescent="0.3">
      <c r="A178">
        <f>-8.73254637566472</f>
        <v>-8.7325463756647199</v>
      </c>
      <c r="B178">
        <f t="shared" si="12"/>
        <v>-8.7325463756647206E-3</v>
      </c>
      <c r="C178">
        <v>-2.66695566953989E-3</v>
      </c>
      <c r="D178">
        <f t="shared" si="14"/>
        <v>4.6694120625995423E-3</v>
      </c>
      <c r="E178">
        <f t="shared" si="13"/>
        <v>-1.2453114973767802E-5</v>
      </c>
    </row>
    <row r="179" spans="1:5" x14ac:dyDescent="0.3">
      <c r="A179">
        <f>-8.62048048616233</f>
        <v>-8.6204804861623305</v>
      </c>
      <c r="B179">
        <f t="shared" si="12"/>
        <v>-8.6204804861623307E-3</v>
      </c>
      <c r="C179">
        <v>-2.6680842135657599E-3</v>
      </c>
      <c r="D179">
        <f t="shared" si="14"/>
        <v>4.6694120625996142E-3</v>
      </c>
      <c r="E179">
        <f t="shared" si="13"/>
        <v>-1.2458384610855564E-5</v>
      </c>
    </row>
    <row r="180" spans="1:5" x14ac:dyDescent="0.3">
      <c r="A180">
        <f>-8.50841459665994</f>
        <v>-8.5084145966599394</v>
      </c>
      <c r="B180">
        <f t="shared" si="12"/>
        <v>-8.5084145966599391E-3</v>
      </c>
      <c r="C180">
        <v>-2.6692521753374902E-3</v>
      </c>
      <c r="D180">
        <f t="shared" si="14"/>
        <v>4.6694120625996142E-3</v>
      </c>
      <c r="E180">
        <f t="shared" si="13"/>
        <v>-1.2463838305641137E-5</v>
      </c>
    </row>
    <row r="181" spans="1:5" x14ac:dyDescent="0.3">
      <c r="A181">
        <f>-8.39634870715755</f>
        <v>-8.39634870715755</v>
      </c>
      <c r="B181">
        <f t="shared" si="12"/>
        <v>-8.3963487071575492E-3</v>
      </c>
      <c r="C181">
        <v>-2.67042064802727E-3</v>
      </c>
      <c r="D181">
        <f t="shared" si="14"/>
        <v>4.6694120625995423E-3</v>
      </c>
      <c r="E181">
        <f t="shared" si="13"/>
        <v>-1.2469294386113421E-5</v>
      </c>
    </row>
    <row r="182" spans="1:5" x14ac:dyDescent="0.3">
      <c r="A182">
        <f>-8.28428281765516</f>
        <v>-8.2842828176551606</v>
      </c>
      <c r="B182">
        <f t="shared" si="12"/>
        <v>-8.284282817655161E-3</v>
      </c>
      <c r="C182">
        <v>-2.67158963185844E-3</v>
      </c>
      <c r="D182">
        <f t="shared" si="14"/>
        <v>4.6694120625995778E-3</v>
      </c>
      <c r="E182">
        <f t="shared" si="13"/>
        <v>-1.2474752853315765E-5</v>
      </c>
    </row>
    <row r="183" spans="1:5" x14ac:dyDescent="0.3">
      <c r="A183">
        <f>-8.17221692815277</f>
        <v>-8.1722169281527695</v>
      </c>
      <c r="B183">
        <f t="shared" si="12"/>
        <v>-8.1722169281527694E-3</v>
      </c>
      <c r="C183">
        <v>-2.6727591270544501E-3</v>
      </c>
      <c r="D183">
        <f t="shared" si="14"/>
        <v>4.6694120625996142E-3</v>
      </c>
      <c r="E183">
        <f t="shared" si="13"/>
        <v>-1.2480213708291265E-5</v>
      </c>
    </row>
    <row r="184" spans="1:5" x14ac:dyDescent="0.3">
      <c r="A184">
        <f>-8.06015103865038</f>
        <v>-8.0601510386503801</v>
      </c>
      <c r="B184">
        <f t="shared" si="12"/>
        <v>-8.0601510386503795E-3</v>
      </c>
      <c r="C184">
        <v>-2.6739862143965098E-3</v>
      </c>
      <c r="D184">
        <f t="shared" si="14"/>
        <v>4.6694120625995778E-3</v>
      </c>
      <c r="E184">
        <f t="shared" si="13"/>
        <v>-1.2485943484728044E-5</v>
      </c>
    </row>
    <row r="185" spans="1:5" x14ac:dyDescent="0.3">
      <c r="A185">
        <f>-7.94808514914799</f>
        <v>-7.9480851491479898</v>
      </c>
      <c r="B185">
        <f t="shared" si="12"/>
        <v>-7.9480851491479897E-3</v>
      </c>
      <c r="C185">
        <v>-2.6752138647997601E-3</v>
      </c>
      <c r="D185">
        <f t="shared" si="14"/>
        <v>4.6694120625995778E-3</v>
      </c>
      <c r="E185">
        <f t="shared" si="13"/>
        <v>-1.2491675890329635E-5</v>
      </c>
    </row>
    <row r="186" spans="1:5" x14ac:dyDescent="0.3">
      <c r="A186">
        <f>-7.8360192596456</f>
        <v>-7.8360192596456004</v>
      </c>
      <c r="B186">
        <f t="shared" si="12"/>
        <v>-7.8360192596455998E-3</v>
      </c>
      <c r="C186">
        <v>-2.6764420785224201E-3</v>
      </c>
      <c r="D186">
        <f t="shared" si="14"/>
        <v>4.6694120625995778E-3</v>
      </c>
      <c r="E186">
        <f t="shared" si="13"/>
        <v>-1.2497410926301674E-5</v>
      </c>
    </row>
    <row r="187" spans="1:5" x14ac:dyDescent="0.3">
      <c r="A187">
        <f>-7.72395337014321</f>
        <v>-7.7239533701432102</v>
      </c>
      <c r="B187">
        <f t="shared" si="12"/>
        <v>-7.7239533701432099E-3</v>
      </c>
      <c r="C187">
        <v>-2.6776708558228501E-3</v>
      </c>
      <c r="D187">
        <f t="shared" si="14"/>
        <v>4.6694120625993792E-3</v>
      </c>
      <c r="E187">
        <f t="shared" si="13"/>
        <v>-1.2503148593850019E-5</v>
      </c>
    </row>
    <row r="188" spans="1:5" x14ac:dyDescent="0.3">
      <c r="A188">
        <f>-7.61188748064083</f>
        <v>-7.6118874806408297</v>
      </c>
      <c r="B188">
        <f t="shared" si="12"/>
        <v>-7.6118874806408296E-3</v>
      </c>
      <c r="C188">
        <v>-2.67897084909437E-3</v>
      </c>
      <c r="D188">
        <f t="shared" si="14"/>
        <v>4.669412062599596E-3</v>
      </c>
      <c r="E188">
        <f t="shared" si="13"/>
        <v>-1.2509218798113933E-5</v>
      </c>
    </row>
    <row r="189" spans="1:5" x14ac:dyDescent="0.3">
      <c r="A189">
        <f>-7.49982159113843</f>
        <v>-7.4998215911384296</v>
      </c>
      <c r="B189">
        <f t="shared" si="12"/>
        <v>-7.4998215911384293E-3</v>
      </c>
      <c r="C189">
        <v>-2.6802714732548998E-3</v>
      </c>
      <c r="D189">
        <f t="shared" si="14"/>
        <v>4.6694120625995778E-3</v>
      </c>
      <c r="E189">
        <f t="shared" si="13"/>
        <v>-1.2515291948257971E-5</v>
      </c>
    </row>
    <row r="190" spans="1:5" x14ac:dyDescent="0.3">
      <c r="A190">
        <f>-7.38775570163605</f>
        <v>-7.38775570163605</v>
      </c>
      <c r="B190">
        <f t="shared" si="12"/>
        <v>-7.3877557016360498E-3</v>
      </c>
      <c r="C190">
        <v>-2.6815727286104902E-3</v>
      </c>
      <c r="D190">
        <f t="shared" si="14"/>
        <v>4.669412062599361E-3</v>
      </c>
      <c r="E190">
        <f t="shared" si="13"/>
        <v>-1.2521368045711306E-5</v>
      </c>
    </row>
    <row r="191" spans="1:5" x14ac:dyDescent="0.3">
      <c r="A191">
        <f>-7.27568981213366</f>
        <v>-7.2756898121336597</v>
      </c>
      <c r="B191">
        <f t="shared" si="12"/>
        <v>-7.2756898121336599E-3</v>
      </c>
      <c r="C191">
        <v>-2.6828746154673499E-3</v>
      </c>
      <c r="D191">
        <f t="shared" si="14"/>
        <v>4.6694120625995778E-3</v>
      </c>
      <c r="E191">
        <f t="shared" si="13"/>
        <v>-1.2527447091905448E-5</v>
      </c>
    </row>
    <row r="192" spans="1:5" x14ac:dyDescent="0.3">
      <c r="A192">
        <f>-7.16362392263127</f>
        <v>-7.1636239226312703</v>
      </c>
      <c r="B192">
        <f t="shared" si="12"/>
        <v>-7.16362392263127E-3</v>
      </c>
      <c r="C192">
        <v>-2.6842511802323398E-3</v>
      </c>
      <c r="D192">
        <f t="shared" si="14"/>
        <v>4.6694120625995778E-3</v>
      </c>
      <c r="E192">
        <f t="shared" si="13"/>
        <v>-1.253387484002404E-5</v>
      </c>
    </row>
    <row r="193" spans="1:5" x14ac:dyDescent="0.3">
      <c r="A193">
        <f>-7.05155803312888</f>
        <v>-7.0515580331288801</v>
      </c>
      <c r="B193">
        <f t="shared" si="12"/>
        <v>-7.0515580331288802E-3</v>
      </c>
      <c r="C193">
        <v>-2.68562845110599E-3</v>
      </c>
      <c r="D193">
        <f t="shared" si="14"/>
        <v>4.669412062599596E-3</v>
      </c>
      <c r="E193">
        <f t="shared" si="13"/>
        <v>-1.254030588525498E-5</v>
      </c>
    </row>
    <row r="194" spans="1:5" x14ac:dyDescent="0.3">
      <c r="A194">
        <f>-6.93949214362649</f>
        <v>-6.9394921436264898</v>
      </c>
      <c r="B194">
        <f t="shared" si="12"/>
        <v>-6.9394921436264894E-3</v>
      </c>
      <c r="C194">
        <v>-2.6870064284504002E-3</v>
      </c>
      <c r="D194">
        <f t="shared" si="14"/>
        <v>4.6694120625995778E-3</v>
      </c>
      <c r="E194">
        <f t="shared" si="13"/>
        <v>-1.2546740229288907E-5</v>
      </c>
    </row>
    <row r="195" spans="1:5" x14ac:dyDescent="0.3">
      <c r="A195">
        <f>-6.8274262541241</f>
        <v>-6.8274262541241004</v>
      </c>
      <c r="B195">
        <f t="shared" ref="B195:B247" si="15">A195/1000</f>
        <v>-6.8274262541241004E-3</v>
      </c>
      <c r="C195">
        <v>-2.6883851126278399E-3</v>
      </c>
      <c r="D195">
        <f t="shared" si="14"/>
        <v>4.6694120625995605E-3</v>
      </c>
      <c r="E195">
        <f t="shared" ref="E195:E247" si="16">C195*D195</f>
        <v>-1.2553177873817514E-5</v>
      </c>
    </row>
    <row r="196" spans="1:5" x14ac:dyDescent="0.3">
      <c r="A196">
        <f>-6.71536036462171</f>
        <v>-6.7153603646217102</v>
      </c>
      <c r="B196">
        <f t="shared" si="15"/>
        <v>-6.7153603646217105E-3</v>
      </c>
      <c r="C196">
        <v>-2.6898605406771E-3</v>
      </c>
      <c r="D196">
        <f t="shared" ref="D196:D246" si="17">$O$11*(B197-B195)</f>
        <v>4.669412062599596E-3</v>
      </c>
      <c r="E196">
        <f t="shared" si="16"/>
        <v>-1.2560067255348323E-5</v>
      </c>
    </row>
    <row r="197" spans="1:5" x14ac:dyDescent="0.3">
      <c r="A197">
        <f>-6.60329447511932</f>
        <v>-6.6032944751193199</v>
      </c>
      <c r="B197">
        <f t="shared" si="15"/>
        <v>-6.6032944751193198E-3</v>
      </c>
      <c r="C197">
        <v>-2.6913367783209801E-3</v>
      </c>
      <c r="D197">
        <f t="shared" si="17"/>
        <v>4.669412062599596E-3</v>
      </c>
      <c r="E197">
        <f t="shared" si="16"/>
        <v>-1.2566960417209919E-5</v>
      </c>
    </row>
    <row r="198" spans="1:5" x14ac:dyDescent="0.3">
      <c r="A198">
        <f>-6.49122858561693</f>
        <v>-6.4912285856169296</v>
      </c>
      <c r="B198">
        <f t="shared" si="15"/>
        <v>-6.4912285856169299E-3</v>
      </c>
      <c r="C198">
        <v>-2.6928138260036501E-3</v>
      </c>
      <c r="D198">
        <f t="shared" si="17"/>
        <v>4.6694120625995778E-3</v>
      </c>
      <c r="E198">
        <f t="shared" si="16"/>
        <v>-1.2573857361476364E-5</v>
      </c>
    </row>
    <row r="199" spans="1:5" x14ac:dyDescent="0.3">
      <c r="A199">
        <f>-6.37916269611454</f>
        <v>-6.3791626961145402</v>
      </c>
      <c r="B199">
        <f t="shared" si="15"/>
        <v>-6.37916269611454E-3</v>
      </c>
      <c r="C199">
        <v>-2.6942916841695202E-3</v>
      </c>
      <c r="D199">
        <f t="shared" si="17"/>
        <v>4.6694120625995778E-3</v>
      </c>
      <c r="E199">
        <f t="shared" si="16"/>
        <v>-1.258075809022289E-5</v>
      </c>
    </row>
    <row r="200" spans="1:5" x14ac:dyDescent="0.3">
      <c r="A200">
        <f>-6.26709680661215</f>
        <v>-6.26709680661215</v>
      </c>
      <c r="B200">
        <f t="shared" si="15"/>
        <v>-6.2670968066121501E-3</v>
      </c>
      <c r="C200">
        <v>-2.6958842793071299E-3</v>
      </c>
      <c r="D200">
        <f t="shared" si="17"/>
        <v>4.669412062599596E-3</v>
      </c>
      <c r="E200">
        <f t="shared" si="16"/>
        <v>-1.2588194573169331E-5</v>
      </c>
    </row>
    <row r="201" spans="1:5" x14ac:dyDescent="0.3">
      <c r="A201">
        <f>-6.15503091710976</f>
        <v>-6.1550309171097597</v>
      </c>
      <c r="B201">
        <f t="shared" si="15"/>
        <v>-6.1550309171097594E-3</v>
      </c>
      <c r="C201">
        <v>-2.6974778157349199E-3</v>
      </c>
      <c r="D201">
        <f t="shared" si="17"/>
        <v>4.6694120625995778E-3</v>
      </c>
      <c r="E201">
        <f t="shared" si="16"/>
        <v>-1.2595635451387396E-5</v>
      </c>
    </row>
    <row r="202" spans="1:5" x14ac:dyDescent="0.3">
      <c r="A202">
        <f>-6.04296502760737</f>
        <v>-6.0429650276073703</v>
      </c>
      <c r="B202">
        <f t="shared" si="15"/>
        <v>-6.0429650276073704E-3</v>
      </c>
      <c r="C202">
        <v>-2.6990722940091702E-3</v>
      </c>
      <c r="D202">
        <f t="shared" si="17"/>
        <v>4.6694120625995605E-3</v>
      </c>
      <c r="E202">
        <f t="shared" si="16"/>
        <v>-1.2603080727474687E-5</v>
      </c>
    </row>
    <row r="203" spans="1:5" x14ac:dyDescent="0.3">
      <c r="A203">
        <f>-5.93089913810498</f>
        <v>-5.93089913810498</v>
      </c>
      <c r="B203">
        <f t="shared" si="15"/>
        <v>-5.9308991381049805E-3</v>
      </c>
      <c r="C203">
        <v>-2.7006677146865E-3</v>
      </c>
      <c r="D203">
        <f t="shared" si="17"/>
        <v>4.669412062599596E-3</v>
      </c>
      <c r="E203">
        <f t="shared" si="16"/>
        <v>-1.2610530404030428E-5</v>
      </c>
    </row>
    <row r="204" spans="1:5" x14ac:dyDescent="0.3">
      <c r="A204">
        <f>-5.81883324860259</f>
        <v>-5.8188332486025898</v>
      </c>
      <c r="B204">
        <f t="shared" si="15"/>
        <v>-5.8188332486025897E-3</v>
      </c>
      <c r="C204">
        <v>-2.7023907242088498E-3</v>
      </c>
      <c r="D204">
        <f t="shared" si="17"/>
        <v>4.6694120625995778E-3</v>
      </c>
      <c r="E204">
        <f t="shared" si="16"/>
        <v>-1.2618575845478013E-5</v>
      </c>
    </row>
    <row r="205" spans="1:5" x14ac:dyDescent="0.3">
      <c r="A205">
        <f>-5.7067673591002</f>
        <v>-5.7067673591002004</v>
      </c>
      <c r="B205">
        <f t="shared" si="15"/>
        <v>-5.7067673591002007E-3</v>
      </c>
      <c r="C205">
        <v>-2.7041148329528301E-3</v>
      </c>
      <c r="D205">
        <f t="shared" si="17"/>
        <v>4.6694120625995778E-3</v>
      </c>
      <c r="E205">
        <f t="shared" si="16"/>
        <v>-1.2626626419644388E-5</v>
      </c>
    </row>
    <row r="206" spans="1:5" x14ac:dyDescent="0.3">
      <c r="A206">
        <f>-5.59470146959781</f>
        <v>-5.5947014695978101</v>
      </c>
      <c r="B206">
        <f t="shared" si="15"/>
        <v>-5.59470146959781E-3</v>
      </c>
      <c r="C206">
        <v>-2.7058400416196502E-3</v>
      </c>
      <c r="D206">
        <f t="shared" si="17"/>
        <v>4.669412062599596E-3</v>
      </c>
      <c r="E206">
        <f t="shared" si="16"/>
        <v>-1.2634682129803788E-5</v>
      </c>
    </row>
    <row r="207" spans="1:5" x14ac:dyDescent="0.3">
      <c r="A207">
        <f>-5.48263558009542</f>
        <v>-5.4826355800954198</v>
      </c>
      <c r="B207">
        <f t="shared" si="15"/>
        <v>-5.4826355800954201E-3</v>
      </c>
      <c r="C207">
        <v>-2.7075663509110101E-3</v>
      </c>
      <c r="D207">
        <f t="shared" si="17"/>
        <v>4.669412062599596E-3</v>
      </c>
      <c r="E207">
        <f t="shared" si="16"/>
        <v>-1.2642742979232642E-5</v>
      </c>
    </row>
    <row r="208" spans="1:5" x14ac:dyDescent="0.3">
      <c r="A208">
        <f>-5.37056969059303</f>
        <v>-5.3705696905930296</v>
      </c>
      <c r="B208">
        <f t="shared" si="15"/>
        <v>-5.3705696905930293E-3</v>
      </c>
      <c r="C208">
        <v>-2.7094526160450299E-3</v>
      </c>
      <c r="D208">
        <f t="shared" si="17"/>
        <v>4.6694120625995778E-3</v>
      </c>
      <c r="E208">
        <f t="shared" si="16"/>
        <v>-1.2651550728402645E-5</v>
      </c>
    </row>
    <row r="209" spans="1:5" x14ac:dyDescent="0.3">
      <c r="A209">
        <f>-5.25850380109064</f>
        <v>-5.2585038010906402</v>
      </c>
      <c r="B209">
        <f t="shared" si="15"/>
        <v>-5.2585038010906403E-3</v>
      </c>
      <c r="C209">
        <v>-2.7113401952593998E-3</v>
      </c>
      <c r="D209">
        <f t="shared" si="17"/>
        <v>4.6694120625995778E-3</v>
      </c>
      <c r="E209">
        <f t="shared" si="16"/>
        <v>-1.2660364613555335E-5</v>
      </c>
    </row>
    <row r="210" spans="1:5" x14ac:dyDescent="0.3">
      <c r="A210">
        <f>-5.14643791158825</f>
        <v>-5.1464379115882499</v>
      </c>
      <c r="B210">
        <f t="shared" si="15"/>
        <v>-5.1464379115882496E-3</v>
      </c>
      <c r="C210">
        <v>-2.7132290894695799E-3</v>
      </c>
      <c r="D210">
        <f t="shared" si="17"/>
        <v>4.669412062599596E-3</v>
      </c>
      <c r="E210">
        <f t="shared" si="16"/>
        <v>-1.2669184638965375E-5</v>
      </c>
    </row>
    <row r="211" spans="1:5" x14ac:dyDescent="0.3">
      <c r="A211">
        <f>-5.03437202208586</f>
        <v>-5.0343720220858597</v>
      </c>
      <c r="B211">
        <f t="shared" si="15"/>
        <v>-5.0343720220858597E-3</v>
      </c>
      <c r="C211">
        <v>-2.7151192995916599E-3</v>
      </c>
      <c r="D211">
        <f t="shared" si="17"/>
        <v>4.6694120625995605E-3</v>
      </c>
      <c r="E211">
        <f t="shared" si="16"/>
        <v>-1.2678010808910166E-5</v>
      </c>
    </row>
    <row r="212" spans="1:5" x14ac:dyDescent="0.3">
      <c r="A212">
        <f>-4.92230613258347</f>
        <v>-4.9223061325834703</v>
      </c>
      <c r="B212">
        <f t="shared" si="15"/>
        <v>-4.9223061325834707E-3</v>
      </c>
      <c r="C212">
        <v>-2.7171980411316399E-3</v>
      </c>
      <c r="D212">
        <f t="shared" si="17"/>
        <v>4.6694120625995778E-3</v>
      </c>
      <c r="E212">
        <f t="shared" si="16"/>
        <v>-1.2687717309732022E-5</v>
      </c>
    </row>
    <row r="213" spans="1:5" x14ac:dyDescent="0.3">
      <c r="A213">
        <f>-4.81024024308108</f>
        <v>-4.81024024308108</v>
      </c>
      <c r="B213">
        <f t="shared" si="15"/>
        <v>-4.8102402430810799E-3</v>
      </c>
      <c r="C213">
        <v>-2.7192783741914902E-3</v>
      </c>
      <c r="D213">
        <f t="shared" si="17"/>
        <v>4.669412062599596E-3</v>
      </c>
      <c r="E213">
        <f t="shared" si="16"/>
        <v>-1.2697431242015963E-5</v>
      </c>
    </row>
    <row r="214" spans="1:5" x14ac:dyDescent="0.3">
      <c r="A214">
        <f>-4.69817435357869</f>
        <v>-4.6981743535786897</v>
      </c>
      <c r="B214">
        <f t="shared" si="15"/>
        <v>-4.69817435357869E-3</v>
      </c>
      <c r="C214">
        <v>-2.7213602999897001E-3</v>
      </c>
      <c r="D214">
        <f t="shared" si="17"/>
        <v>4.6694120625995778E-3</v>
      </c>
      <c r="E214">
        <f t="shared" si="16"/>
        <v>-1.2707152611451512E-5</v>
      </c>
    </row>
    <row r="215" spans="1:5" x14ac:dyDescent="0.3">
      <c r="A215">
        <f>-4.5861084640763</f>
        <v>-4.5861084640763004</v>
      </c>
      <c r="B215">
        <f t="shared" si="15"/>
        <v>-4.5861084640763002E-3</v>
      </c>
      <c r="C215">
        <v>-2.72344381974571E-3</v>
      </c>
      <c r="D215">
        <f t="shared" si="17"/>
        <v>4.6694120625995778E-3</v>
      </c>
      <c r="E215">
        <f t="shared" si="16"/>
        <v>-1.2716881423732889E-5</v>
      </c>
    </row>
    <row r="216" spans="1:5" x14ac:dyDescent="0.3">
      <c r="A216">
        <f>-4.47404257457391</f>
        <v>-4.4740425745739101</v>
      </c>
      <c r="B216">
        <f t="shared" si="15"/>
        <v>-4.4740425745739103E-3</v>
      </c>
      <c r="C216">
        <v>-2.7257391618609301E-3</v>
      </c>
      <c r="D216">
        <f t="shared" si="17"/>
        <v>4.669412062599596E-3</v>
      </c>
      <c r="E216">
        <f t="shared" si="16"/>
        <v>-1.272759932189354E-5</v>
      </c>
    </row>
    <row r="217" spans="1:5" x14ac:dyDescent="0.3">
      <c r="A217">
        <f>-4.36197668507152</f>
        <v>-4.3619766850715198</v>
      </c>
      <c r="B217">
        <f t="shared" si="15"/>
        <v>-4.3619766850715195E-3</v>
      </c>
      <c r="C217">
        <v>-2.72803643848866E-3</v>
      </c>
      <c r="D217">
        <f t="shared" si="17"/>
        <v>4.6694120625995778E-3</v>
      </c>
      <c r="E217">
        <f t="shared" si="16"/>
        <v>-1.273832625309014E-5</v>
      </c>
    </row>
    <row r="218" spans="1:5" x14ac:dyDescent="0.3">
      <c r="A218">
        <f>-4.24991079556913</f>
        <v>-4.2499107955691304</v>
      </c>
      <c r="B218">
        <f t="shared" si="15"/>
        <v>-4.2499107955691305E-3</v>
      </c>
      <c r="C218">
        <v>-2.73033565125928E-3</v>
      </c>
      <c r="D218">
        <f t="shared" si="17"/>
        <v>4.6694120625995778E-3</v>
      </c>
      <c r="E218">
        <f t="shared" si="16"/>
        <v>-1.2749062224935756E-5</v>
      </c>
    </row>
    <row r="219" spans="1:5" x14ac:dyDescent="0.3">
      <c r="A219">
        <f>-4.13784490606674</f>
        <v>-4.1378449060667402</v>
      </c>
      <c r="B219">
        <f t="shared" si="15"/>
        <v>-4.1378449060667398E-3</v>
      </c>
      <c r="C219">
        <v>-2.73263680180453E-3</v>
      </c>
      <c r="D219">
        <f t="shared" si="17"/>
        <v>4.669412062599596E-3</v>
      </c>
      <c r="E219">
        <f t="shared" si="16"/>
        <v>-1.2759807245049654E-5</v>
      </c>
    </row>
    <row r="220" spans="1:5" x14ac:dyDescent="0.3">
      <c r="A220">
        <f>-4.02577901656435</f>
        <v>-4.0257790165643499</v>
      </c>
      <c r="B220">
        <f t="shared" si="15"/>
        <v>-4.0257790165643499E-3</v>
      </c>
      <c r="C220">
        <v>-2.7351887033135701E-3</v>
      </c>
      <c r="D220">
        <f t="shared" si="17"/>
        <v>4.6694120625995778E-3</v>
      </c>
      <c r="E220">
        <f t="shared" si="16"/>
        <v>-1.2771723124738483E-5</v>
      </c>
    </row>
    <row r="221" spans="1:5" x14ac:dyDescent="0.3">
      <c r="A221">
        <f>-3.91371312706196</f>
        <v>-3.9137131270619601</v>
      </c>
      <c r="B221">
        <f t="shared" si="15"/>
        <v>-3.91371312706196E-3</v>
      </c>
      <c r="C221">
        <v>-2.7377429878421402E-3</v>
      </c>
      <c r="D221">
        <f t="shared" si="17"/>
        <v>4.6694120625995874E-3</v>
      </c>
      <c r="E221">
        <f t="shared" si="16"/>
        <v>-1.2783650131727524E-5</v>
      </c>
    </row>
    <row r="222" spans="1:5" x14ac:dyDescent="0.3">
      <c r="A222">
        <f>-3.80164723755957</f>
        <v>-3.8016472375595698</v>
      </c>
      <c r="B222">
        <f t="shared" si="15"/>
        <v>-3.8016472375595697E-3</v>
      </c>
      <c r="C222">
        <v>-2.7402996576154602E-3</v>
      </c>
      <c r="D222">
        <f t="shared" si="17"/>
        <v>4.6694120625995874E-3</v>
      </c>
      <c r="E222">
        <f t="shared" si="16"/>
        <v>-1.2795588276407149E-5</v>
      </c>
    </row>
    <row r="223" spans="1:5" x14ac:dyDescent="0.3">
      <c r="A223">
        <f>-3.68958134805718</f>
        <v>-3.68958134805718</v>
      </c>
      <c r="B223">
        <f t="shared" si="15"/>
        <v>-3.6895813480571798E-3</v>
      </c>
      <c r="C223">
        <v>-2.7428587148608302E-3</v>
      </c>
      <c r="D223">
        <f t="shared" si="17"/>
        <v>4.6694120625995691E-3</v>
      </c>
      <c r="E223">
        <f t="shared" si="16"/>
        <v>-1.2807537569177513E-5</v>
      </c>
    </row>
    <row r="224" spans="1:5" x14ac:dyDescent="0.3">
      <c r="A224">
        <f>-3.57751545855479</f>
        <v>-3.5775154585547901</v>
      </c>
      <c r="B224">
        <f t="shared" si="15"/>
        <v>-3.5775154585547904E-3</v>
      </c>
      <c r="C224">
        <v>-2.7457114570469299E-3</v>
      </c>
      <c r="D224">
        <f t="shared" si="17"/>
        <v>4.6694120625995778E-3</v>
      </c>
      <c r="E224">
        <f t="shared" si="16"/>
        <v>-1.2820858197952797E-5</v>
      </c>
    </row>
    <row r="225" spans="1:5" x14ac:dyDescent="0.3">
      <c r="A225">
        <f>-3.4654495690524</f>
        <v>-3.4654495690523999</v>
      </c>
      <c r="B225">
        <f t="shared" si="15"/>
        <v>-3.4654495690524E-3</v>
      </c>
      <c r="C225">
        <v>-2.74856716599374E-3</v>
      </c>
      <c r="D225">
        <f t="shared" si="17"/>
        <v>4.6694120625995874E-3</v>
      </c>
      <c r="E225">
        <f t="shared" si="16"/>
        <v>-1.2834192679756332E-5</v>
      </c>
    </row>
    <row r="226" spans="1:5" x14ac:dyDescent="0.3">
      <c r="A226">
        <f>-3.35338367955001</f>
        <v>-3.35338367955001</v>
      </c>
      <c r="B226">
        <f t="shared" si="15"/>
        <v>-3.3533836795500102E-3</v>
      </c>
      <c r="C226">
        <v>-2.7514258447863E-3</v>
      </c>
      <c r="D226">
        <f t="shared" si="17"/>
        <v>4.6694120625995778E-3</v>
      </c>
      <c r="E226">
        <f t="shared" si="16"/>
        <v>-1.2847541028993383E-5</v>
      </c>
    </row>
    <row r="227" spans="1:5" x14ac:dyDescent="0.3">
      <c r="A227">
        <f>-3.24131779004762</f>
        <v>-3.2413177900476202</v>
      </c>
      <c r="B227">
        <f t="shared" si="15"/>
        <v>-3.2413177900476203E-3</v>
      </c>
      <c r="C227">
        <v>-2.7542874965128801E-3</v>
      </c>
      <c r="D227">
        <f t="shared" si="17"/>
        <v>4.6694120625995874E-3</v>
      </c>
      <c r="E227">
        <f t="shared" si="16"/>
        <v>-1.2860903260084461E-5</v>
      </c>
    </row>
    <row r="228" spans="1:5" x14ac:dyDescent="0.3">
      <c r="A228">
        <f>-3.12925190054523</f>
        <v>-3.1292519005452299</v>
      </c>
      <c r="B228">
        <f t="shared" si="15"/>
        <v>-3.12925190054523E-3</v>
      </c>
      <c r="C228">
        <v>-2.75747257556952E-3</v>
      </c>
      <c r="D228">
        <f t="shared" si="17"/>
        <v>4.6694120625995874E-3</v>
      </c>
      <c r="E228">
        <f t="shared" si="16"/>
        <v>-1.2875775706651869E-5</v>
      </c>
    </row>
    <row r="229" spans="1:5" x14ac:dyDescent="0.3">
      <c r="A229">
        <f>-3.01718601104284</f>
        <v>-3.0171860110428401</v>
      </c>
      <c r="B229">
        <f t="shared" si="15"/>
        <v>-3.0171860110428401E-3</v>
      </c>
      <c r="C229">
        <v>-2.7606613373139998E-3</v>
      </c>
      <c r="D229">
        <f t="shared" si="17"/>
        <v>4.6694120625995874E-3</v>
      </c>
      <c r="E229">
        <f t="shared" si="16"/>
        <v>-1.28906653492063E-5</v>
      </c>
    </row>
    <row r="230" spans="1:5" x14ac:dyDescent="0.3">
      <c r="A230">
        <f>-2.90512012154045</f>
        <v>-2.9051201215404499</v>
      </c>
      <c r="B230">
        <f t="shared" si="15"/>
        <v>-2.9051201215404498E-3</v>
      </c>
      <c r="C230">
        <v>-2.7638537860037002E-3</v>
      </c>
      <c r="D230">
        <f t="shared" si="17"/>
        <v>4.6694120625995874E-3</v>
      </c>
      <c r="E230">
        <f t="shared" si="16"/>
        <v>-1.2905572207627217E-5</v>
      </c>
    </row>
    <row r="231" spans="1:5" x14ac:dyDescent="0.3">
      <c r="A231">
        <f>-2.79305423203806</f>
        <v>-2.79305423203806</v>
      </c>
      <c r="B231">
        <f t="shared" si="15"/>
        <v>-2.7930542320380599E-3</v>
      </c>
      <c r="C231">
        <v>-2.7670499259009099E-3</v>
      </c>
      <c r="D231">
        <f t="shared" si="17"/>
        <v>4.6694120625995778E-3</v>
      </c>
      <c r="E231">
        <f t="shared" si="16"/>
        <v>-1.2920496301816977E-5</v>
      </c>
    </row>
    <row r="232" spans="1:5" x14ac:dyDescent="0.3">
      <c r="A232">
        <f>-2.68098834253567</f>
        <v>-2.6809883425356702</v>
      </c>
      <c r="B232">
        <f t="shared" si="15"/>
        <v>-2.68098834253567E-3</v>
      </c>
      <c r="C232">
        <v>-2.7706077566119099E-3</v>
      </c>
      <c r="D232">
        <f t="shared" si="17"/>
        <v>4.6694120625995778E-3</v>
      </c>
      <c r="E232">
        <f t="shared" si="16"/>
        <v>-1.2937109279455607E-5</v>
      </c>
    </row>
    <row r="233" spans="1:5" x14ac:dyDescent="0.3">
      <c r="A233">
        <f>-2.56892245303328</f>
        <v>-2.5689224530332799</v>
      </c>
      <c r="B233">
        <f t="shared" si="15"/>
        <v>-2.5689224530332801E-3</v>
      </c>
      <c r="C233">
        <v>-2.7741701608884799E-3</v>
      </c>
      <c r="D233">
        <f t="shared" si="17"/>
        <v>4.6694120625995778E-3</v>
      </c>
      <c r="E233">
        <f t="shared" si="16"/>
        <v>-1.295374361295648E-5</v>
      </c>
    </row>
    <row r="234" spans="1:5" x14ac:dyDescent="0.3">
      <c r="A234">
        <f>-2.45685656353089</f>
        <v>-2.4568565635308901</v>
      </c>
      <c r="B234">
        <f t="shared" si="15"/>
        <v>-2.4568565635308902E-3</v>
      </c>
      <c r="C234">
        <v>-2.7777371446085202E-3</v>
      </c>
      <c r="D234">
        <f t="shared" si="17"/>
        <v>4.6694120625995874E-3</v>
      </c>
      <c r="E234">
        <f t="shared" si="16"/>
        <v>-1.2970399329765958E-5</v>
      </c>
    </row>
    <row r="235" spans="1:5" x14ac:dyDescent="0.3">
      <c r="A235">
        <f>-2.3447906740285</f>
        <v>-2.3447906740284998</v>
      </c>
      <c r="B235">
        <f t="shared" si="15"/>
        <v>-2.3447906740284999E-3</v>
      </c>
      <c r="C235">
        <v>-2.78130871365751E-3</v>
      </c>
      <c r="D235">
        <f t="shared" si="17"/>
        <v>4.6694120625995874E-3</v>
      </c>
      <c r="E235">
        <f t="shared" si="16"/>
        <v>-1.2987076457365719E-5</v>
      </c>
    </row>
    <row r="236" spans="1:5" x14ac:dyDescent="0.3">
      <c r="A236">
        <f>-2.23272478452611</f>
        <v>-2.23272478452611</v>
      </c>
      <c r="B236">
        <f t="shared" si="15"/>
        <v>-2.23272478452611E-3</v>
      </c>
      <c r="C236">
        <v>-2.7852559216317201E-3</v>
      </c>
      <c r="D236">
        <f t="shared" si="17"/>
        <v>4.6694120625995778E-3</v>
      </c>
      <c r="E236">
        <f t="shared" si="16"/>
        <v>-1.3005507597894057E-5</v>
      </c>
    </row>
    <row r="237" spans="1:5" x14ac:dyDescent="0.3">
      <c r="A237">
        <f>-2.12065889502372</f>
        <v>-2.1206588950237202</v>
      </c>
      <c r="B237">
        <f t="shared" si="15"/>
        <v>-2.1206588950237202E-3</v>
      </c>
      <c r="C237">
        <v>-2.7892087297186302E-3</v>
      </c>
      <c r="D237">
        <f t="shared" si="17"/>
        <v>4.6694120625995874E-3</v>
      </c>
      <c r="E237">
        <f t="shared" si="16"/>
        <v>-1.3023964887656243E-5</v>
      </c>
    </row>
    <row r="238" spans="1:5" x14ac:dyDescent="0.3">
      <c r="A238">
        <f>-2.00859300552133</f>
        <v>-2.0085930055213299</v>
      </c>
      <c r="B238">
        <f t="shared" si="15"/>
        <v>-2.0085930055213298E-3</v>
      </c>
      <c r="C238">
        <v>-2.7931671458608798E-3</v>
      </c>
      <c r="D238">
        <f t="shared" si="17"/>
        <v>4.669412062599583E-3</v>
      </c>
      <c r="E238">
        <f t="shared" si="16"/>
        <v>-1.3042448363739641E-5</v>
      </c>
    </row>
    <row r="239" spans="1:5" x14ac:dyDescent="0.3">
      <c r="A239">
        <f>-1.89652711601894</f>
        <v>-1.8965271160189401</v>
      </c>
      <c r="B239">
        <f t="shared" si="15"/>
        <v>-1.8965271160189402E-3</v>
      </c>
      <c r="C239">
        <v>-2.7971311780123601E-3</v>
      </c>
      <c r="D239">
        <f t="shared" si="17"/>
        <v>4.6694120625995778E-3</v>
      </c>
      <c r="E239">
        <f t="shared" si="16"/>
        <v>-1.306095806328428E-5</v>
      </c>
    </row>
    <row r="240" spans="1:5" x14ac:dyDescent="0.3">
      <c r="A240">
        <f>-1.78446122651655</f>
        <v>-1.78446122651655</v>
      </c>
      <c r="B240">
        <f t="shared" si="15"/>
        <v>-1.7844612265165501E-3</v>
      </c>
      <c r="C240">
        <v>-2.8015574534890602E-3</v>
      </c>
      <c r="D240">
        <f t="shared" si="17"/>
        <v>4.6694120625995874E-3</v>
      </c>
      <c r="E240">
        <f t="shared" si="16"/>
        <v>-1.30816261673876E-5</v>
      </c>
    </row>
    <row r="241" spans="1:5" x14ac:dyDescent="0.3">
      <c r="A241">
        <f>-1.67239533701416</f>
        <v>-1.67239533701416</v>
      </c>
      <c r="B241">
        <f t="shared" si="15"/>
        <v>-1.67239533701416E-3</v>
      </c>
      <c r="C241">
        <v>-2.8059907305199401E-3</v>
      </c>
      <c r="D241">
        <f t="shared" si="17"/>
        <v>4.6694120625995874E-3</v>
      </c>
      <c r="E241">
        <f t="shared" si="16"/>
        <v>-1.3102326964632436E-5</v>
      </c>
    </row>
    <row r="242" spans="1:5" x14ac:dyDescent="0.3">
      <c r="A242">
        <f>-1.56032944751177</f>
        <v>-1.5603294475117699</v>
      </c>
      <c r="B242">
        <f t="shared" si="15"/>
        <v>-1.5603294475117699E-3</v>
      </c>
      <c r="C242">
        <v>-2.8104310201756701E-3</v>
      </c>
      <c r="D242">
        <f t="shared" si="17"/>
        <v>4.6694120625995874E-3</v>
      </c>
      <c r="E242">
        <f t="shared" si="16"/>
        <v>-1.3123060506712338E-5</v>
      </c>
    </row>
    <row r="243" spans="1:5" x14ac:dyDescent="0.3">
      <c r="A243">
        <f>-1.44826355800938</f>
        <v>-1.4482635580093799</v>
      </c>
      <c r="B243">
        <f t="shared" si="15"/>
        <v>-1.4482635580093798E-3</v>
      </c>
      <c r="C243">
        <v>-2.8148783335444202E-3</v>
      </c>
      <c r="D243">
        <f t="shared" si="17"/>
        <v>4.6694120625985387E-3</v>
      </c>
      <c r="E243">
        <f t="shared" si="16"/>
        <v>-1.3143826845399589E-5</v>
      </c>
    </row>
    <row r="244" spans="1:5" x14ac:dyDescent="0.3">
      <c r="A244">
        <f>-1.33619766850704</f>
        <v>-1.33619766850704</v>
      </c>
      <c r="B244">
        <f t="shared" si="15"/>
        <v>-1.33619766850704E-3</v>
      </c>
      <c r="C244">
        <v>-2.8197317081242201E-3</v>
      </c>
      <c r="D244">
        <f t="shared" si="17"/>
        <v>4.6694120625977035E-3</v>
      </c>
      <c r="E244">
        <f t="shared" si="16"/>
        <v>-1.3166489251204459E-5</v>
      </c>
    </row>
    <row r="245" spans="1:5" x14ac:dyDescent="0.3">
      <c r="A245">
        <f>-1.22413177900469</f>
        <v>-1.2241317790046899</v>
      </c>
      <c r="B245">
        <f t="shared" si="15"/>
        <v>-1.22413177900469E-3</v>
      </c>
      <c r="C245">
        <v>-2.8245934468478502E-3</v>
      </c>
      <c r="D245">
        <f t="shared" si="17"/>
        <v>4.669412062597916E-3</v>
      </c>
      <c r="E245">
        <f t="shared" si="16"/>
        <v>-1.3189190712646378E-5</v>
      </c>
    </row>
    <row r="246" spans="1:5" x14ac:dyDescent="0.3">
      <c r="A246">
        <f>-1.11206588950234</f>
        <v>-1.1120658895023401</v>
      </c>
      <c r="B246">
        <f t="shared" si="15"/>
        <v>-1.11206588950234E-3</v>
      </c>
      <c r="C246">
        <v>-2.82946356412265E-3</v>
      </c>
      <c r="D246">
        <f t="shared" si="17"/>
        <v>4.6694120625977078E-3</v>
      </c>
      <c r="E246">
        <f t="shared" si="16"/>
        <v>-1.3211931296995004E-5</v>
      </c>
    </row>
    <row r="247" spans="1:5" x14ac:dyDescent="0.3">
      <c r="A247">
        <f>-1</f>
        <v>-1</v>
      </c>
      <c r="B247">
        <f t="shared" si="15"/>
        <v>-1E-3</v>
      </c>
      <c r="C247">
        <v>-2.83434207438073E-3</v>
      </c>
      <c r="D247">
        <f>$O$11*(B247-B246)</f>
        <v>2.3347060312987502E-3</v>
      </c>
      <c r="E247">
        <f t="shared" si="16"/>
        <v>-6.617355535820501E-6</v>
      </c>
    </row>
  </sheetData>
  <mergeCells count="10">
    <mergeCell ref="N18:U18"/>
    <mergeCell ref="Q10:R10"/>
    <mergeCell ref="N10:O10"/>
    <mergeCell ref="A1:E1"/>
    <mergeCell ref="T10:U10"/>
    <mergeCell ref="H1:L1"/>
    <mergeCell ref="H17:L17"/>
    <mergeCell ref="N1:P1"/>
    <mergeCell ref="N9:U9"/>
    <mergeCell ref="N17:U1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APPENDIX INFORMATION</vt:lpstr>
      <vt:lpstr>1.4.1</vt:lpstr>
      <vt:lpstr>2.3.1</vt:lpstr>
      <vt:lpstr>2.3.2</vt:lpstr>
      <vt:lpstr>3.5.2 </vt:lpstr>
      <vt:lpstr>4.4.1 (Oxidation)</vt:lpstr>
      <vt:lpstr>4.4.1 (Reduction)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Mervyn Ochoa-Dugoy</dc:creator>
  <cp:lastModifiedBy>Mervyn Ochoa-Dugoy</cp:lastModifiedBy>
  <dcterms:created xsi:type="dcterms:W3CDTF">2024-10-07T15:18:22Z</dcterms:created>
  <dcterms:modified xsi:type="dcterms:W3CDTF">2024-11-13T10:06:55Z</dcterms:modified>
</cp:coreProperties>
</file>